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9FC3FC31-DE78-0F43-8C75-4780D756BE7C}" xr6:coauthVersionLast="47" xr6:coauthVersionMax="47" xr10:uidLastSave="{00000000-0000-0000-0000-000000000000}"/>
  <bookViews>
    <workbookView xWindow="840" yWindow="1060" windowWidth="29260" windowHeight="18140" activeTab="2" xr2:uid="{00000000-000D-0000-FFFF-FFFF00000000}"/>
  </bookViews>
  <sheets>
    <sheet name="Master" sheetId="27" r:id="rId1"/>
    <sheet name="Main" sheetId="1" r:id="rId2"/>
    <sheet name="Model" sheetId="2" r:id="rId3"/>
    <sheet name="GLP-1s" sheetId="33" r:id="rId4"/>
    <sheet name="Obesity" sheetId="34" r:id="rId5"/>
    <sheet name="Trulicity" sheetId="29" r:id="rId6"/>
    <sheet name="Mounjaro-Zepbound" sheetId="30" r:id="rId7"/>
    <sheet name="donanemab" sheetId="35" r:id="rId8"/>
    <sheet name="Jayprica" sheetId="28" r:id="rId9"/>
    <sheet name="Verzenio" sheetId="31" r:id="rId10"/>
    <sheet name="Alimta" sheetId="10" r:id="rId11"/>
    <sheet name="Cymbalta" sheetId="4" r:id="rId12"/>
    <sheet name="Jardiance" sheetId="32" r:id="rId13"/>
    <sheet name="Forteo" sheetId="6" r:id="rId14"/>
    <sheet name="Strattera" sheetId="5" r:id="rId15"/>
    <sheet name="Cialis" sheetId="9" r:id="rId16"/>
    <sheet name="Evista" sheetId="7" r:id="rId17"/>
    <sheet name="Gemzar" sheetId="23" r:id="rId18"/>
    <sheet name="Zyprexa" sheetId="3" r:id="rId19"/>
    <sheet name="Exenatide" sheetId="11" r:id="rId20"/>
    <sheet name="Effient" sheetId="14" r:id="rId21"/>
    <sheet name="Enzastaurin" sheetId="15" r:id="rId22"/>
    <sheet name="Arzoxifene" sheetId="16" r:id="rId23"/>
    <sheet name="LY2062430" sheetId="26" r:id="rId24"/>
    <sheet name="LY2140023" sheetId="24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F140" i="2" l="1"/>
  <c r="CF139" i="2"/>
  <c r="CF136" i="2"/>
  <c r="CF135" i="2"/>
  <c r="CF134" i="2"/>
  <c r="CF133" i="2"/>
  <c r="CF131" i="2"/>
  <c r="CF130" i="2"/>
  <c r="CF129" i="2"/>
  <c r="CF128" i="2"/>
  <c r="CF127" i="2"/>
  <c r="CF125" i="2"/>
  <c r="CF124" i="2"/>
  <c r="CF123" i="2"/>
  <c r="CF122" i="2"/>
  <c r="CF121" i="2"/>
  <c r="CF120" i="2"/>
  <c r="CF119" i="2"/>
  <c r="CF118" i="2"/>
  <c r="CF117" i="2"/>
  <c r="CF116" i="2"/>
  <c r="CF114" i="2"/>
  <c r="CF104" i="2"/>
  <c r="CF103" i="2"/>
  <c r="CF101" i="2"/>
  <c r="CF96" i="2"/>
  <c r="CF90" i="2"/>
  <c r="CE32" i="2"/>
  <c r="CE22" i="2"/>
  <c r="CE140" i="2"/>
  <c r="CE134" i="2"/>
  <c r="CE137" i="2"/>
  <c r="CE128" i="2"/>
  <c r="CE131" i="2"/>
  <c r="CE125" i="2"/>
  <c r="CI140" i="2"/>
  <c r="CI137" i="2"/>
  <c r="CI131" i="2"/>
  <c r="CI128" i="2"/>
  <c r="CI125" i="2"/>
  <c r="CI116" i="2"/>
  <c r="CI114" i="2"/>
  <c r="CI103" i="2"/>
  <c r="CI101" i="2"/>
  <c r="CI96" i="2"/>
  <c r="CI90" i="2"/>
  <c r="CI88" i="2"/>
  <c r="CL77" i="2"/>
  <c r="CK77" i="2"/>
  <c r="CJ77" i="2"/>
  <c r="CI77" i="2"/>
  <c r="CI80" i="2"/>
  <c r="CI79" i="2"/>
  <c r="CI78" i="2"/>
  <c r="CI76" i="2"/>
  <c r="CI68" i="2"/>
  <c r="CJ5" i="2"/>
  <c r="CJ32" i="2"/>
  <c r="CK32" i="2" s="1"/>
  <c r="CL32" i="2" s="1"/>
  <c r="DH3" i="2"/>
  <c r="DG3" i="2"/>
  <c r="DF3" i="2"/>
  <c r="DE3" i="2"/>
  <c r="DD3" i="2"/>
  <c r="DC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CG3" i="2"/>
  <c r="CF3" i="2"/>
  <c r="CE3" i="2"/>
  <c r="CD3" i="2"/>
  <c r="CC3" i="2"/>
  <c r="CB3" i="2"/>
  <c r="CA3" i="2"/>
  <c r="BZ3" i="2"/>
  <c r="BY3" i="2"/>
  <c r="CI3" i="2"/>
  <c r="CH3" i="2"/>
  <c r="L3" i="33"/>
  <c r="K3" i="33"/>
  <c r="J3" i="33"/>
  <c r="I3" i="33"/>
  <c r="H3" i="33"/>
  <c r="G3" i="33"/>
  <c r="BN11" i="33"/>
  <c r="BM11" i="33" s="1"/>
  <c r="BL11" i="33" s="1"/>
  <c r="BK11" i="33" s="1"/>
  <c r="BJ11" i="33" s="1"/>
  <c r="BI11" i="33" s="1"/>
  <c r="BH11" i="33" s="1"/>
  <c r="BG11" i="33" s="1"/>
  <c r="BF11" i="33" s="1"/>
  <c r="BE11" i="33" s="1"/>
  <c r="BD11" i="33" s="1"/>
  <c r="BC11" i="33" s="1"/>
  <c r="BB11" i="33" s="1"/>
  <c r="BA11" i="33" s="1"/>
  <c r="AZ11" i="33" s="1"/>
  <c r="BN10" i="33"/>
  <c r="CJ7" i="2"/>
  <c r="CK7" i="2" s="1"/>
  <c r="CL7" i="2" s="1"/>
  <c r="O14" i="33"/>
  <c r="P14" i="33" s="1"/>
  <c r="G13" i="33"/>
  <c r="BS14" i="33"/>
  <c r="BR14" i="33" s="1"/>
  <c r="BQ14" i="33" s="1"/>
  <c r="BP14" i="33" s="1"/>
  <c r="BO14" i="33" s="1"/>
  <c r="BN14" i="33" s="1"/>
  <c r="BM14" i="33" s="1"/>
  <c r="BL14" i="33" s="1"/>
  <c r="BK14" i="33" s="1"/>
  <c r="BJ14" i="33" s="1"/>
  <c r="BI14" i="33" s="1"/>
  <c r="BH14" i="33" s="1"/>
  <c r="BG14" i="33" s="1"/>
  <c r="BF14" i="33" s="1"/>
  <c r="BE14" i="33" s="1"/>
  <c r="BD14" i="33" s="1"/>
  <c r="BC14" i="33" s="1"/>
  <c r="BB14" i="33" s="1"/>
  <c r="BA14" i="33" s="1"/>
  <c r="AZ14" i="33" s="1"/>
  <c r="BS11" i="33"/>
  <c r="BR11" i="33" s="1"/>
  <c r="BQ11" i="33" s="1"/>
  <c r="BP11" i="33" s="1"/>
  <c r="BO11" i="33" s="1"/>
  <c r="BS8" i="33"/>
  <c r="BR8" i="33" s="1"/>
  <c r="BS10" i="33"/>
  <c r="BR10" i="33" s="1"/>
  <c r="BQ10" i="33" s="1"/>
  <c r="BP10" i="33" s="1"/>
  <c r="BO10" i="33" s="1"/>
  <c r="BS13" i="33"/>
  <c r="BR13" i="33" s="1"/>
  <c r="BQ13" i="33" s="1"/>
  <c r="BP13" i="33" s="1"/>
  <c r="BO13" i="33" s="1"/>
  <c r="BN13" i="33" s="1"/>
  <c r="BM13" i="33" s="1"/>
  <c r="BL13" i="33" s="1"/>
  <c r="BK13" i="33" s="1"/>
  <c r="BJ13" i="33" s="1"/>
  <c r="BI13" i="33" s="1"/>
  <c r="BH13" i="33" s="1"/>
  <c r="BG13" i="33" s="1"/>
  <c r="BF13" i="33" s="1"/>
  <c r="BE13" i="33" s="1"/>
  <c r="BD13" i="33" s="1"/>
  <c r="BC13" i="33" s="1"/>
  <c r="BB13" i="33" s="1"/>
  <c r="BA13" i="33" s="1"/>
  <c r="AZ13" i="33" s="1"/>
  <c r="L6" i="34"/>
  <c r="G27" i="34"/>
  <c r="G26" i="34"/>
  <c r="G25" i="34"/>
  <c r="C26" i="34"/>
  <c r="E23" i="34"/>
  <c r="D23" i="34"/>
  <c r="DH3" i="33"/>
  <c r="DG3" i="33"/>
  <c r="DF3" i="33"/>
  <c r="DE3" i="33"/>
  <c r="DD3" i="33"/>
  <c r="DC3" i="33"/>
  <c r="DB3" i="33"/>
  <c r="DA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M3" i="33"/>
  <c r="CL3" i="33"/>
  <c r="CK3" i="33"/>
  <c r="CJ3" i="33"/>
  <c r="CI3" i="33"/>
  <c r="CH3" i="33"/>
  <c r="CG3" i="33"/>
  <c r="CF3" i="33"/>
  <c r="CE3" i="33"/>
  <c r="CD3" i="33"/>
  <c r="CC3" i="33"/>
  <c r="CB3" i="33"/>
  <c r="CA3" i="33"/>
  <c r="BZ3" i="33"/>
  <c r="BY3" i="33"/>
  <c r="BX3" i="33"/>
  <c r="BW3" i="33"/>
  <c r="BV3" i="33"/>
  <c r="BU3" i="33"/>
  <c r="BT3" i="33"/>
  <c r="BT22" i="33" s="1"/>
  <c r="BT24" i="33" s="1"/>
  <c r="BT25" i="33" s="1"/>
  <c r="AG36" i="33"/>
  <c r="AG3" i="33" s="1"/>
  <c r="J11" i="33"/>
  <c r="H11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I3" i="33"/>
  <c r="AH3" i="33"/>
  <c r="L13" i="33"/>
  <c r="K13" i="33"/>
  <c r="L12" i="33"/>
  <c r="K12" i="33"/>
  <c r="L11" i="33"/>
  <c r="L8" i="33"/>
  <c r="K8" i="33"/>
  <c r="AJ10" i="33"/>
  <c r="AJ3" i="33" s="1"/>
  <c r="K10" i="33"/>
  <c r="J10" i="33"/>
  <c r="I10" i="33"/>
  <c r="H10" i="33"/>
  <c r="G10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K41" i="33"/>
  <c r="J41" i="33"/>
  <c r="I41" i="33"/>
  <c r="H41" i="33"/>
  <c r="G41" i="33"/>
  <c r="AF36" i="33"/>
  <c r="AF3" i="33" s="1"/>
  <c r="AE36" i="33"/>
  <c r="AD36" i="33"/>
  <c r="AD3" i="33" s="1"/>
  <c r="AC36" i="33"/>
  <c r="AC3" i="33" s="1"/>
  <c r="AB36" i="33"/>
  <c r="AB3" i="33" s="1"/>
  <c r="H12" i="33"/>
  <c r="G12" i="33"/>
  <c r="G11" i="33"/>
  <c r="AA36" i="33"/>
  <c r="AA3" i="33" s="1"/>
  <c r="Z36" i="33"/>
  <c r="Z3" i="33" s="1"/>
  <c r="Y36" i="33"/>
  <c r="Y3" i="33" s="1"/>
  <c r="X36" i="33"/>
  <c r="X3" i="33" s="1"/>
  <c r="W36" i="33"/>
  <c r="W3" i="33" s="1"/>
  <c r="V36" i="33"/>
  <c r="V3" i="33" s="1"/>
  <c r="U36" i="33"/>
  <c r="U3" i="33" s="1"/>
  <c r="T36" i="33"/>
  <c r="S36" i="33"/>
  <c r="R36" i="33"/>
  <c r="Q36" i="33"/>
  <c r="P36" i="33"/>
  <c r="O36" i="33"/>
  <c r="N36" i="33"/>
  <c r="N3" i="33" s="1"/>
  <c r="CF137" i="2" l="1"/>
  <c r="CK5" i="2"/>
  <c r="CL5" i="2" s="1"/>
  <c r="BN3" i="33"/>
  <c r="BN22" i="33" s="1"/>
  <c r="BN24" i="33" s="1"/>
  <c r="BN25" i="33" s="1"/>
  <c r="BM10" i="33"/>
  <c r="O3" i="33"/>
  <c r="BO3" i="33"/>
  <c r="BO22" i="33" s="1"/>
  <c r="BO24" i="33" s="1"/>
  <c r="BO25" i="33" s="1"/>
  <c r="BS3" i="33"/>
  <c r="BS22" i="33" s="1"/>
  <c r="BS24" i="33" s="1"/>
  <c r="BS25" i="33" s="1"/>
  <c r="BR3" i="33"/>
  <c r="BR22" i="33" s="1"/>
  <c r="BR24" i="33" s="1"/>
  <c r="BR25" i="33" s="1"/>
  <c r="BQ8" i="33"/>
  <c r="BQ3" i="33" s="1"/>
  <c r="BQ22" i="33" s="1"/>
  <c r="BQ24" i="33" s="1"/>
  <c r="BQ25" i="33" s="1"/>
  <c r="Q14" i="33"/>
  <c r="G14" i="33" s="1"/>
  <c r="P3" i="33"/>
  <c r="Q3" i="33"/>
  <c r="BP3" i="33"/>
  <c r="BP22" i="33" s="1"/>
  <c r="BP24" i="33" s="1"/>
  <c r="BP25" i="33" s="1"/>
  <c r="AK10" i="33"/>
  <c r="AE3" i="33"/>
  <c r="K11" i="33"/>
  <c r="S3" i="33"/>
  <c r="I11" i="33"/>
  <c r="R3" i="33"/>
  <c r="T3" i="33"/>
  <c r="BM3" i="33" l="1"/>
  <c r="BM22" i="33" s="1"/>
  <c r="BM24" i="33" s="1"/>
  <c r="BM25" i="33" s="1"/>
  <c r="BL10" i="33"/>
  <c r="L10" i="33"/>
  <c r="AK3" i="33"/>
  <c r="BL3" i="33" l="1"/>
  <c r="BL22" i="33" s="1"/>
  <c r="BL24" i="33" s="1"/>
  <c r="BL25" i="33" s="1"/>
  <c r="BK10" i="33"/>
  <c r="BK3" i="33" l="1"/>
  <c r="BK22" i="33" s="1"/>
  <c r="BK24" i="33" s="1"/>
  <c r="BK25" i="33" s="1"/>
  <c r="BJ10" i="33"/>
  <c r="BJ3" i="33" l="1"/>
  <c r="BJ22" i="33" s="1"/>
  <c r="BJ24" i="33" s="1"/>
  <c r="BJ25" i="33" s="1"/>
  <c r="BI10" i="33"/>
  <c r="BI3" i="33" l="1"/>
  <c r="BI22" i="33" s="1"/>
  <c r="BI24" i="33" s="1"/>
  <c r="BI25" i="33" s="1"/>
  <c r="BH10" i="33"/>
  <c r="BH3" i="33" l="1"/>
  <c r="BH22" i="33" s="1"/>
  <c r="BH24" i="33" s="1"/>
  <c r="BH25" i="33" s="1"/>
  <c r="BG10" i="33"/>
  <c r="BG3" i="33" l="1"/>
  <c r="BG22" i="33" s="1"/>
  <c r="BG24" i="33" s="1"/>
  <c r="BG25" i="33" s="1"/>
  <c r="BF10" i="33"/>
  <c r="BF3" i="33" l="1"/>
  <c r="BF22" i="33" s="1"/>
  <c r="BF24" i="33" s="1"/>
  <c r="BF25" i="33" s="1"/>
  <c r="BE10" i="33"/>
  <c r="BE3" i="33" l="1"/>
  <c r="BE22" i="33" s="1"/>
  <c r="BE24" i="33" s="1"/>
  <c r="BE25" i="33" s="1"/>
  <c r="BD10" i="33"/>
  <c r="BD3" i="33" l="1"/>
  <c r="BD22" i="33" s="1"/>
  <c r="BD24" i="33" s="1"/>
  <c r="BD25" i="33" s="1"/>
  <c r="BC10" i="33"/>
  <c r="BC3" i="33" l="1"/>
  <c r="BC22" i="33" s="1"/>
  <c r="BC24" i="33" s="1"/>
  <c r="BC25" i="33" s="1"/>
  <c r="BB10" i="33"/>
  <c r="BB3" i="33" l="1"/>
  <c r="BB22" i="33" s="1"/>
  <c r="BB24" i="33" s="1"/>
  <c r="BB25" i="33" s="1"/>
  <c r="BA10" i="33"/>
  <c r="BA3" i="33" l="1"/>
  <c r="BA22" i="33" s="1"/>
  <c r="BA24" i="33" s="1"/>
  <c r="BA25" i="33" s="1"/>
  <c r="AZ10" i="33"/>
  <c r="AZ3" i="33" s="1"/>
  <c r="AZ22" i="33" s="1"/>
  <c r="AZ24" i="33" s="1"/>
  <c r="AZ25" i="33" s="1"/>
  <c r="J8" i="33"/>
  <c r="H13" i="33"/>
  <c r="I8" i="33"/>
  <c r="H8" i="33"/>
  <c r="G8" i="33"/>
  <c r="CH117" i="2"/>
  <c r="CH103" i="2"/>
  <c r="CH114" i="2" s="1"/>
  <c r="CH96" i="2"/>
  <c r="CH90" i="2"/>
  <c r="CG88" i="2"/>
  <c r="CF88" i="2"/>
  <c r="CD70" i="2"/>
  <c r="CH70" i="2"/>
  <c r="CD68" i="2"/>
  <c r="CH68" i="2"/>
  <c r="CJ6" i="2"/>
  <c r="CJ3" i="2" s="1"/>
  <c r="CH32" i="2"/>
  <c r="CH61" i="2" s="1"/>
  <c r="DL7" i="2"/>
  <c r="DM8" i="2"/>
  <c r="DM31" i="2"/>
  <c r="DM29" i="2"/>
  <c r="DM28" i="2"/>
  <c r="DM27" i="2"/>
  <c r="DM25" i="2"/>
  <c r="DM24" i="2"/>
  <c r="DM23" i="2"/>
  <c r="DM22" i="2"/>
  <c r="DM21" i="2"/>
  <c r="DM20" i="2"/>
  <c r="DM18" i="2"/>
  <c r="DM17" i="2"/>
  <c r="DM14" i="2"/>
  <c r="CD62" i="2"/>
  <c r="CH62" i="2"/>
  <c r="CL65" i="2"/>
  <c r="CJ65" i="2"/>
  <c r="CL64" i="2"/>
  <c r="CJ64" i="2"/>
  <c r="CI66" i="2"/>
  <c r="CJ12" i="2"/>
  <c r="CJ10" i="2"/>
  <c r="CG32" i="2"/>
  <c r="CF32" i="2"/>
  <c r="CF62" i="2"/>
  <c r="CE103" i="2"/>
  <c r="CE114" i="2" s="1"/>
  <c r="CE96" i="2"/>
  <c r="CE90" i="2"/>
  <c r="CE101" i="2" s="1"/>
  <c r="F23" i="2"/>
  <c r="F54" i="2"/>
  <c r="F17" i="2"/>
  <c r="F51" i="2"/>
  <c r="F43" i="2"/>
  <c r="F53" i="2"/>
  <c r="F12" i="2"/>
  <c r="F14" i="2"/>
  <c r="C61" i="2"/>
  <c r="D61" i="2"/>
  <c r="E61" i="2"/>
  <c r="G61" i="2"/>
  <c r="H61" i="2"/>
  <c r="I61" i="2"/>
  <c r="AP58" i="2"/>
  <c r="AQ68" i="2"/>
  <c r="AQ58" i="2"/>
  <c r="AR58" i="2"/>
  <c r="AS58" i="2"/>
  <c r="AT58" i="2"/>
  <c r="AU66" i="2"/>
  <c r="AU58" i="2"/>
  <c r="AY58" i="2"/>
  <c r="AY61" i="2" s="1"/>
  <c r="AV66" i="2"/>
  <c r="AV58" i="2"/>
  <c r="AZ58" i="2"/>
  <c r="AZ61" i="2" s="1"/>
  <c r="AW66" i="2"/>
  <c r="AW58" i="2"/>
  <c r="BA58" i="2"/>
  <c r="BA61" i="2" s="1"/>
  <c r="BB76" i="2"/>
  <c r="BG80" i="2"/>
  <c r="BF80" i="2"/>
  <c r="BE80" i="2"/>
  <c r="BD80" i="2"/>
  <c r="BC80" i="2"/>
  <c r="BG76" i="2"/>
  <c r="BF76" i="2"/>
  <c r="BE76" i="2"/>
  <c r="BD76" i="2"/>
  <c r="BC76" i="2"/>
  <c r="AX58" i="2"/>
  <c r="AX61" i="2" s="1"/>
  <c r="AX66" i="2"/>
  <c r="BB58" i="2"/>
  <c r="BB61" i="2" s="1"/>
  <c r="AY66" i="2"/>
  <c r="BC66" i="2"/>
  <c r="BC58" i="2"/>
  <c r="BC61" i="2" s="1"/>
  <c r="BH80" i="2"/>
  <c r="BH78" i="2"/>
  <c r="BH76" i="2"/>
  <c r="AZ66" i="2"/>
  <c r="BD66" i="2"/>
  <c r="BD58" i="2"/>
  <c r="BD61" i="2" s="1"/>
  <c r="BA66" i="2"/>
  <c r="BI80" i="2"/>
  <c r="BI78" i="2"/>
  <c r="BI76" i="2"/>
  <c r="BE66" i="2"/>
  <c r="BE58" i="2"/>
  <c r="BE61" i="2" s="1"/>
  <c r="BB66" i="2"/>
  <c r="BJ80" i="2"/>
  <c r="BJ78" i="2"/>
  <c r="BJ76" i="2"/>
  <c r="BF66" i="2"/>
  <c r="BF58" i="2"/>
  <c r="BF61" i="2"/>
  <c r="BF63" i="2" s="1"/>
  <c r="BF83" i="2" s="1"/>
  <c r="BO80" i="2"/>
  <c r="BN80" i="2"/>
  <c r="BM80" i="2"/>
  <c r="BL80" i="2"/>
  <c r="BK80" i="2"/>
  <c r="BO79" i="2"/>
  <c r="BN79" i="2"/>
  <c r="BO78" i="2"/>
  <c r="BN78" i="2"/>
  <c r="BM78" i="2"/>
  <c r="BL78" i="2"/>
  <c r="BK78" i="2"/>
  <c r="BO76" i="2"/>
  <c r="BN76" i="2"/>
  <c r="BM76" i="2"/>
  <c r="BL76" i="2"/>
  <c r="BK76" i="2"/>
  <c r="BG66" i="2"/>
  <c r="BK66" i="2"/>
  <c r="BG58" i="2"/>
  <c r="BG61" i="2" s="1"/>
  <c r="BG84" i="2" s="1"/>
  <c r="BK58" i="2"/>
  <c r="BK61" i="2" s="1"/>
  <c r="BK85" i="2" s="1"/>
  <c r="BH66" i="2"/>
  <c r="BL66" i="2"/>
  <c r="BP80" i="2"/>
  <c r="BP79" i="2"/>
  <c r="BP78" i="2"/>
  <c r="BP76" i="2"/>
  <c r="BL58" i="2"/>
  <c r="BL61" i="2" s="1"/>
  <c r="BL63" i="2" s="1"/>
  <c r="BL83" i="2" s="1"/>
  <c r="BM58" i="2"/>
  <c r="BM61" i="2" s="1"/>
  <c r="BM85" i="2" s="1"/>
  <c r="BH58" i="2"/>
  <c r="BH61" i="2" s="1"/>
  <c r="BQ80" i="2"/>
  <c r="BQ79" i="2"/>
  <c r="BQ78" i="2"/>
  <c r="BQ76" i="2"/>
  <c r="BI68" i="2"/>
  <c r="BI66" i="2"/>
  <c r="BM68" i="2"/>
  <c r="BM66" i="2"/>
  <c r="BI58" i="2"/>
  <c r="BI61" i="2" s="1"/>
  <c r="BI85" i="2" s="1"/>
  <c r="BJ58" i="2"/>
  <c r="BJ61" i="2" s="1"/>
  <c r="BJ85" i="2" s="1"/>
  <c r="BJ68" i="2"/>
  <c r="BJ66" i="2"/>
  <c r="BN68" i="2"/>
  <c r="BN66" i="2"/>
  <c r="BR80" i="2"/>
  <c r="BR79" i="2"/>
  <c r="BR78" i="2"/>
  <c r="BR76" i="2"/>
  <c r="BS61" i="2"/>
  <c r="BR61" i="2"/>
  <c r="BQ61" i="2"/>
  <c r="BP61" i="2"/>
  <c r="BO61" i="2"/>
  <c r="BN58" i="2"/>
  <c r="BN61" i="2" s="1"/>
  <c r="CE62" i="2"/>
  <c r="CE68" i="2"/>
  <c r="DL68" i="2" s="1"/>
  <c r="DB24" i="2"/>
  <c r="DC61" i="2"/>
  <c r="DD24" i="2"/>
  <c r="DD61" i="2" s="1"/>
  <c r="DE61" i="2"/>
  <c r="CB68" i="2"/>
  <c r="DK68" i="2" s="1"/>
  <c r="CB22" i="2"/>
  <c r="CB20" i="2"/>
  <c r="CD20" i="2" s="1"/>
  <c r="CC28" i="2"/>
  <c r="CB111" i="2"/>
  <c r="CB103" i="2"/>
  <c r="CB96" i="2"/>
  <c r="CB90" i="2"/>
  <c r="DF35" i="2"/>
  <c r="DH24" i="2"/>
  <c r="DG24" i="2"/>
  <c r="DF24" i="2"/>
  <c r="DH29" i="2"/>
  <c r="DG29" i="2"/>
  <c r="DF29" i="2"/>
  <c r="DH22" i="2"/>
  <c r="DG22" i="2"/>
  <c r="DF22" i="2"/>
  <c r="DF20" i="2"/>
  <c r="DG20" i="2"/>
  <c r="DH20" i="2"/>
  <c r="DK6" i="2"/>
  <c r="DJ73" i="2"/>
  <c r="DJ65" i="2"/>
  <c r="DI65" i="2"/>
  <c r="DJ64" i="2"/>
  <c r="DI64" i="2"/>
  <c r="DJ62" i="2"/>
  <c r="DI62" i="2"/>
  <c r="DL49" i="2"/>
  <c r="DK49" i="2"/>
  <c r="DJ49" i="2"/>
  <c r="DI49" i="2"/>
  <c r="DL35" i="2"/>
  <c r="DK35" i="2"/>
  <c r="DJ35" i="2"/>
  <c r="DI35" i="2"/>
  <c r="DL34" i="2"/>
  <c r="DK34" i="2"/>
  <c r="DJ34" i="2"/>
  <c r="DI34" i="2"/>
  <c r="DL33" i="2"/>
  <c r="DK33" i="2"/>
  <c r="DJ33" i="2"/>
  <c r="DI33" i="2"/>
  <c r="DI32" i="2"/>
  <c r="DJ31" i="2"/>
  <c r="DI31" i="2"/>
  <c r="DJ30" i="2"/>
  <c r="DI30" i="2"/>
  <c r="DJ29" i="2"/>
  <c r="DI29" i="2"/>
  <c r="DJ28" i="2"/>
  <c r="DI28" i="2"/>
  <c r="DJ26" i="2"/>
  <c r="DI26" i="2"/>
  <c r="DJ24" i="2"/>
  <c r="DI24" i="2"/>
  <c r="DJ23" i="2"/>
  <c r="DI23" i="2"/>
  <c r="DJ22" i="2"/>
  <c r="DI22" i="2"/>
  <c r="DJ20" i="2"/>
  <c r="DI20" i="2"/>
  <c r="DJ19" i="2"/>
  <c r="DI19" i="2"/>
  <c r="DJ18" i="2"/>
  <c r="DI18" i="2"/>
  <c r="DJ16" i="2"/>
  <c r="DI16" i="2"/>
  <c r="DJ15" i="2"/>
  <c r="DI15" i="2"/>
  <c r="DI14" i="2"/>
  <c r="DJ13" i="2"/>
  <c r="DI13" i="2"/>
  <c r="DJ11" i="2"/>
  <c r="DI11" i="2"/>
  <c r="DJ10" i="2"/>
  <c r="DI10" i="2"/>
  <c r="DJ9" i="2"/>
  <c r="DI9" i="2"/>
  <c r="DI12" i="2"/>
  <c r="DL8" i="2"/>
  <c r="DK8" i="2"/>
  <c r="DJ8" i="2"/>
  <c r="DI8" i="2"/>
  <c r="DI5" i="2"/>
  <c r="DI3" i="2" s="1"/>
  <c r="CC73" i="2"/>
  <c r="CG73" i="2" s="1"/>
  <c r="CJ73" i="2" s="1"/>
  <c r="CK73" i="2" s="1"/>
  <c r="CC65" i="2"/>
  <c r="CG65" i="2" s="1"/>
  <c r="CK65" i="2" s="1"/>
  <c r="CC64" i="2"/>
  <c r="CG64" i="2" s="1"/>
  <c r="DL64" i="2" s="1"/>
  <c r="CB66" i="2"/>
  <c r="CB31" i="2"/>
  <c r="CD31" i="2" s="1"/>
  <c r="CD24" i="2"/>
  <c r="CD21" i="2"/>
  <c r="BU61" i="2"/>
  <c r="BT61" i="2"/>
  <c r="CH101" i="2" l="1"/>
  <c r="CK64" i="2"/>
  <c r="CL66" i="2"/>
  <c r="DM19" i="2"/>
  <c r="CK66" i="2"/>
  <c r="DM65" i="2"/>
  <c r="DM64" i="2"/>
  <c r="CJ11" i="2"/>
  <c r="DM16" i="2"/>
  <c r="CJ66" i="2"/>
  <c r="DK64" i="2"/>
  <c r="DM15" i="2"/>
  <c r="CH63" i="2"/>
  <c r="DL65" i="2"/>
  <c r="DL66" i="2" s="1"/>
  <c r="DK65" i="2"/>
  <c r="CH88" i="2"/>
  <c r="DM26" i="2"/>
  <c r="CJ76" i="2"/>
  <c r="DM7" i="2"/>
  <c r="DL32" i="2"/>
  <c r="CK12" i="2"/>
  <c r="CL12" i="2" s="1"/>
  <c r="CK6" i="2"/>
  <c r="CK10" i="2"/>
  <c r="CJ79" i="2"/>
  <c r="CJ9" i="2"/>
  <c r="CI61" i="2"/>
  <c r="CL73" i="2"/>
  <c r="CB88" i="2"/>
  <c r="DL6" i="2"/>
  <c r="CE88" i="2"/>
  <c r="F61" i="2"/>
  <c r="BS75" i="2"/>
  <c r="BF75" i="2"/>
  <c r="BF84" i="2"/>
  <c r="BF85" i="2"/>
  <c r="BG85" i="2"/>
  <c r="CG66" i="2"/>
  <c r="BD84" i="2"/>
  <c r="BD63" i="2"/>
  <c r="BD67" i="2" s="1"/>
  <c r="BD69" i="2" s="1"/>
  <c r="BD71" i="2" s="1"/>
  <c r="BD72" i="2" s="1"/>
  <c r="BD85" i="2"/>
  <c r="BH75" i="2"/>
  <c r="BG75" i="2"/>
  <c r="BC85" i="2"/>
  <c r="BC63" i="2"/>
  <c r="BC83" i="2" s="1"/>
  <c r="BC84" i="2"/>
  <c r="BD75" i="2"/>
  <c r="BP75" i="2"/>
  <c r="BN75" i="2"/>
  <c r="BJ75" i="2"/>
  <c r="BJ84" i="2"/>
  <c r="BE75" i="2"/>
  <c r="CB114" i="2"/>
  <c r="BC75" i="2"/>
  <c r="AY84" i="2"/>
  <c r="AY63" i="2"/>
  <c r="AY83" i="2" s="1"/>
  <c r="AY85" i="2"/>
  <c r="AZ85" i="2"/>
  <c r="BO75" i="2"/>
  <c r="BB75" i="2"/>
  <c r="AX84" i="2"/>
  <c r="AX85" i="2"/>
  <c r="BA85" i="2"/>
  <c r="BA63" i="2"/>
  <c r="BA83" i="2" s="1"/>
  <c r="AZ63" i="2"/>
  <c r="AZ83" i="2" s="1"/>
  <c r="AZ84" i="2"/>
  <c r="BI75" i="2"/>
  <c r="BE85" i="2"/>
  <c r="BE84" i="2"/>
  <c r="BE63" i="2"/>
  <c r="BE83" i="2" s="1"/>
  <c r="BA84" i="2"/>
  <c r="BB63" i="2"/>
  <c r="BB83" i="2" s="1"/>
  <c r="BB85" i="2"/>
  <c r="BB84" i="2"/>
  <c r="BF67" i="2"/>
  <c r="BF69" i="2" s="1"/>
  <c r="BK63" i="2"/>
  <c r="BG63" i="2"/>
  <c r="BG83" i="2" s="1"/>
  <c r="BM84" i="2"/>
  <c r="BK75" i="2"/>
  <c r="BL85" i="2"/>
  <c r="BK84" i="2"/>
  <c r="CH66" i="2"/>
  <c r="BL75" i="2"/>
  <c r="BL84" i="2"/>
  <c r="BQ75" i="2"/>
  <c r="BM75" i="2"/>
  <c r="BH84" i="2"/>
  <c r="BH63" i="2"/>
  <c r="BH83" i="2" s="1"/>
  <c r="BH85" i="2"/>
  <c r="BH67" i="2"/>
  <c r="BH69" i="2" s="1"/>
  <c r="BL67" i="2"/>
  <c r="BL69" i="2" s="1"/>
  <c r="BN84" i="2"/>
  <c r="BN63" i="2"/>
  <c r="BR75" i="2"/>
  <c r="BN85" i="2"/>
  <c r="BM63" i="2"/>
  <c r="BI63" i="2"/>
  <c r="BI83" i="2" s="1"/>
  <c r="BI84" i="2"/>
  <c r="BJ63" i="2"/>
  <c r="BJ83" i="2" s="1"/>
  <c r="CD28" i="2"/>
  <c r="CB101" i="2"/>
  <c r="DG61" i="2"/>
  <c r="DG63" i="2" s="1"/>
  <c r="DH61" i="2"/>
  <c r="DH63" i="2" s="1"/>
  <c r="DK23" i="2"/>
  <c r="DL23" i="2"/>
  <c r="DN23" i="2" s="1"/>
  <c r="DO23" i="2" s="1"/>
  <c r="DP23" i="2" s="1"/>
  <c r="DQ23" i="2" s="1"/>
  <c r="DR23" i="2" s="1"/>
  <c r="DS23" i="2" s="1"/>
  <c r="CF66" i="2"/>
  <c r="DK73" i="2"/>
  <c r="DL73" i="2"/>
  <c r="DK20" i="2"/>
  <c r="DK21" i="2"/>
  <c r="DJ66" i="2"/>
  <c r="DI66" i="2"/>
  <c r="DL21" i="2"/>
  <c r="DN21" i="2" s="1"/>
  <c r="DO21" i="2" s="1"/>
  <c r="DP21" i="2" s="1"/>
  <c r="DQ21" i="2" s="1"/>
  <c r="DR21" i="2" s="1"/>
  <c r="DS21" i="2" s="1"/>
  <c r="CE66" i="2"/>
  <c r="DL31" i="2"/>
  <c r="DL24" i="2"/>
  <c r="DN24" i="2" s="1"/>
  <c r="DO24" i="2" s="1"/>
  <c r="DP24" i="2" s="1"/>
  <c r="DQ24" i="2" s="1"/>
  <c r="DR24" i="2" s="1"/>
  <c r="DS24" i="2" s="1"/>
  <c r="CD29" i="2"/>
  <c r="DK24" i="2"/>
  <c r="CD25" i="2"/>
  <c r="DK31" i="2"/>
  <c r="DK30" i="2"/>
  <c r="CD27" i="2"/>
  <c r="DK32" i="2"/>
  <c r="CC66" i="2"/>
  <c r="DL20" i="2"/>
  <c r="DN20" i="2" s="1"/>
  <c r="DO20" i="2" s="1"/>
  <c r="DP20" i="2" s="1"/>
  <c r="DQ20" i="2" s="1"/>
  <c r="DR20" i="2" s="1"/>
  <c r="DS20" i="2" s="1"/>
  <c r="CD66" i="2"/>
  <c r="DK18" i="2"/>
  <c r="BY61" i="2"/>
  <c r="BX61" i="2"/>
  <c r="BV27" i="2"/>
  <c r="DI27" i="2" s="1"/>
  <c r="BV25" i="2"/>
  <c r="DI25" i="2" s="1"/>
  <c r="BV21" i="2"/>
  <c r="DI21" i="2" s="1"/>
  <c r="BV17" i="2"/>
  <c r="BW137" i="2"/>
  <c r="BW129" i="2"/>
  <c r="BW128" i="2"/>
  <c r="BW131" i="2" s="1"/>
  <c r="BW125" i="2"/>
  <c r="BW111" i="2"/>
  <c r="BW103" i="2"/>
  <c r="BW96" i="2"/>
  <c r="BW90" i="2"/>
  <c r="BX111" i="2"/>
  <c r="BX103" i="2"/>
  <c r="BX96" i="2"/>
  <c r="BX90" i="2"/>
  <c r="BY111" i="2"/>
  <c r="BY103" i="2"/>
  <c r="BY96" i="2"/>
  <c r="BY90" i="2"/>
  <c r="CA22" i="2"/>
  <c r="BZ32" i="2"/>
  <c r="DJ32" i="2" s="1"/>
  <c r="BZ111" i="2"/>
  <c r="BZ103" i="2"/>
  <c r="BZ96" i="2"/>
  <c r="BZ90" i="2"/>
  <c r="BZ27" i="2"/>
  <c r="DJ27" i="2" s="1"/>
  <c r="BZ25" i="2"/>
  <c r="DJ25" i="2" s="1"/>
  <c r="BZ21" i="2"/>
  <c r="DJ21" i="2" s="1"/>
  <c r="BZ17" i="2"/>
  <c r="DJ17" i="2" s="1"/>
  <c r="DJ5" i="2"/>
  <c r="DJ3" i="2" s="1"/>
  <c r="CH80" i="2"/>
  <c r="CC80" i="2"/>
  <c r="CE80" i="2"/>
  <c r="CH79" i="2"/>
  <c r="CG79" i="2"/>
  <c r="CA80" i="2"/>
  <c r="BZ80" i="2"/>
  <c r="BY80" i="2"/>
  <c r="BX80" i="2"/>
  <c r="BW80" i="2"/>
  <c r="BV80" i="2"/>
  <c r="BU80" i="2"/>
  <c r="BT80" i="2"/>
  <c r="BS80" i="2"/>
  <c r="CA79" i="2"/>
  <c r="BZ79" i="2"/>
  <c r="BY79" i="2"/>
  <c r="BX79" i="2"/>
  <c r="BW79" i="2"/>
  <c r="BV79" i="2"/>
  <c r="BU79" i="2"/>
  <c r="BT79" i="2"/>
  <c r="BS79" i="2"/>
  <c r="CH78" i="2"/>
  <c r="CG78" i="2"/>
  <c r="BZ78" i="2"/>
  <c r="BY78" i="2"/>
  <c r="BX78" i="2"/>
  <c r="BW78" i="2"/>
  <c r="BV78" i="2"/>
  <c r="BU78" i="2"/>
  <c r="BT78" i="2"/>
  <c r="BS78" i="2"/>
  <c r="CA78" i="2"/>
  <c r="CI63" i="2" l="1"/>
  <c r="CL6" i="2"/>
  <c r="DM6" i="2" s="1"/>
  <c r="DN6" i="2" s="1"/>
  <c r="DO6" i="2" s="1"/>
  <c r="DP6" i="2" s="1"/>
  <c r="DQ6" i="2" s="1"/>
  <c r="DR6" i="2" s="1"/>
  <c r="DS6" i="2" s="1"/>
  <c r="CK3" i="2"/>
  <c r="DM5" i="2"/>
  <c r="CL3" i="2"/>
  <c r="BJ67" i="2"/>
  <c r="BJ69" i="2" s="1"/>
  <c r="BJ86" i="2" s="1"/>
  <c r="CK11" i="2"/>
  <c r="CJ80" i="2"/>
  <c r="DM66" i="2"/>
  <c r="DM73" i="2"/>
  <c r="DN73" i="2" s="1"/>
  <c r="DO73" i="2" s="1"/>
  <c r="DP73" i="2" s="1"/>
  <c r="DQ73" i="2" s="1"/>
  <c r="DR73" i="2" s="1"/>
  <c r="DS73" i="2" s="1"/>
  <c r="DK66" i="2"/>
  <c r="DM30" i="2"/>
  <c r="DN7" i="2"/>
  <c r="DO7" i="2" s="1"/>
  <c r="DP7" i="2" s="1"/>
  <c r="DQ7" i="2" s="1"/>
  <c r="DR7" i="2" s="1"/>
  <c r="DS7" i="2" s="1"/>
  <c r="CI67" i="2"/>
  <c r="CI69" i="2" s="1"/>
  <c r="CI85" i="2"/>
  <c r="CI84" i="2"/>
  <c r="DM13" i="2"/>
  <c r="CK76" i="2"/>
  <c r="CL10" i="2"/>
  <c r="CL79" i="2" s="1"/>
  <c r="CK79" i="2"/>
  <c r="DM10" i="2"/>
  <c r="CK9" i="2"/>
  <c r="CJ78" i="2"/>
  <c r="DM12" i="2"/>
  <c r="BD86" i="2"/>
  <c r="BD83" i="2"/>
  <c r="BG67" i="2"/>
  <c r="BG69" i="2" s="1"/>
  <c r="BC67" i="2"/>
  <c r="BC69" i="2" s="1"/>
  <c r="BC86" i="2" s="1"/>
  <c r="AY67" i="2"/>
  <c r="AY69" i="2" s="1"/>
  <c r="AY71" i="2" s="1"/>
  <c r="AY72" i="2" s="1"/>
  <c r="BX114" i="2"/>
  <c r="BF71" i="2"/>
  <c r="BF72" i="2" s="1"/>
  <c r="BF86" i="2"/>
  <c r="BE67" i="2"/>
  <c r="BE69" i="2" s="1"/>
  <c r="BE71" i="2" s="1"/>
  <c r="BE72" i="2" s="1"/>
  <c r="BA67" i="2"/>
  <c r="BA69" i="2" s="1"/>
  <c r="BA71" i="2" s="1"/>
  <c r="BA72" i="2" s="1"/>
  <c r="AZ67" i="2"/>
  <c r="AZ69" i="2" s="1"/>
  <c r="AZ71" i="2" s="1"/>
  <c r="AZ72" i="2" s="1"/>
  <c r="BD81" i="2" s="1"/>
  <c r="BB67" i="2"/>
  <c r="BB69" i="2" s="1"/>
  <c r="BB86" i="2" s="1"/>
  <c r="BB71" i="2"/>
  <c r="BB72" i="2" s="1"/>
  <c r="BM67" i="2"/>
  <c r="BM69" i="2" s="1"/>
  <c r="BM83" i="2"/>
  <c r="BL71" i="2"/>
  <c r="BL72" i="2" s="1"/>
  <c r="BL86" i="2"/>
  <c r="BG71" i="2"/>
  <c r="BG72" i="2" s="1"/>
  <c r="BG86" i="2"/>
  <c r="BK67" i="2"/>
  <c r="BK69" i="2" s="1"/>
  <c r="BK83" i="2"/>
  <c r="BH71" i="2"/>
  <c r="BH72" i="2" s="1"/>
  <c r="BH81" i="2" s="1"/>
  <c r="BH86" i="2"/>
  <c r="BI67" i="2"/>
  <c r="BI69" i="2" s="1"/>
  <c r="BI71" i="2" s="1"/>
  <c r="BI72" i="2" s="1"/>
  <c r="BN67" i="2"/>
  <c r="BN69" i="2" s="1"/>
  <c r="BN83" i="2"/>
  <c r="BJ71" i="2"/>
  <c r="BJ72" i="2" s="1"/>
  <c r="DL30" i="2"/>
  <c r="DL28" i="2"/>
  <c r="DN28" i="2" s="1"/>
  <c r="DO28" i="2" s="1"/>
  <c r="DP28" i="2" s="1"/>
  <c r="DQ28" i="2" s="1"/>
  <c r="DR28" i="2" s="1"/>
  <c r="DS28" i="2" s="1"/>
  <c r="DK28" i="2"/>
  <c r="DK29" i="2"/>
  <c r="DK27" i="2"/>
  <c r="DK19" i="2"/>
  <c r="DL25" i="2"/>
  <c r="DN25" i="2" s="1"/>
  <c r="DO25" i="2" s="1"/>
  <c r="DP25" i="2" s="1"/>
  <c r="DQ25" i="2" s="1"/>
  <c r="DR25" i="2" s="1"/>
  <c r="DS25" i="2" s="1"/>
  <c r="DK26" i="2"/>
  <c r="DL19" i="2"/>
  <c r="DN19" i="2" s="1"/>
  <c r="DO19" i="2" s="1"/>
  <c r="DP19" i="2" s="1"/>
  <c r="DQ19" i="2" s="1"/>
  <c r="DR19" i="2" s="1"/>
  <c r="DS19" i="2" s="1"/>
  <c r="BZ61" i="2"/>
  <c r="DK25" i="2"/>
  <c r="CF78" i="2"/>
  <c r="DK9" i="2"/>
  <c r="CE78" i="2"/>
  <c r="CB79" i="2"/>
  <c r="DK10" i="2"/>
  <c r="CD22" i="2"/>
  <c r="CF80" i="2"/>
  <c r="DK11" i="2"/>
  <c r="BY88" i="2"/>
  <c r="BV61" i="2"/>
  <c r="DI17" i="2"/>
  <c r="CE79" i="2"/>
  <c r="DL15" i="2"/>
  <c r="DN15" i="2" s="1"/>
  <c r="DO15" i="2" s="1"/>
  <c r="DP15" i="2" s="1"/>
  <c r="DQ15" i="2" s="1"/>
  <c r="DR15" i="2" s="1"/>
  <c r="DS15" i="2" s="1"/>
  <c r="DK15" i="2"/>
  <c r="BX88" i="2"/>
  <c r="DL16" i="2"/>
  <c r="DN16" i="2" s="1"/>
  <c r="DO16" i="2" s="1"/>
  <c r="DP16" i="2" s="1"/>
  <c r="DQ16" i="2" s="1"/>
  <c r="DR16" i="2" s="1"/>
  <c r="DS16" i="2" s="1"/>
  <c r="DK16" i="2"/>
  <c r="DL18" i="2"/>
  <c r="DN18" i="2" s="1"/>
  <c r="DO18" i="2" s="1"/>
  <c r="DP18" i="2" s="1"/>
  <c r="DQ18" i="2" s="1"/>
  <c r="DR18" i="2" s="1"/>
  <c r="DS18" i="2" s="1"/>
  <c r="BZ88" i="2"/>
  <c r="CD80" i="2"/>
  <c r="BZ101" i="2"/>
  <c r="BW140" i="2"/>
  <c r="BZ114" i="2"/>
  <c r="BY101" i="2"/>
  <c r="CD79" i="2"/>
  <c r="BX101" i="2"/>
  <c r="CB80" i="2"/>
  <c r="CG80" i="2"/>
  <c r="BY114" i="2"/>
  <c r="CC78" i="2"/>
  <c r="CC79" i="2"/>
  <c r="BW114" i="2"/>
  <c r="BW88" i="2"/>
  <c r="BW101" i="2"/>
  <c r="CF79" i="2"/>
  <c r="CB78" i="2"/>
  <c r="CD78" i="2"/>
  <c r="DN5" i="2" l="1"/>
  <c r="DM3" i="2"/>
  <c r="DN30" i="2"/>
  <c r="DO30" i="2" s="1"/>
  <c r="DP30" i="2" s="1"/>
  <c r="DQ30" i="2" s="1"/>
  <c r="DR30" i="2" s="1"/>
  <c r="DS30" i="2" s="1"/>
  <c r="CJ61" i="2"/>
  <c r="CJ63" i="2" s="1"/>
  <c r="CJ67" i="2" s="1"/>
  <c r="CJ69" i="2" s="1"/>
  <c r="DM32" i="2"/>
  <c r="DN32" i="2" s="1"/>
  <c r="DO32" i="2" s="1"/>
  <c r="DP32" i="2" s="1"/>
  <c r="DQ32" i="2" s="1"/>
  <c r="DR32" i="2" s="1"/>
  <c r="DS32" i="2" s="1"/>
  <c r="CK61" i="2"/>
  <c r="CK63" i="2" s="1"/>
  <c r="CL11" i="2"/>
  <c r="CK80" i="2"/>
  <c r="CI83" i="2"/>
  <c r="CI86" i="2"/>
  <c r="AY86" i="2"/>
  <c r="CL76" i="2"/>
  <c r="BC71" i="2"/>
  <c r="BC72" i="2" s="1"/>
  <c r="BG81" i="2" s="1"/>
  <c r="CL9" i="2"/>
  <c r="CK78" i="2"/>
  <c r="BJ81" i="2"/>
  <c r="BI86" i="2"/>
  <c r="BA86" i="2"/>
  <c r="BE86" i="2"/>
  <c r="AZ86" i="2"/>
  <c r="BE81" i="2"/>
  <c r="BI81" i="2"/>
  <c r="DL26" i="2"/>
  <c r="DN26" i="2" s="1"/>
  <c r="DO26" i="2" s="1"/>
  <c r="DP26" i="2" s="1"/>
  <c r="DQ26" i="2" s="1"/>
  <c r="DR26" i="2" s="1"/>
  <c r="DS26" i="2" s="1"/>
  <c r="BF81" i="2"/>
  <c r="BK71" i="2"/>
  <c r="BK72" i="2" s="1"/>
  <c r="BK81" i="2" s="1"/>
  <c r="BK86" i="2"/>
  <c r="BL81" i="2"/>
  <c r="BM71" i="2"/>
  <c r="BM72" i="2" s="1"/>
  <c r="BM81" i="2" s="1"/>
  <c r="BM86" i="2"/>
  <c r="BN71" i="2"/>
  <c r="BN72" i="2" s="1"/>
  <c r="BN81" i="2" s="1"/>
  <c r="BN86" i="2"/>
  <c r="DL29" i="2"/>
  <c r="DN29" i="2" s="1"/>
  <c r="DO29" i="2" s="1"/>
  <c r="DP29" i="2" s="1"/>
  <c r="DQ29" i="2" s="1"/>
  <c r="DR29" i="2" s="1"/>
  <c r="DS29" i="2" s="1"/>
  <c r="DI61" i="2"/>
  <c r="DI63" i="2" s="1"/>
  <c r="DK22" i="2"/>
  <c r="DL9" i="2"/>
  <c r="DK17" i="2"/>
  <c r="DL10" i="2"/>
  <c r="DN10" i="2" s="1"/>
  <c r="DO10" i="2" s="1"/>
  <c r="DP10" i="2" s="1"/>
  <c r="DQ10" i="2" s="1"/>
  <c r="DR10" i="2" s="1"/>
  <c r="DS10" i="2" s="1"/>
  <c r="DL11" i="2"/>
  <c r="DK13" i="2"/>
  <c r="DL22" i="2"/>
  <c r="DN22" i="2" s="1"/>
  <c r="DO22" i="2" s="1"/>
  <c r="DP22" i="2" s="1"/>
  <c r="DQ22" i="2" s="1"/>
  <c r="DR22" i="2" s="1"/>
  <c r="DS22" i="2" s="1"/>
  <c r="DL27" i="2"/>
  <c r="DN27" i="2" s="1"/>
  <c r="DO27" i="2" s="1"/>
  <c r="DP27" i="2" s="1"/>
  <c r="DQ27" i="2" s="1"/>
  <c r="DR27" i="2" s="1"/>
  <c r="DS27" i="2" s="1"/>
  <c r="DK5" i="2"/>
  <c r="DK3" i="2" s="1"/>
  <c r="CA134" i="2"/>
  <c r="CA137" i="2" s="1"/>
  <c r="CA128" i="2"/>
  <c r="CA131" i="2" s="1"/>
  <c r="CA125" i="2"/>
  <c r="CA111" i="2"/>
  <c r="CA103" i="2"/>
  <c r="CA96" i="2"/>
  <c r="CA90" i="2"/>
  <c r="BZ76" i="2"/>
  <c r="BY76" i="2"/>
  <c r="BX76" i="2"/>
  <c r="BW76" i="2"/>
  <c r="BV76" i="2"/>
  <c r="BU76" i="2"/>
  <c r="BT76" i="2"/>
  <c r="BS76" i="2"/>
  <c r="CA76" i="2"/>
  <c r="BO66" i="2"/>
  <c r="BP66" i="2"/>
  <c r="BQ66" i="2"/>
  <c r="BR66" i="2"/>
  <c r="BS66" i="2"/>
  <c r="DO5" i="2" l="1"/>
  <c r="DO3" i="2" s="1"/>
  <c r="DN3" i="2"/>
  <c r="CJ85" i="2"/>
  <c r="CJ84" i="2"/>
  <c r="CK67" i="2"/>
  <c r="CK69" i="2" s="1"/>
  <c r="CK83" i="2"/>
  <c r="CK85" i="2"/>
  <c r="CK84" i="2"/>
  <c r="CL80" i="2"/>
  <c r="DM11" i="2"/>
  <c r="DN11" i="2" s="1"/>
  <c r="DO11" i="2" s="1"/>
  <c r="DP11" i="2" s="1"/>
  <c r="DQ11" i="2" s="1"/>
  <c r="DR11" i="2" s="1"/>
  <c r="DS11" i="2" s="1"/>
  <c r="CJ83" i="2"/>
  <c r="CK62" i="2"/>
  <c r="CI71" i="2"/>
  <c r="CI72" i="2" s="1"/>
  <c r="CJ70" i="2"/>
  <c r="CJ86" i="2" s="1"/>
  <c r="CJ62" i="2"/>
  <c r="BC81" i="2"/>
  <c r="CL78" i="2"/>
  <c r="DM9" i="2"/>
  <c r="DN9" i="2" s="1"/>
  <c r="DO9" i="2" s="1"/>
  <c r="DP9" i="2" s="1"/>
  <c r="DQ9" i="2" s="1"/>
  <c r="DR9" i="2" s="1"/>
  <c r="DS9" i="2" s="1"/>
  <c r="CL61" i="2"/>
  <c r="CA88" i="2"/>
  <c r="DI67" i="2"/>
  <c r="DI83" i="2"/>
  <c r="DL13" i="2"/>
  <c r="DN13" i="2" s="1"/>
  <c r="DO13" i="2" s="1"/>
  <c r="DP13" i="2" s="1"/>
  <c r="DQ13" i="2" s="1"/>
  <c r="DR13" i="2" s="1"/>
  <c r="DS13" i="2" s="1"/>
  <c r="CB61" i="2"/>
  <c r="CB63" i="2" s="1"/>
  <c r="CA101" i="2"/>
  <c r="CD61" i="2"/>
  <c r="CD63" i="2" s="1"/>
  <c r="CC61" i="2"/>
  <c r="CE76" i="2"/>
  <c r="CC76" i="2"/>
  <c r="CB76" i="2"/>
  <c r="CD76" i="2"/>
  <c r="CA140" i="2"/>
  <c r="CA114" i="2"/>
  <c r="BT66" i="2"/>
  <c r="BX66" i="2"/>
  <c r="BY84" i="2"/>
  <c r="BX84" i="2"/>
  <c r="AX63" i="2"/>
  <c r="AW61" i="2"/>
  <c r="AV61" i="2"/>
  <c r="AU61" i="2"/>
  <c r="AI60" i="2"/>
  <c r="AI61" i="2" s="1"/>
  <c r="AD60" i="2"/>
  <c r="AD61" i="2" s="1"/>
  <c r="AE60" i="2"/>
  <c r="AE61" i="2" s="1"/>
  <c r="Z60" i="2"/>
  <c r="Z61" i="2" s="1"/>
  <c r="BU66" i="2"/>
  <c r="BY66" i="2"/>
  <c r="BV66" i="2"/>
  <c r="BZ66" i="2"/>
  <c r="BW66" i="2"/>
  <c r="CA66" i="2"/>
  <c r="BZ84" i="2"/>
  <c r="BW12" i="2"/>
  <c r="CA12" i="2"/>
  <c r="DK12" i="2" s="1"/>
  <c r="BW14" i="2"/>
  <c r="DJ14" i="2" s="1"/>
  <c r="CA14" i="2"/>
  <c r="CK70" i="2" l="1"/>
  <c r="CK86" i="2" s="1"/>
  <c r="DM61" i="2"/>
  <c r="CL63" i="2"/>
  <c r="CL67" i="2" s="1"/>
  <c r="CL69" i="2" s="1"/>
  <c r="CL62" i="2"/>
  <c r="DM62" i="2" s="1"/>
  <c r="CJ71" i="2"/>
  <c r="CJ72" i="2" s="1"/>
  <c r="CL85" i="2"/>
  <c r="CL75" i="2"/>
  <c r="CL84" i="2"/>
  <c r="CL83" i="2"/>
  <c r="AV85" i="2"/>
  <c r="AV63" i="2"/>
  <c r="AV84" i="2"/>
  <c r="AZ75" i="2"/>
  <c r="AW85" i="2"/>
  <c r="AW84" i="2"/>
  <c r="AW63" i="2"/>
  <c r="BA75" i="2"/>
  <c r="AU84" i="2"/>
  <c r="AU63" i="2"/>
  <c r="AU85" i="2"/>
  <c r="AY75" i="2"/>
  <c r="AX67" i="2"/>
  <c r="AX69" i="2" s="1"/>
  <c r="AX83" i="2"/>
  <c r="DL5" i="2"/>
  <c r="DL3" i="2" s="1"/>
  <c r="DL17" i="2"/>
  <c r="DN17" i="2" s="1"/>
  <c r="DO17" i="2" s="1"/>
  <c r="DP17" i="2" s="1"/>
  <c r="DQ17" i="2" s="1"/>
  <c r="DR17" i="2" s="1"/>
  <c r="DS17" i="2" s="1"/>
  <c r="DL14" i="2"/>
  <c r="DN14" i="2" s="1"/>
  <c r="DO14" i="2" s="1"/>
  <c r="DP14" i="2" s="1"/>
  <c r="DQ14" i="2" s="1"/>
  <c r="DR14" i="2" s="1"/>
  <c r="DS14" i="2" s="1"/>
  <c r="DK14" i="2"/>
  <c r="DK61" i="2" s="1"/>
  <c r="CC63" i="2"/>
  <c r="CC62" i="2" s="1"/>
  <c r="DK62" i="2" s="1"/>
  <c r="CC85" i="2"/>
  <c r="CC84" i="2"/>
  <c r="CB85" i="2"/>
  <c r="CB84" i="2"/>
  <c r="DJ12" i="2"/>
  <c r="BW61" i="2"/>
  <c r="CD85" i="2"/>
  <c r="CD84" i="2"/>
  <c r="CH76" i="2"/>
  <c r="CF61" i="2"/>
  <c r="CF76" i="2"/>
  <c r="CD75" i="2"/>
  <c r="CB75" i="2"/>
  <c r="CC75" i="2"/>
  <c r="CG61" i="2"/>
  <c r="CK75" i="2" s="1"/>
  <c r="CG76" i="2"/>
  <c r="CA61" i="2"/>
  <c r="BQ85" i="2"/>
  <c r="BQ84" i="2"/>
  <c r="BQ63" i="2"/>
  <c r="BZ85" i="2"/>
  <c r="BT63" i="2"/>
  <c r="BT83" i="2" s="1"/>
  <c r="BT75" i="2"/>
  <c r="BO85" i="2"/>
  <c r="BO63" i="2"/>
  <c r="BO84" i="2"/>
  <c r="BP85" i="2"/>
  <c r="BP84" i="2"/>
  <c r="BP63" i="2"/>
  <c r="BU63" i="2"/>
  <c r="BU67" i="2" s="1"/>
  <c r="BU69" i="2" s="1"/>
  <c r="BU71" i="2" s="1"/>
  <c r="BU72" i="2" s="1"/>
  <c r="BU75" i="2"/>
  <c r="BT85" i="2"/>
  <c r="BS84" i="2"/>
  <c r="BS63" i="2"/>
  <c r="BS85" i="2"/>
  <c r="BX75" i="2"/>
  <c r="BT84" i="2"/>
  <c r="BV75" i="2"/>
  <c r="BY75" i="2"/>
  <c r="BY85" i="2"/>
  <c r="BZ75" i="2"/>
  <c r="BV63" i="2"/>
  <c r="BV83" i="2" s="1"/>
  <c r="BU84" i="2"/>
  <c r="BR63" i="2"/>
  <c r="BR85" i="2"/>
  <c r="BR84" i="2"/>
  <c r="BU85" i="2"/>
  <c r="BV85" i="2"/>
  <c r="BX85" i="2"/>
  <c r="BV84" i="2"/>
  <c r="BZ63" i="2"/>
  <c r="BZ83" i="2" s="1"/>
  <c r="BY63" i="2"/>
  <c r="BY83" i="2" s="1"/>
  <c r="BX63" i="2"/>
  <c r="BX83" i="2" s="1"/>
  <c r="DG2" i="2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CY73" i="2"/>
  <c r="CY70" i="2"/>
  <c r="CY65" i="2"/>
  <c r="CY64" i="2"/>
  <c r="CY62" i="2"/>
  <c r="CZ62" i="2"/>
  <c r="CZ70" i="2"/>
  <c r="CX70" i="2"/>
  <c r="CW70" i="2"/>
  <c r="CZ65" i="2"/>
  <c r="CZ64" i="2"/>
  <c r="DA65" i="2"/>
  <c r="AL61" i="2"/>
  <c r="AL85" i="2" s="1"/>
  <c r="DA73" i="2"/>
  <c r="CZ21" i="2"/>
  <c r="CY21" i="2"/>
  <c r="DA42" i="2"/>
  <c r="CZ40" i="2"/>
  <c r="CZ42" i="2"/>
  <c r="CZ39" i="2"/>
  <c r="CZ38" i="2"/>
  <c r="CZ23" i="2"/>
  <c r="CZ35" i="2"/>
  <c r="CZ13" i="2"/>
  <c r="CZ14" i="2"/>
  <c r="CZ55" i="2"/>
  <c r="CZ17" i="2"/>
  <c r="CZ12" i="2"/>
  <c r="CZ25" i="2"/>
  <c r="CZ27" i="2"/>
  <c r="DA17" i="2"/>
  <c r="AJ125" i="2"/>
  <c r="AK125" i="2" s="1"/>
  <c r="AL125" i="2" s="1"/>
  <c r="AJ103" i="2"/>
  <c r="AJ114" i="2" s="1"/>
  <c r="AJ90" i="2"/>
  <c r="AJ66" i="2"/>
  <c r="AJ61" i="2"/>
  <c r="AJ63" i="2" s="1"/>
  <c r="AK103" i="2"/>
  <c r="AK114" i="2" s="1"/>
  <c r="AK90" i="2"/>
  <c r="AK101" i="2" s="1"/>
  <c r="AL103" i="2"/>
  <c r="AL114" i="2" s="1"/>
  <c r="AL90" i="2"/>
  <c r="AL101" i="2" s="1"/>
  <c r="AL66" i="2"/>
  <c r="AN61" i="2"/>
  <c r="AN63" i="2" s="1"/>
  <c r="AN83" i="2" s="1"/>
  <c r="AM61" i="2"/>
  <c r="AM84" i="2" s="1"/>
  <c r="AM103" i="2"/>
  <c r="AM114" i="2" s="1"/>
  <c r="AM90" i="2"/>
  <c r="AM101" i="2" s="1"/>
  <c r="AN125" i="2"/>
  <c r="AO125" i="2" s="1"/>
  <c r="AN103" i="2"/>
  <c r="AN114" i="2" s="1"/>
  <c r="AN90" i="2"/>
  <c r="AN101" i="2" s="1"/>
  <c r="AO103" i="2"/>
  <c r="AO114" i="2" s="1"/>
  <c r="AO90" i="2"/>
  <c r="AM68" i="2"/>
  <c r="AM66" i="2"/>
  <c r="AN68" i="2"/>
  <c r="AN66" i="2"/>
  <c r="AK68" i="2"/>
  <c r="CZ68" i="2" s="1"/>
  <c r="AK66" i="2"/>
  <c r="T61" i="2"/>
  <c r="AH61" i="2"/>
  <c r="AO68" i="2"/>
  <c r="AO66" i="2"/>
  <c r="AO24" i="2"/>
  <c r="AO61" i="2" s="1"/>
  <c r="DM63" i="2" l="1"/>
  <c r="DM67" i="2" s="1"/>
  <c r="DM69" i="2" s="1"/>
  <c r="DM70" i="2" s="1"/>
  <c r="DM71" i="2" s="1"/>
  <c r="DM72" i="2" s="1"/>
  <c r="CK71" i="2"/>
  <c r="CK72" i="2" s="1"/>
  <c r="CL70" i="2"/>
  <c r="CL86" i="2" s="1"/>
  <c r="CF63" i="2"/>
  <c r="CJ75" i="2"/>
  <c r="AV67" i="2"/>
  <c r="AV69" i="2" s="1"/>
  <c r="AV83" i="2"/>
  <c r="AU83" i="2"/>
  <c r="AU67" i="2"/>
  <c r="AU69" i="2" s="1"/>
  <c r="AW67" i="2"/>
  <c r="AW69" i="2" s="1"/>
  <c r="AW83" i="2"/>
  <c r="AX71" i="2"/>
  <c r="AX72" i="2" s="1"/>
  <c r="BB81" i="2" s="1"/>
  <c r="AX86" i="2"/>
  <c r="DA12" i="2"/>
  <c r="DJ61" i="2"/>
  <c r="DJ84" i="2" s="1"/>
  <c r="DK84" i="2"/>
  <c r="CH75" i="2"/>
  <c r="CH85" i="2"/>
  <c r="CH84" i="2"/>
  <c r="CF75" i="2"/>
  <c r="CF85" i="2"/>
  <c r="CF84" i="2"/>
  <c r="CD83" i="2"/>
  <c r="CD67" i="2"/>
  <c r="CD69" i="2" s="1"/>
  <c r="DK63" i="2"/>
  <c r="DK67" i="2" s="1"/>
  <c r="CE61" i="2"/>
  <c r="CI75" i="2" s="1"/>
  <c r="DL12" i="2"/>
  <c r="DL61" i="2" s="1"/>
  <c r="CC83" i="2"/>
  <c r="CC67" i="2"/>
  <c r="CC69" i="2" s="1"/>
  <c r="CG75" i="2"/>
  <c r="CG85" i="2"/>
  <c r="CG63" i="2"/>
  <c r="CG62" i="2" s="1"/>
  <c r="DL62" i="2" s="1"/>
  <c r="CG84" i="2"/>
  <c r="CB83" i="2"/>
  <c r="CB67" i="2"/>
  <c r="CB69" i="2" s="1"/>
  <c r="BY67" i="2"/>
  <c r="BY69" i="2" s="1"/>
  <c r="BY71" i="2" s="1"/>
  <c r="BY72" i="2" s="1"/>
  <c r="BX67" i="2"/>
  <c r="BX69" i="2" s="1"/>
  <c r="BX71" i="2" s="1"/>
  <c r="BX72" i="2" s="1"/>
  <c r="BT67" i="2"/>
  <c r="BT69" i="2" s="1"/>
  <c r="BT86" i="2" s="1"/>
  <c r="BU86" i="2"/>
  <c r="BP83" i="2"/>
  <c r="BP67" i="2"/>
  <c r="BP69" i="2" s="1"/>
  <c r="BO83" i="2"/>
  <c r="BO67" i="2"/>
  <c r="BO69" i="2" s="1"/>
  <c r="BQ83" i="2"/>
  <c r="BQ67" i="2"/>
  <c r="BQ69" i="2" s="1"/>
  <c r="BU83" i="2"/>
  <c r="BZ67" i="2"/>
  <c r="BZ69" i="2" s="1"/>
  <c r="BZ71" i="2" s="1"/>
  <c r="BZ72" i="2" s="1"/>
  <c r="BR83" i="2"/>
  <c r="BR67" i="2"/>
  <c r="BR69" i="2" s="1"/>
  <c r="BV67" i="2"/>
  <c r="BV69" i="2" s="1"/>
  <c r="CA85" i="2"/>
  <c r="CA84" i="2"/>
  <c r="BS83" i="2"/>
  <c r="BS67" i="2"/>
  <c r="BS69" i="2" s="1"/>
  <c r="BW63" i="2"/>
  <c r="BW75" i="2"/>
  <c r="BW84" i="2"/>
  <c r="BW85" i="2"/>
  <c r="CA63" i="2"/>
  <c r="CA75" i="2"/>
  <c r="CY66" i="2"/>
  <c r="AR66" i="2"/>
  <c r="CZ66" i="2"/>
  <c r="DA64" i="2"/>
  <c r="DA66" i="2" s="1"/>
  <c r="DA68" i="2"/>
  <c r="DA25" i="2"/>
  <c r="DA21" i="2"/>
  <c r="AN88" i="2"/>
  <c r="AL63" i="2"/>
  <c r="AL67" i="2" s="1"/>
  <c r="AT61" i="2"/>
  <c r="AX75" i="2" s="1"/>
  <c r="DA55" i="2"/>
  <c r="DA38" i="2"/>
  <c r="AO88" i="2"/>
  <c r="DA27" i="2"/>
  <c r="DA13" i="2"/>
  <c r="DA39" i="2"/>
  <c r="AP66" i="2"/>
  <c r="AQ66" i="2"/>
  <c r="DA35" i="2"/>
  <c r="DA24" i="2"/>
  <c r="DA14" i="2"/>
  <c r="AJ88" i="2"/>
  <c r="DA23" i="2"/>
  <c r="AP61" i="2"/>
  <c r="DA62" i="2"/>
  <c r="AS66" i="2"/>
  <c r="DA40" i="2"/>
  <c r="AL84" i="2"/>
  <c r="AL75" i="2"/>
  <c r="AJ84" i="2"/>
  <c r="AN84" i="2"/>
  <c r="AJ83" i="2"/>
  <c r="AJ67" i="2"/>
  <c r="AJ69" i="2" s="1"/>
  <c r="AO84" i="2"/>
  <c r="AO85" i="2"/>
  <c r="AM85" i="2"/>
  <c r="AL88" i="2"/>
  <c r="AJ85" i="2"/>
  <c r="AN85" i="2"/>
  <c r="AO101" i="2"/>
  <c r="AJ101" i="2"/>
  <c r="AK88" i="2"/>
  <c r="AM88" i="2"/>
  <c r="AM63" i="2"/>
  <c r="AM83" i="2" s="1"/>
  <c r="AN67" i="2"/>
  <c r="AN69" i="2" s="1"/>
  <c r="AN86" i="2" s="1"/>
  <c r="AI103" i="2"/>
  <c r="AI114" i="2" s="1"/>
  <c r="AI90" i="2"/>
  <c r="AI101" i="2" s="1"/>
  <c r="AI66" i="2"/>
  <c r="CL71" i="2" l="1"/>
  <c r="CL72" i="2" s="1"/>
  <c r="CE63" i="2"/>
  <c r="DJ63" i="2"/>
  <c r="DJ67" i="2" s="1"/>
  <c r="AW71" i="2"/>
  <c r="AW72" i="2" s="1"/>
  <c r="AW86" i="2"/>
  <c r="AU71" i="2"/>
  <c r="AU72" i="2" s="1"/>
  <c r="AY81" i="2" s="1"/>
  <c r="AU86" i="2"/>
  <c r="DJ75" i="2"/>
  <c r="AV71" i="2"/>
  <c r="AV72" i="2" s="1"/>
  <c r="AZ81" i="2" s="1"/>
  <c r="AV86" i="2"/>
  <c r="AP63" i="2"/>
  <c r="AP83" i="2" s="1"/>
  <c r="DK75" i="2"/>
  <c r="DK69" i="2"/>
  <c r="DK83" i="2"/>
  <c r="DP5" i="2"/>
  <c r="DP3" i="2" s="1"/>
  <c r="CC70" i="2"/>
  <c r="DK70" i="2" s="1"/>
  <c r="CE84" i="2"/>
  <c r="CE85" i="2"/>
  <c r="CD86" i="2"/>
  <c r="BY86" i="2"/>
  <c r="CH83" i="2"/>
  <c r="CH67" i="2"/>
  <c r="CH69" i="2" s="1"/>
  <c r="CG83" i="2"/>
  <c r="CG67" i="2"/>
  <c r="CG69" i="2" s="1"/>
  <c r="CF83" i="2"/>
  <c r="CF67" i="2"/>
  <c r="CF69" i="2" s="1"/>
  <c r="CE75" i="2"/>
  <c r="CB86" i="2"/>
  <c r="BY81" i="2"/>
  <c r="BZ86" i="2"/>
  <c r="BT71" i="2"/>
  <c r="BT72" i="2" s="1"/>
  <c r="BX81" i="2" s="1"/>
  <c r="BX86" i="2"/>
  <c r="BP71" i="2"/>
  <c r="BP72" i="2" s="1"/>
  <c r="BP81" i="2" s="1"/>
  <c r="BP86" i="2"/>
  <c r="BQ86" i="2"/>
  <c r="BQ71" i="2"/>
  <c r="BQ72" i="2" s="1"/>
  <c r="BO71" i="2"/>
  <c r="BO72" i="2" s="1"/>
  <c r="BO81" i="2" s="1"/>
  <c r="BO86" i="2"/>
  <c r="BW83" i="2"/>
  <c r="BW67" i="2"/>
  <c r="BW69" i="2" s="1"/>
  <c r="BS86" i="2"/>
  <c r="BS71" i="2"/>
  <c r="BS72" i="2" s="1"/>
  <c r="BV71" i="2"/>
  <c r="BV72" i="2" s="1"/>
  <c r="BZ81" i="2" s="1"/>
  <c r="BV86" i="2"/>
  <c r="BR86" i="2"/>
  <c r="BR71" i="2"/>
  <c r="BR72" i="2" s="1"/>
  <c r="BR81" i="2" s="1"/>
  <c r="CA67" i="2"/>
  <c r="CA69" i="2" s="1"/>
  <c r="CA83" i="2"/>
  <c r="AQ61" i="2"/>
  <c r="AS61" i="2"/>
  <c r="AL83" i="2"/>
  <c r="AT84" i="2"/>
  <c r="AT63" i="2"/>
  <c r="AT83" i="2" s="1"/>
  <c r="AR61" i="2"/>
  <c r="AT75" i="2"/>
  <c r="AP84" i="2"/>
  <c r="AP85" i="2"/>
  <c r="AP75" i="2"/>
  <c r="AT66" i="2"/>
  <c r="AT85" i="2"/>
  <c r="AJ71" i="2"/>
  <c r="AJ72" i="2" s="1"/>
  <c r="AJ86" i="2"/>
  <c r="AM67" i="2"/>
  <c r="AM69" i="2" s="1"/>
  <c r="AM86" i="2" s="1"/>
  <c r="AN71" i="2"/>
  <c r="AN72" i="2" s="1"/>
  <c r="AI88" i="2"/>
  <c r="CY39" i="2"/>
  <c r="CX39" i="2"/>
  <c r="DJ83" i="2" l="1"/>
  <c r="AP67" i="2"/>
  <c r="AP69" i="2" s="1"/>
  <c r="AR63" i="2"/>
  <c r="AV75" i="2"/>
  <c r="AS63" i="2"/>
  <c r="AS83" i="2" s="1"/>
  <c r="AW75" i="2"/>
  <c r="BA81" i="2"/>
  <c r="AQ75" i="2"/>
  <c r="AU75" i="2"/>
  <c r="BU81" i="2"/>
  <c r="BQ81" i="2"/>
  <c r="DL63" i="2"/>
  <c r="CC86" i="2"/>
  <c r="DK86" i="2"/>
  <c r="BS81" i="2"/>
  <c r="CB71" i="2"/>
  <c r="CB72" i="2" s="1"/>
  <c r="CB81" i="2" s="1"/>
  <c r="DQ5" i="2"/>
  <c r="DQ3" i="2" s="1"/>
  <c r="DN12" i="2"/>
  <c r="DN61" i="2" s="1"/>
  <c r="DL75" i="2"/>
  <c r="DL84" i="2"/>
  <c r="CG70" i="2"/>
  <c r="DL70" i="2" s="1"/>
  <c r="CH86" i="2"/>
  <c r="CE83" i="2"/>
  <c r="CE67" i="2"/>
  <c r="CE69" i="2" s="1"/>
  <c r="CF86" i="2"/>
  <c r="CD71" i="2"/>
  <c r="CD72" i="2" s="1"/>
  <c r="CD81" i="2" s="1"/>
  <c r="CC71" i="2"/>
  <c r="CC72" i="2" s="1"/>
  <c r="CC81" i="2" s="1"/>
  <c r="BV81" i="2"/>
  <c r="BT81" i="2"/>
  <c r="CA71" i="2"/>
  <c r="CA86" i="2"/>
  <c r="BW71" i="2"/>
  <c r="BW86" i="2"/>
  <c r="AQ85" i="2"/>
  <c r="AQ84" i="2"/>
  <c r="AQ63" i="2"/>
  <c r="AQ67" i="2" s="1"/>
  <c r="AQ69" i="2" s="1"/>
  <c r="AT67" i="2"/>
  <c r="AS84" i="2"/>
  <c r="AS85" i="2"/>
  <c r="AS75" i="2"/>
  <c r="AR75" i="2"/>
  <c r="AS67" i="2"/>
  <c r="AS69" i="2" s="1"/>
  <c r="AS86" i="2" s="1"/>
  <c r="AR84" i="2"/>
  <c r="AR85" i="2"/>
  <c r="AR83" i="2"/>
  <c r="AR67" i="2"/>
  <c r="AR69" i="2" s="1"/>
  <c r="AP71" i="2"/>
  <c r="AM71" i="2"/>
  <c r="AM72" i="2" s="1"/>
  <c r="CP84" i="2"/>
  <c r="DL67" i="2" l="1"/>
  <c r="DL69" i="2" s="1"/>
  <c r="AT69" i="2"/>
  <c r="AT71" i="2" s="1"/>
  <c r="CH71" i="2"/>
  <c r="CG86" i="2"/>
  <c r="DM83" i="2"/>
  <c r="DL83" i="2"/>
  <c r="DK71" i="2"/>
  <c r="DK72" i="2" s="1"/>
  <c r="DM75" i="2"/>
  <c r="DO12" i="2"/>
  <c r="DR5" i="2"/>
  <c r="DR3" i="2" s="1"/>
  <c r="AQ83" i="2"/>
  <c r="CE86" i="2"/>
  <c r="DK88" i="2"/>
  <c r="CF71" i="2"/>
  <c r="CF72" i="2" s="1"/>
  <c r="CG71" i="2"/>
  <c r="CG72" i="2" s="1"/>
  <c r="BW72" i="2"/>
  <c r="BW81" i="2" s="1"/>
  <c r="BW116" i="2"/>
  <c r="CA72" i="2"/>
  <c r="CA116" i="2"/>
  <c r="AT72" i="2"/>
  <c r="AX81" i="2" s="1"/>
  <c r="AS71" i="2"/>
  <c r="AS72" i="2" s="1"/>
  <c r="AW81" i="2" s="1"/>
  <c r="AQ86" i="2"/>
  <c r="AP72" i="2"/>
  <c r="AR86" i="2"/>
  <c r="AP86" i="2"/>
  <c r="DA70" i="2"/>
  <c r="CW73" i="2"/>
  <c r="CW68" i="2"/>
  <c r="CW65" i="2"/>
  <c r="CW64" i="2"/>
  <c r="CX73" i="2"/>
  <c r="AH103" i="2"/>
  <c r="AH114" i="2" s="1"/>
  <c r="AH90" i="2"/>
  <c r="AH101" i="2" s="1"/>
  <c r="CY27" i="2"/>
  <c r="AH63" i="2"/>
  <c r="AH66" i="2"/>
  <c r="CY42" i="2"/>
  <c r="DB64" i="2"/>
  <c r="DB66" i="2" s="1"/>
  <c r="CY38" i="2"/>
  <c r="CY23" i="2"/>
  <c r="CY35" i="2"/>
  <c r="CY13" i="2"/>
  <c r="CY14" i="2"/>
  <c r="CY55" i="2"/>
  <c r="CY17" i="2"/>
  <c r="CY12" i="2"/>
  <c r="CY40" i="2"/>
  <c r="CY25" i="2"/>
  <c r="AG68" i="2"/>
  <c r="AG66" i="2"/>
  <c r="AF68" i="2"/>
  <c r="AF66" i="2"/>
  <c r="AD88" i="2"/>
  <c r="CV24" i="2"/>
  <c r="CU24" i="2"/>
  <c r="CT24" i="2"/>
  <c r="CT61" i="2" s="1"/>
  <c r="CS24" i="2"/>
  <c r="CR24" i="2"/>
  <c r="CR61" i="2" s="1"/>
  <c r="CQ24" i="2"/>
  <c r="AD66" i="2"/>
  <c r="CU66" i="2"/>
  <c r="CT66" i="2"/>
  <c r="CS66" i="2"/>
  <c r="CR66" i="2"/>
  <c r="CQ66" i="2"/>
  <c r="CP66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CX42" i="2"/>
  <c r="CW42" i="2"/>
  <c r="CX65" i="2"/>
  <c r="CX64" i="2"/>
  <c r="CX21" i="2"/>
  <c r="CX38" i="2"/>
  <c r="CX23" i="2"/>
  <c r="CX35" i="2"/>
  <c r="CX13" i="2"/>
  <c r="CX14" i="2"/>
  <c r="CX55" i="2"/>
  <c r="CX17" i="2"/>
  <c r="CX12" i="2"/>
  <c r="CX40" i="2"/>
  <c r="CX27" i="2"/>
  <c r="AC68" i="2"/>
  <c r="CX68" i="2" s="1"/>
  <c r="AC66" i="2"/>
  <c r="AB66" i="2"/>
  <c r="CX25" i="2"/>
  <c r="CW13" i="2"/>
  <c r="CV13" i="2"/>
  <c r="CW38" i="2"/>
  <c r="CW23" i="2"/>
  <c r="CW53" i="2"/>
  <c r="CW35" i="2"/>
  <c r="CW14" i="2"/>
  <c r="CW55" i="2"/>
  <c r="CW17" i="2"/>
  <c r="CW12" i="2"/>
  <c r="CV53" i="2"/>
  <c r="CV35" i="2"/>
  <c r="CV14" i="2"/>
  <c r="CV55" i="2"/>
  <c r="CV17" i="2"/>
  <c r="CU55" i="2"/>
  <c r="CU12" i="2"/>
  <c r="CU40" i="2"/>
  <c r="CV12" i="2"/>
  <c r="CW40" i="2"/>
  <c r="CW27" i="2"/>
  <c r="CV40" i="2"/>
  <c r="CU25" i="2"/>
  <c r="CV25" i="2"/>
  <c r="CW25" i="2"/>
  <c r="Z66" i="2"/>
  <c r="AA66" i="2"/>
  <c r="CV27" i="2"/>
  <c r="CV23" i="2"/>
  <c r="CV38" i="2"/>
  <c r="CV43" i="2"/>
  <c r="CV44" i="2"/>
  <c r="CW44" i="2" s="1"/>
  <c r="CV49" i="2"/>
  <c r="CW49" i="2" s="1"/>
  <c r="CX49" i="2" s="1"/>
  <c r="CV42" i="2"/>
  <c r="CV51" i="2"/>
  <c r="CW51" i="2" s="1"/>
  <c r="CX51" i="2" s="1"/>
  <c r="CV64" i="2"/>
  <c r="CV65" i="2"/>
  <c r="CV46" i="2"/>
  <c r="CW46" i="2" s="1"/>
  <c r="CV48" i="2"/>
  <c r="CW48" i="2" s="1"/>
  <c r="CX48" i="2" s="1"/>
  <c r="CV54" i="2"/>
  <c r="CW54" i="2" s="1"/>
  <c r="CX54" i="2" s="1"/>
  <c r="S43" i="2"/>
  <c r="T63" i="2"/>
  <c r="T67" i="2" s="1"/>
  <c r="T69" i="2" s="1"/>
  <c r="T86" i="2" s="1"/>
  <c r="R53" i="2"/>
  <c r="R42" i="2"/>
  <c r="T85" i="2"/>
  <c r="T84" i="2"/>
  <c r="CU27" i="2"/>
  <c r="J4" i="1"/>
  <c r="J7" i="1" s="1"/>
  <c r="C23" i="3"/>
  <c r="C22" i="3"/>
  <c r="C26" i="5"/>
  <c r="T73" i="2"/>
  <c r="CV73" i="2" s="1"/>
  <c r="CP63" i="2"/>
  <c r="CP67" i="2" s="1"/>
  <c r="CP69" i="2" s="1"/>
  <c r="CP71" i="2" s="1"/>
  <c r="CP72" i="2" s="1"/>
  <c r="K38" i="2"/>
  <c r="M12" i="2"/>
  <c r="M53" i="2"/>
  <c r="AE66" i="2"/>
  <c r="CH72" i="2" l="1"/>
  <c r="CL81" i="2" s="1"/>
  <c r="CH116" i="2"/>
  <c r="CG81" i="2"/>
  <c r="CK81" i="2"/>
  <c r="CF81" i="2"/>
  <c r="CJ81" i="2"/>
  <c r="CH81" i="2"/>
  <c r="AT81" i="2"/>
  <c r="AT86" i="2"/>
  <c r="DL86" i="2"/>
  <c r="DN63" i="2"/>
  <c r="DN62" i="2" s="1"/>
  <c r="DS5" i="2"/>
  <c r="DS3" i="2" s="1"/>
  <c r="DP12" i="2"/>
  <c r="DO61" i="2"/>
  <c r="DM84" i="2"/>
  <c r="DN64" i="2"/>
  <c r="DN75" i="2"/>
  <c r="CE71" i="2"/>
  <c r="CA81" i="2"/>
  <c r="AQ71" i="2"/>
  <c r="AQ72" i="2" s="1"/>
  <c r="CV66" i="2"/>
  <c r="CY68" i="2"/>
  <c r="AR71" i="2"/>
  <c r="AR72" i="2" s="1"/>
  <c r="CX61" i="2"/>
  <c r="CX84" i="2" s="1"/>
  <c r="CV61" i="2"/>
  <c r="CV84" i="2" s="1"/>
  <c r="CS61" i="2"/>
  <c r="CS84" i="2" s="1"/>
  <c r="CQ61" i="2"/>
  <c r="CQ84" i="2" s="1"/>
  <c r="CU61" i="2"/>
  <c r="CW61" i="2"/>
  <c r="AK61" i="2"/>
  <c r="S61" i="2"/>
  <c r="S85" i="2" s="1"/>
  <c r="CX66" i="2"/>
  <c r="AH83" i="2"/>
  <c r="AH67" i="2"/>
  <c r="AH69" i="2" s="1"/>
  <c r="T83" i="2"/>
  <c r="CR84" i="2"/>
  <c r="CR63" i="2"/>
  <c r="CR67" i="2" s="1"/>
  <c r="CR69" i="2" s="1"/>
  <c r="CR71" i="2" s="1"/>
  <c r="CR72" i="2" s="1"/>
  <c r="T71" i="2"/>
  <c r="T72" i="2" s="1"/>
  <c r="CT84" i="2"/>
  <c r="CT63" i="2"/>
  <c r="AH85" i="2"/>
  <c r="AH84" i="2"/>
  <c r="DC64" i="2"/>
  <c r="CW66" i="2"/>
  <c r="CZ73" i="2"/>
  <c r="CE72" i="2" l="1"/>
  <c r="CI81" i="2" s="1"/>
  <c r="CE116" i="2"/>
  <c r="CE81" i="2"/>
  <c r="AQ81" i="2"/>
  <c r="AU81" i="2"/>
  <c r="AR81" i="2"/>
  <c r="AV81" i="2"/>
  <c r="DL71" i="2"/>
  <c r="DL88" i="2" s="1"/>
  <c r="DO63" i="2"/>
  <c r="DO62" i="2" s="1"/>
  <c r="DN83" i="2"/>
  <c r="DQ12" i="2"/>
  <c r="DP61" i="2"/>
  <c r="DN66" i="2"/>
  <c r="DN67" i="2" s="1"/>
  <c r="DN84" i="2"/>
  <c r="DO64" i="2"/>
  <c r="DO75" i="2"/>
  <c r="CQ63" i="2"/>
  <c r="CQ67" i="2" s="1"/>
  <c r="CQ69" i="2" s="1"/>
  <c r="CQ71" i="2" s="1"/>
  <c r="CQ72" i="2" s="1"/>
  <c r="CQ81" i="2" s="1"/>
  <c r="CT75" i="2"/>
  <c r="CS63" i="2"/>
  <c r="CS67" i="2" s="1"/>
  <c r="CS69" i="2" s="1"/>
  <c r="CS71" i="2" s="1"/>
  <c r="CS72" i="2" s="1"/>
  <c r="CS81" i="2" s="1"/>
  <c r="DB73" i="2"/>
  <c r="DC73" i="2" s="1"/>
  <c r="DD73" i="2" s="1"/>
  <c r="DE73" i="2" s="1"/>
  <c r="DB61" i="2"/>
  <c r="DB84" i="2" s="1"/>
  <c r="DA61" i="2"/>
  <c r="DA63" i="2" s="1"/>
  <c r="CX75" i="2"/>
  <c r="AK85" i="2"/>
  <c r="AK63" i="2"/>
  <c r="AK83" i="2" s="1"/>
  <c r="AK84" i="2"/>
  <c r="S63" i="2"/>
  <c r="S67" i="2" s="1"/>
  <c r="S69" i="2" s="1"/>
  <c r="AL69" i="2"/>
  <c r="AL86" i="2" s="1"/>
  <c r="S84" i="2"/>
  <c r="AN75" i="2"/>
  <c r="CU84" i="2"/>
  <c r="CU75" i="2"/>
  <c r="CU63" i="2"/>
  <c r="AH86" i="2"/>
  <c r="AH71" i="2"/>
  <c r="AH72" i="2" s="1"/>
  <c r="CV75" i="2"/>
  <c r="DC66" i="2"/>
  <c r="CT83" i="2"/>
  <c r="CT67" i="2"/>
  <c r="CT69" i="2" s="1"/>
  <c r="CT71" i="2" s="1"/>
  <c r="CT72" i="2" s="1"/>
  <c r="CW84" i="2"/>
  <c r="CV63" i="2"/>
  <c r="CW75" i="2"/>
  <c r="DL72" i="2" l="1"/>
  <c r="DP63" i="2"/>
  <c r="DP62" i="2" s="1"/>
  <c r="DO84" i="2"/>
  <c r="DO66" i="2"/>
  <c r="DO67" i="2" s="1"/>
  <c r="DR12" i="2"/>
  <c r="DR61" i="2" s="1"/>
  <c r="DR63" i="2" s="1"/>
  <c r="DQ61" i="2"/>
  <c r="DO83" i="2"/>
  <c r="DP64" i="2"/>
  <c r="DP75" i="2"/>
  <c r="CT81" i="2"/>
  <c r="CR81" i="2"/>
  <c r="DA83" i="2"/>
  <c r="DA67" i="2"/>
  <c r="DA69" i="2" s="1"/>
  <c r="AK67" i="2"/>
  <c r="AK69" i="2" s="1"/>
  <c r="S83" i="2"/>
  <c r="S71" i="2"/>
  <c r="S72" i="2" s="1"/>
  <c r="S86" i="2"/>
  <c r="DD66" i="2"/>
  <c r="CU67" i="2"/>
  <c r="CU69" i="2" s="1"/>
  <c r="CU71" i="2" s="1"/>
  <c r="CU72" i="2" s="1"/>
  <c r="CU81" i="2" s="1"/>
  <c r="CU83" i="2"/>
  <c r="DA84" i="2"/>
  <c r="CV67" i="2"/>
  <c r="CV69" i="2" s="1"/>
  <c r="CV70" i="2" s="1"/>
  <c r="CV71" i="2" s="1"/>
  <c r="CV72" i="2" s="1"/>
  <c r="CV62" i="2"/>
  <c r="AL71" i="2"/>
  <c r="AL72" i="2" s="1"/>
  <c r="DB75" i="2"/>
  <c r="DQ63" i="2" l="1"/>
  <c r="DQ62" i="2" s="1"/>
  <c r="DM86" i="2"/>
  <c r="DP83" i="2"/>
  <c r="DP66" i="2"/>
  <c r="DP67" i="2" s="1"/>
  <c r="DP84" i="2"/>
  <c r="DQ64" i="2"/>
  <c r="DQ75" i="2"/>
  <c r="DS12" i="2"/>
  <c r="DS61" i="2" s="1"/>
  <c r="AL81" i="2"/>
  <c r="AP81" i="2"/>
  <c r="DC84" i="2"/>
  <c r="AK86" i="2"/>
  <c r="AK71" i="2"/>
  <c r="AK72" i="2" s="1"/>
  <c r="DA71" i="2"/>
  <c r="CV81" i="2"/>
  <c r="DS63" i="2" l="1"/>
  <c r="DS64" i="2"/>
  <c r="DS66" i="2" s="1"/>
  <c r="DS62" i="2"/>
  <c r="DR62" i="2"/>
  <c r="DR64" i="2"/>
  <c r="DR66" i="2" s="1"/>
  <c r="DR67" i="2" s="1"/>
  <c r="DR75" i="2"/>
  <c r="DS75" i="2"/>
  <c r="DQ83" i="2"/>
  <c r="DQ66" i="2"/>
  <c r="DQ67" i="2" s="1"/>
  <c r="DQ84" i="2"/>
  <c r="DF66" i="2"/>
  <c r="DC63" i="2"/>
  <c r="DC67" i="2" s="1"/>
  <c r="DC69" i="2" s="1"/>
  <c r="DC75" i="2"/>
  <c r="DD84" i="2"/>
  <c r="AN81" i="2"/>
  <c r="DA72" i="2"/>
  <c r="DS67" i="2" l="1"/>
  <c r="DM88" i="2"/>
  <c r="DN68" i="2" s="1"/>
  <c r="DN69" i="2" s="1"/>
  <c r="DN70" i="2" s="1"/>
  <c r="DS83" i="2"/>
  <c r="DS84" i="2"/>
  <c r="DR83" i="2"/>
  <c r="DR84" i="2"/>
  <c r="DG66" i="2"/>
  <c r="DG67" i="2" s="1"/>
  <c r="DC62" i="2"/>
  <c r="DD67" i="2"/>
  <c r="DD69" i="2" s="1"/>
  <c r="DF61" i="2"/>
  <c r="DF63" i="2" s="1"/>
  <c r="DF67" i="2" s="1"/>
  <c r="DE84" i="2"/>
  <c r="DD75" i="2"/>
  <c r="DN86" i="2" l="1"/>
  <c r="DN71" i="2"/>
  <c r="DF84" i="2"/>
  <c r="DH66" i="2"/>
  <c r="DH67" i="2" s="1"/>
  <c r="DE69" i="2"/>
  <c r="DE75" i="2"/>
  <c r="DC70" i="2"/>
  <c r="DC71" i="2" s="1"/>
  <c r="DN72" i="2" l="1"/>
  <c r="DN88" i="2"/>
  <c r="DF75" i="2"/>
  <c r="DC72" i="2"/>
  <c r="DO68" i="2" l="1"/>
  <c r="DO69" i="2" s="1"/>
  <c r="DO70" i="2" s="1"/>
  <c r="DF69" i="2"/>
  <c r="DG69" i="2"/>
  <c r="DG75" i="2"/>
  <c r="DG84" i="2"/>
  <c r="DD70" i="2"/>
  <c r="DD71" i="2" s="1"/>
  <c r="DO86" i="2" l="1"/>
  <c r="DO71" i="2"/>
  <c r="DG71" i="2"/>
  <c r="DG72" i="2" s="1"/>
  <c r="DH69" i="2"/>
  <c r="DH71" i="2" s="1"/>
  <c r="DH72" i="2" s="1"/>
  <c r="DH75" i="2"/>
  <c r="DH84" i="2"/>
  <c r="DD72" i="2"/>
  <c r="DD81" i="2" s="1"/>
  <c r="DO72" i="2" l="1"/>
  <c r="DO88" i="2"/>
  <c r="DH81" i="2"/>
  <c r="DJ69" i="2"/>
  <c r="DJ71" i="2" s="1"/>
  <c r="DJ72" i="2" s="1"/>
  <c r="DI69" i="2"/>
  <c r="DI71" i="2" s="1"/>
  <c r="DI72" i="2" s="1"/>
  <c r="DI81" i="2" s="1"/>
  <c r="DI75" i="2"/>
  <c r="DI84" i="2"/>
  <c r="DE71" i="2"/>
  <c r="DP68" i="2" l="1"/>
  <c r="DP69" i="2" s="1"/>
  <c r="DP70" i="2" s="1"/>
  <c r="DJ81" i="2"/>
  <c r="DE72" i="2"/>
  <c r="DE81" i="2" s="1"/>
  <c r="DP86" i="2" l="1"/>
  <c r="DP71" i="2"/>
  <c r="DF71" i="2"/>
  <c r="DP72" i="2" l="1"/>
  <c r="DP88" i="2"/>
  <c r="DF72" i="2"/>
  <c r="DQ68" i="2" l="1"/>
  <c r="DQ69" i="2" s="1"/>
  <c r="DQ70" i="2" s="1"/>
  <c r="DF81" i="2"/>
  <c r="DG81" i="2"/>
  <c r="DQ86" i="2" l="1"/>
  <c r="DQ71" i="2"/>
  <c r="P61" i="2"/>
  <c r="P85" i="2" s="1"/>
  <c r="DQ72" i="2" l="1"/>
  <c r="DQ88" i="2"/>
  <c r="P84" i="2"/>
  <c r="AO75" i="2"/>
  <c r="AO63" i="2"/>
  <c r="P63" i="2"/>
  <c r="DR68" i="2" l="1"/>
  <c r="DR69" i="2" s="1"/>
  <c r="DR70" i="2" s="1"/>
  <c r="AO83" i="2"/>
  <c r="AO67" i="2"/>
  <c r="AO69" i="2" s="1"/>
  <c r="AO86" i="2" s="1"/>
  <c r="P67" i="2"/>
  <c r="P69" i="2" s="1"/>
  <c r="P83" i="2"/>
  <c r="L61" i="2"/>
  <c r="L85" i="2" s="1"/>
  <c r="DR86" i="2" l="1"/>
  <c r="P71" i="2"/>
  <c r="P72" i="2" s="1"/>
  <c r="T81" i="2" s="1"/>
  <c r="P86" i="2"/>
  <c r="AO71" i="2"/>
  <c r="AO72" i="2" s="1"/>
  <c r="L84" i="2"/>
  <c r="L63" i="2"/>
  <c r="DR71" i="2" l="1"/>
  <c r="AO81" i="2"/>
  <c r="AS81" i="2"/>
  <c r="L67" i="2"/>
  <c r="L69" i="2" s="1"/>
  <c r="L83" i="2"/>
  <c r="DR72" i="2" l="1"/>
  <c r="DR88" i="2"/>
  <c r="DS68" i="2" s="1"/>
  <c r="DS69" i="2" s="1"/>
  <c r="DS70" i="2" s="1"/>
  <c r="DS71" i="2" s="1"/>
  <c r="L71" i="2"/>
  <c r="L72" i="2" s="1"/>
  <c r="P81" i="2" s="1"/>
  <c r="L86" i="2"/>
  <c r="M61" i="2"/>
  <c r="M84" i="2" s="1"/>
  <c r="M85" i="2" l="1"/>
  <c r="M63" i="2"/>
  <c r="DS86" i="2" l="1"/>
  <c r="M83" i="2"/>
  <c r="M67" i="2"/>
  <c r="M69" i="2" s="1"/>
  <c r="M86" i="2" l="1"/>
  <c r="M71" i="2"/>
  <c r="M72" i="2" s="1"/>
  <c r="K61" i="2"/>
  <c r="K85" i="2" s="1"/>
  <c r="DT71" i="2" l="1"/>
  <c r="DS72" i="2"/>
  <c r="DS88" i="2"/>
  <c r="K63" i="2"/>
  <c r="K84" i="2"/>
  <c r="DU71" i="2" l="1"/>
  <c r="DV71" i="2" s="1"/>
  <c r="DW71" i="2" s="1"/>
  <c r="DX71" i="2" s="1"/>
  <c r="DY71" i="2" s="1"/>
  <c r="DZ71" i="2" s="1"/>
  <c r="EA71" i="2" s="1"/>
  <c r="EB71" i="2" s="1"/>
  <c r="EC71" i="2" s="1"/>
  <c r="ED71" i="2" s="1"/>
  <c r="EE71" i="2" s="1"/>
  <c r="EF71" i="2" s="1"/>
  <c r="EG71" i="2" s="1"/>
  <c r="EH71" i="2" s="1"/>
  <c r="EI71" i="2" s="1"/>
  <c r="EJ71" i="2" s="1"/>
  <c r="EK71" i="2" s="1"/>
  <c r="EL71" i="2" s="1"/>
  <c r="EM71" i="2" s="1"/>
  <c r="EN71" i="2" s="1"/>
  <c r="EO71" i="2" s="1"/>
  <c r="EP71" i="2" s="1"/>
  <c r="EQ71" i="2" s="1"/>
  <c r="ER71" i="2" s="1"/>
  <c r="ES71" i="2" s="1"/>
  <c r="ET71" i="2" s="1"/>
  <c r="EU71" i="2" s="1"/>
  <c r="EV71" i="2" s="1"/>
  <c r="EW71" i="2" s="1"/>
  <c r="EX71" i="2" s="1"/>
  <c r="EY71" i="2" s="1"/>
  <c r="EZ71" i="2" s="1"/>
  <c r="FA71" i="2" s="1"/>
  <c r="FB71" i="2" s="1"/>
  <c r="FC71" i="2" s="1"/>
  <c r="FD71" i="2" s="1"/>
  <c r="FE71" i="2" s="1"/>
  <c r="FF71" i="2" s="1"/>
  <c r="FG71" i="2" s="1"/>
  <c r="FH71" i="2" s="1"/>
  <c r="FI71" i="2" s="1"/>
  <c r="FJ71" i="2" s="1"/>
  <c r="FK71" i="2" s="1"/>
  <c r="FL71" i="2" s="1"/>
  <c r="FM71" i="2" s="1"/>
  <c r="FN71" i="2" s="1"/>
  <c r="FO71" i="2" s="1"/>
  <c r="FP71" i="2" s="1"/>
  <c r="FQ71" i="2" s="1"/>
  <c r="FR71" i="2" s="1"/>
  <c r="FS71" i="2" s="1"/>
  <c r="FT71" i="2" s="1"/>
  <c r="FU71" i="2" s="1"/>
  <c r="FV71" i="2" s="1"/>
  <c r="FW71" i="2" s="1"/>
  <c r="FX71" i="2" s="1"/>
  <c r="FY71" i="2" s="1"/>
  <c r="FZ71" i="2" s="1"/>
  <c r="GA71" i="2" s="1"/>
  <c r="GB71" i="2" s="1"/>
  <c r="GC71" i="2" s="1"/>
  <c r="GD71" i="2" s="1"/>
  <c r="GE71" i="2" s="1"/>
  <c r="GF71" i="2" s="1"/>
  <c r="GG71" i="2" s="1"/>
  <c r="GH71" i="2" s="1"/>
  <c r="GI71" i="2" s="1"/>
  <c r="GJ71" i="2" s="1"/>
  <c r="GK71" i="2" s="1"/>
  <c r="GL71" i="2" s="1"/>
  <c r="GM71" i="2" s="1"/>
  <c r="GN71" i="2" s="1"/>
  <c r="GO71" i="2" s="1"/>
  <c r="GP71" i="2" s="1"/>
  <c r="GQ71" i="2" s="1"/>
  <c r="GR71" i="2" s="1"/>
  <c r="GS71" i="2" s="1"/>
  <c r="DU89" i="2" s="1"/>
  <c r="K67" i="2"/>
  <c r="K69" i="2" s="1"/>
  <c r="K83" i="2"/>
  <c r="DU90" i="2" l="1"/>
  <c r="K86" i="2"/>
  <c r="K71" i="2"/>
  <c r="K72" i="2" s="1"/>
  <c r="O61" i="2"/>
  <c r="O85" i="2" s="1"/>
  <c r="O84" i="2" l="1"/>
  <c r="O63" i="2"/>
  <c r="O83" i="2" l="1"/>
  <c r="O67" i="2"/>
  <c r="O69" i="2" s="1"/>
  <c r="Q61" i="2"/>
  <c r="Q84" i="2" s="1"/>
  <c r="Q63" i="2" l="1"/>
  <c r="Q83" i="2" s="1"/>
  <c r="O71" i="2"/>
  <c r="O72" i="2" s="1"/>
  <c r="O86" i="2"/>
  <c r="Q85" i="2"/>
  <c r="Q67" i="2" l="1"/>
  <c r="Q69" i="2" s="1"/>
  <c r="O81" i="2"/>
  <c r="S81" i="2"/>
  <c r="J61" i="2"/>
  <c r="J85" i="2" s="1"/>
  <c r="Q86" i="2" l="1"/>
  <c r="Q71" i="2"/>
  <c r="Q72" i="2" s="1"/>
  <c r="J84" i="2"/>
  <c r="J63" i="2"/>
  <c r="Q81" i="2" l="1"/>
  <c r="J67" i="2"/>
  <c r="J69" i="2" s="1"/>
  <c r="J83" i="2"/>
  <c r="J86" i="2" l="1"/>
  <c r="J71" i="2"/>
  <c r="J72" i="2" s="1"/>
  <c r="N61" i="2"/>
  <c r="N84" i="2" s="1"/>
  <c r="N85" i="2" l="1"/>
  <c r="N63" i="2"/>
  <c r="N83" i="2" l="1"/>
  <c r="N67" i="2"/>
  <c r="N69" i="2" s="1"/>
  <c r="N86" i="2" l="1"/>
  <c r="N71" i="2"/>
  <c r="N72" i="2" s="1"/>
  <c r="DB63" i="2"/>
  <c r="DB67" i="2" s="1"/>
  <c r="DB69" i="2" s="1"/>
  <c r="DB70" i="2" l="1"/>
  <c r="DB71" i="2" s="1"/>
  <c r="DB62" i="2"/>
  <c r="DB72" i="2" l="1"/>
  <c r="DC81" i="2" l="1"/>
  <c r="DB81" i="2"/>
  <c r="W24" i="2" l="1"/>
  <c r="W61" i="2" s="1"/>
  <c r="W63" i="2" s="1"/>
  <c r="Y24" i="2"/>
  <c r="Y61" i="2" s="1"/>
  <c r="X24" i="2"/>
  <c r="X61" i="2" s="1"/>
  <c r="X85" i="2" s="1"/>
  <c r="R24" i="2"/>
  <c r="R61" i="2" s="1"/>
  <c r="V24" i="2"/>
  <c r="V61" i="2" s="1"/>
  <c r="V85" i="2" s="1"/>
  <c r="U24" i="2"/>
  <c r="U61" i="2" s="1"/>
  <c r="U63" i="2" s="1"/>
  <c r="U85" i="2" l="1"/>
  <c r="U84" i="2"/>
  <c r="V63" i="2"/>
  <c r="V83" i="2" s="1"/>
  <c r="R84" i="2"/>
  <c r="R85" i="2"/>
  <c r="R63" i="2"/>
  <c r="Y63" i="2"/>
  <c r="Y67" i="2" s="1"/>
  <c r="Y69" i="2" s="1"/>
  <c r="Y71" i="2" s="1"/>
  <c r="Y72" i="2" s="1"/>
  <c r="Y75" i="2"/>
  <c r="Y84" i="2"/>
  <c r="Y85" i="2"/>
  <c r="W67" i="2"/>
  <c r="W69" i="2" s="1"/>
  <c r="W71" i="2" s="1"/>
  <c r="W72" i="2" s="1"/>
  <c r="W81" i="2" s="1"/>
  <c r="U67" i="2"/>
  <c r="U69" i="2" s="1"/>
  <c r="U83" i="2"/>
  <c r="X75" i="2"/>
  <c r="W84" i="2"/>
  <c r="V84" i="2"/>
  <c r="X84" i="2"/>
  <c r="W85" i="2"/>
  <c r="X63" i="2"/>
  <c r="X67" i="2" s="1"/>
  <c r="X69" i="2" s="1"/>
  <c r="X71" i="2" s="1"/>
  <c r="X72" i="2" s="1"/>
  <c r="X81" i="2" s="1"/>
  <c r="V67" i="2" l="1"/>
  <c r="V69" i="2" s="1"/>
  <c r="V86" i="2" s="1"/>
  <c r="U71" i="2"/>
  <c r="U72" i="2" s="1"/>
  <c r="U81" i="2" s="1"/>
  <c r="U86" i="2"/>
  <c r="R83" i="2"/>
  <c r="R67" i="2"/>
  <c r="R69" i="2" s="1"/>
  <c r="Y81" i="2" l="1"/>
  <c r="V71" i="2"/>
  <c r="V72" i="2" s="1"/>
  <c r="R86" i="2"/>
  <c r="R71" i="2"/>
  <c r="R72" i="2" s="1"/>
  <c r="R81" i="2" s="1"/>
  <c r="V81" i="2" l="1"/>
  <c r="Z75" i="2" l="1"/>
  <c r="Z85" i="2"/>
  <c r="Z84" i="2"/>
  <c r="Z63" i="2"/>
  <c r="Z67" i="2" s="1"/>
  <c r="Z69" i="2" s="1"/>
  <c r="Z71" i="2" s="1"/>
  <c r="Z72" i="2" s="1"/>
  <c r="Z81" i="2" s="1"/>
  <c r="CW63" i="2" l="1"/>
  <c r="CW83" i="2" s="1"/>
  <c r="CW62" i="2" l="1"/>
  <c r="CW67" i="2"/>
  <c r="CW69" i="2" s="1"/>
  <c r="CW71" i="2" s="1"/>
  <c r="CW72" i="2" s="1"/>
  <c r="CW81" i="2" s="1"/>
  <c r="AE85" i="2" l="1"/>
  <c r="AE84" i="2"/>
  <c r="AE63" i="2"/>
  <c r="AE83" i="2" l="1"/>
  <c r="AE67" i="2"/>
  <c r="AE69" i="2" s="1"/>
  <c r="AE71" i="2" l="1"/>
  <c r="AE86" i="2"/>
  <c r="AE88" i="2" l="1"/>
  <c r="AE72" i="2"/>
  <c r="AC60" i="2"/>
  <c r="AC61" i="2" s="1"/>
  <c r="AC85" i="2" s="1"/>
  <c r="AC63" i="2" l="1"/>
  <c r="AC84" i="2"/>
  <c r="AC75" i="2"/>
  <c r="AC67" i="2" l="1"/>
  <c r="AC69" i="2" s="1"/>
  <c r="AC83" i="2"/>
  <c r="AC71" i="2" l="1"/>
  <c r="AC72" i="2" s="1"/>
  <c r="AC81" i="2" s="1"/>
  <c r="AC86" i="2"/>
  <c r="AD63" i="2"/>
  <c r="AD67" i="2" s="1"/>
  <c r="AD69" i="2" s="1"/>
  <c r="AD75" i="2"/>
  <c r="AH75" i="2"/>
  <c r="AD84" i="2"/>
  <c r="AD85" i="2"/>
  <c r="AD71" i="2" l="1"/>
  <c r="AD72" i="2" s="1"/>
  <c r="AD86" i="2"/>
  <c r="AD83" i="2"/>
  <c r="AD81" i="2" l="1"/>
  <c r="AH81" i="2"/>
  <c r="CZ24" i="2"/>
  <c r="CZ61" i="2" s="1"/>
  <c r="DA75" i="2" l="1"/>
  <c r="CZ63" i="2"/>
  <c r="CZ84" i="2"/>
  <c r="AI85" i="2"/>
  <c r="AI84" i="2"/>
  <c r="AI75" i="2"/>
  <c r="AM75" i="2"/>
  <c r="AI63" i="2"/>
  <c r="AI83" i="2" l="1"/>
  <c r="AI67" i="2"/>
  <c r="AI69" i="2" s="1"/>
  <c r="CZ83" i="2"/>
  <c r="CZ67" i="2"/>
  <c r="CZ69" i="2" s="1"/>
  <c r="CZ71" i="2" s="1"/>
  <c r="CZ72" i="2" l="1"/>
  <c r="AI86" i="2"/>
  <c r="AI71" i="2"/>
  <c r="AI72" i="2" s="1"/>
  <c r="DA81" i="2" l="1"/>
  <c r="AI81" i="2"/>
  <c r="AM81" i="2"/>
  <c r="AA60" i="2"/>
  <c r="AA61" i="2" s="1"/>
  <c r="AA85" i="2" s="1"/>
  <c r="AA63" i="2" l="1"/>
  <c r="AA83" i="2" s="1"/>
  <c r="AE75" i="2"/>
  <c r="AA84" i="2"/>
  <c r="AA75" i="2"/>
  <c r="AA67" i="2" l="1"/>
  <c r="AA69" i="2" s="1"/>
  <c r="AA86" i="2" s="1"/>
  <c r="AA71" i="2" l="1"/>
  <c r="AA72" i="2" s="1"/>
  <c r="AA81" i="2" s="1"/>
  <c r="AB60" i="2"/>
  <c r="AB61" i="2" s="1"/>
  <c r="AB85" i="2" s="1"/>
  <c r="AE81" i="2" l="1"/>
  <c r="AB63" i="2"/>
  <c r="AB83" i="2" s="1"/>
  <c r="AB84" i="2"/>
  <c r="AB75" i="2"/>
  <c r="CX63" i="2" l="1"/>
  <c r="CX83" i="2" s="1"/>
  <c r="AB67" i="2"/>
  <c r="AB69" i="2" s="1"/>
  <c r="CX62" i="2"/>
  <c r="CX67" i="2"/>
  <c r="CX69" i="2" s="1"/>
  <c r="CX71" i="2" s="1"/>
  <c r="CX72" i="2" s="1"/>
  <c r="CX81" i="2" s="1"/>
  <c r="AG60" i="2"/>
  <c r="AG61" i="2" s="1"/>
  <c r="AG75" i="2" s="1"/>
  <c r="AB71" i="2" l="1"/>
  <c r="AB72" i="2" s="1"/>
  <c r="AB81" i="2" s="1"/>
  <c r="AB86" i="2"/>
  <c r="AK75" i="2"/>
  <c r="AG63" i="2"/>
  <c r="AG84" i="2"/>
  <c r="AG85" i="2"/>
  <c r="AG67" i="2" l="1"/>
  <c r="AG69" i="2" s="1"/>
  <c r="AG83" i="2"/>
  <c r="AG71" i="2" l="1"/>
  <c r="AG72" i="2" s="1"/>
  <c r="AG86" i="2"/>
  <c r="AK81" i="2" l="1"/>
  <c r="AG81" i="2"/>
  <c r="CY24" i="2"/>
  <c r="CY61" i="2" s="1"/>
  <c r="CY63" i="2" s="1"/>
  <c r="AF60" i="2"/>
  <c r="AF61" i="2" s="1"/>
  <c r="AF63" i="2" s="1"/>
  <c r="AF83" i="2" l="1"/>
  <c r="AF67" i="2"/>
  <c r="AF69" i="2" s="1"/>
  <c r="AF71" i="2" s="1"/>
  <c r="AF72" i="2" s="1"/>
  <c r="AJ81" i="2" s="1"/>
  <c r="AF85" i="2"/>
  <c r="CY67" i="2"/>
  <c r="CY69" i="2" s="1"/>
  <c r="CY71" i="2" s="1"/>
  <c r="CY72" i="2" s="1"/>
  <c r="CY83" i="2"/>
  <c r="CY75" i="2"/>
  <c r="CY84" i="2"/>
  <c r="CZ75" i="2"/>
  <c r="AF86" i="2"/>
  <c r="AF75" i="2"/>
  <c r="AJ75" i="2"/>
  <c r="AF84" i="2"/>
  <c r="AF81" i="2" l="1"/>
  <c r="CY81" i="2"/>
  <c r="CZ8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Andre</author>
  </authors>
  <commentList>
    <comment ref="H3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  <comment ref="H8" authorId="1" shapeId="0" xr:uid="{00000000-0006-0000-0000-000001000000}">
      <text>
        <r>
          <rPr>
            <b/>
            <sz val="8"/>
            <color rgb="FF000000"/>
            <rFont val="Tahoma"/>
            <family val="2"/>
          </rPr>
          <t>Andre: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Compound patent expires 2013. LLY has formulation patent until 2014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tc={305C25D8-EC5F-F64B-B9EB-E27AF5972BCF}</author>
    <author>tc={F08151EC-4522-254D-A6CF-DBB4C58C9479}</author>
    <author>Martin</author>
    <author>Martin Shkreli</author>
    <author>MSMB - Andre</author>
    <author>tc={C53B26C9-8602-47A2-80EC-A28651A52E20}</author>
    <author>tc={63959650-84D7-46CF-829F-FD9E350BCC20}</author>
    <author>tc={A9214E8B-BB63-4C5A-81B6-161440AC7FDE}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tc={E9AE85F5-95A1-1746-8695-2448A65CBE0D}</author>
    <author>Lane Nussbaum</author>
    <author>tc={44F04AEB-60ED-E244-B275-73D80CAB84D6}</author>
    <author>tc={DCF6DE87-1143-A848-8919-609B3D10ACF2}</author>
    <author>tc={00F4491F-C819-44C1-AC45-2ABA1B7BE593}</author>
    <author>tc={8874A794-CB8F-4280-B6A0-27B01371D863}</author>
    <author>tc={E2B8392D-784C-1C43-9C17-6F8F6E8E10E8}</author>
    <author>tc={D3E83574-E8FE-5147-B547-53DDC5467704}</author>
    <author>Bloomberg</author>
    <author>tc={C09F6605-4B5E-4E4F-877F-AF898C62BEE7}</author>
    <author>tc={6446E119-F193-1142-9DE3-B2093A985B4F}</author>
    <author>tc={EA475891-7DAB-5B42-A37D-6815334EAFF1}</author>
    <author>tc={E7A7648A-AC02-E948-A141-F239D41E7779}</author>
  </authors>
  <commentList>
    <comment ref="U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CH5" authorId="1" shapeId="0" xr:uid="{305C25D8-EC5F-F64B-B9EB-E27AF5972BCF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Supply constrained</t>
      </text>
    </comment>
    <comment ref="CH6" authorId="2" shapeId="0" xr:uid="{F08151EC-4522-254D-A6CF-DBB4C58C94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AI12" authorId="3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AI13" authorId="3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DE13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I14" authorId="3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S17" authorId="4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AI17" authorId="3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AI23" authorId="3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R25" authorId="4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AE25" authorId="5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AI25" authorId="3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AL25" authorId="3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V25" authorId="4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CZ25" authorId="3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DA25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I27" authorId="3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CY27" authorId="3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DB27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BV28" authorId="6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BZ28" authorId="7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BX32" authorId="8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AI35" authorId="3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DE35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CW38" authorId="3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AI40" authorId="3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CY40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AI55" authorId="3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DA55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AI61" authorId="3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BS61" authorId="9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BT61" authorId="10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BU61" authorId="11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BV61" authorId="12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BW61" authorId="13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BX61" authorId="14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BY61" authorId="15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BZ61" authorId="16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CF61" authorId="17" shapeId="0" xr:uid="{7F77C49B-1A2C-41FA-8A63-291465846371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</t>
      </text>
    </comment>
    <comment ref="CH61" authorId="18" shapeId="0" xr:uid="{E9AE85F5-95A1-1746-8695-2448A65CBE0D}">
      <text>
        <t>[Threaded comment]
Your version of Excel allows you to read this threaded comment; however, any edits to it will get removed if the file is opened in a newer version of Excel. Learn more: https://go.microsoft.com/fwlink/?linkid=870924
Comment:
    $65m one-time milestone for Ebglyss launch.</t>
      </text>
    </comment>
    <comment ref="CU61" authorId="4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CV61" authorId="4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CW61" authorId="19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CX61" authorId="3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CY61" authorId="3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DL61" authorId="20" shapeId="0" xr:uid="{44F04AEB-60ED-E244-B275-73D80CAB84D6}">
      <text>
        <t>[Threaded comment]
Your version of Excel allows you to read this threaded comment; however, any edits to it will get removed if the file is opened in a newer version of Excel. Learn more: https://go.microsoft.com/fwlink/?linkid=870924
Comment:
    34124m actual</t>
      </text>
    </comment>
    <comment ref="DM61" authorId="21" shapeId="0" xr:uid="{DCF6DE87-1143-A848-8919-609B3D10ACF2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40.4-41.6</t>
      </text>
    </comment>
    <comment ref="T67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U67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R68" authorId="4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CV68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CV70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W70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X70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Y70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BW71" authorId="22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CA71" authorId="23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CD71" authorId="24" shapeId="0" xr:uid="{E2B8392D-784C-1C43-9C17-6F8F6E8E10E8}">
      <text>
        <t>[Threaded comment]
Your version of Excel allows you to read this threaded comment; however, any edits to it will get removed if the file is opened in a newer version of Excel. Learn more: https://go.microsoft.com/fwlink/?linkid=870924
Comment:
    1893.1m NG NI</t>
      </text>
    </comment>
    <comment ref="CH71" authorId="25" shapeId="0" xr:uid="{D3E83574-E8FE-5147-B547-53DDC5467704}">
      <text>
        <t>[Threaded comment]
Your version of Excel allows you to read this threaded comment; however, any edits to it will get removed if the file is opened in a newer version of Excel. Learn more: https://go.microsoft.com/fwlink/?linkid=870924
Comment:
    2249.4m NG NI</t>
      </text>
    </comment>
    <comment ref="Q72" authorId="26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T72" authorId="4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V72" authorId="26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AI72" authorId="3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CD72" authorId="27" shapeId="0" xr:uid="{C09F6605-4B5E-4E4F-877F-AF898C62BEE7}">
      <text>
        <t>[Threaded comment]
Your version of Excel allows you to read this threaded comment; however, any edits to it will get removed if the file is opened in a newer version of Excel. Learn more: https://go.microsoft.com/fwlink/?linkid=870924
Comment:
    2.09 NG NI</t>
      </text>
    </comment>
    <comment ref="CH72" authorId="28" shapeId="0" xr:uid="{6446E119-F193-1142-9DE3-B2093A985B4F}">
      <text>
        <t>[Threaded comment]
Your version of Excel allows you to read this threaded comment; however, any edits to it will get removed if the file is opened in a newer version of Excel. Learn more: https://go.microsoft.com/fwlink/?linkid=870924
Comment:
    2.49 NG NI</t>
      </text>
    </comment>
    <comment ref="CU72" authorId="4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CV72" authorId="4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CW72" authorId="19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CY72" authorId="5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CZ72" authorId="3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DM72" authorId="29" shapeId="0" xr:uid="{EA475891-7DAB-5B42-A37D-6815334EAFF1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12.20-12.70</t>
      </text>
    </comment>
    <comment ref="CH75" authorId="30" shapeId="0" xr:uid="{E7A7648A-AC02-E948-A141-F239D41E7779}">
      <text>
        <t>[Threaded comment]
Your version of Excel allows you to read this threaded comment; however, any edits to it will get removed if the file is opened in a newer version of Excel. Learn more: https://go.microsoft.com/fwlink/?linkid=870924
Comment:
    16% higher prices (Mounjaro savings card dynamics)
11% volume
1% FX</t>
      </text>
    </comment>
    <comment ref="CV83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tc={9EFBC388-7842-A34E-BC67-3F0DEF2CB4E1}</author>
    <author>tc={8C384B14-D415-9E49-B644-E9DC597BE4C9}</author>
  </authors>
  <commentList>
    <comment ref="T13" authorId="0" shapeId="0" xr:uid="{9EFBC388-7842-A34E-BC67-3F0DEF2CB4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BT13" authorId="1" shapeId="0" xr:uid="{8C384B14-D415-9E49-B644-E9DC597BE4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</commentList>
</comments>
</file>

<file path=xl/sharedStrings.xml><?xml version="1.0" encoding="utf-8"?>
<sst xmlns="http://schemas.openxmlformats.org/spreadsheetml/2006/main" count="1134" uniqueCount="750">
  <si>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</si>
  <si>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</si>
  <si>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</si>
  <si>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</si>
  <si>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</si>
  <si>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</si>
  <si>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</si>
  <si>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</si>
  <si>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</si>
  <si>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</si>
  <si>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</si>
  <si>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</si>
  <si>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</si>
  <si>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</si>
  <si>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</si>
  <si>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</si>
  <si>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</si>
  <si>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</si>
  <si>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</si>
  <si>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</si>
  <si>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</si>
  <si>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</si>
  <si>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</si>
  <si>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</si>
  <si>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</si>
  <si>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</si>
  <si>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</si>
  <si>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</si>
  <si>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</si>
  <si>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</si>
  <si>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</si>
  <si>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</si>
  <si>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</si>
  <si>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</si>
  <si>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</si>
  <si>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</si>
  <si>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</si>
  <si>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</si>
  <si>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</si>
  <si>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</si>
  <si>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</si>
  <si>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</si>
  <si>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</si>
  <si>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</si>
  <si>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</si>
  <si>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</si>
  <si>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</si>
  <si>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</si>
  <si>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</si>
  <si>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</si>
  <si>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</si>
  <si>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</si>
  <si>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</si>
  <si>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</si>
  <si>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</si>
  <si>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</si>
  <si>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</si>
  <si>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</si>
  <si>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</si>
  <si>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</si>
  <si>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</si>
  <si>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</si>
  <si>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</si>
  <si>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</si>
  <si>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</si>
  <si>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</si>
  <si>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</si>
  <si>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</si>
  <si>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</si>
  <si>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</si>
  <si>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</si>
  <si>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</si>
  <si>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</si>
  <si>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</si>
  <si>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</si>
  <si>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</si>
  <si>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</si>
  <si>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</si>
  <si>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</si>
  <si>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</si>
  <si>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</si>
  <si>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</si>
  <si>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</si>
  <si>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</si>
  <si>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</si>
  <si>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</si>
  <si>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</si>
  <si>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</si>
  <si>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</si>
  <si>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</si>
  <si>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</si>
  <si>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</si>
  <si>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</si>
  <si>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</si>
  <si>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</si>
  <si>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</si>
  <si>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</si>
  <si>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</si>
  <si>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</si>
  <si>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</si>
  <si>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</si>
  <si>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</si>
  <si>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</si>
  <si>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</si>
  <si>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</si>
  <si>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</si>
  <si>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</si>
  <si>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</si>
  <si>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</si>
  <si>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</si>
  <si>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</si>
  <si>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</si>
  <si>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</si>
  <si>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</si>
  <si>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</si>
  <si>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</si>
  <si>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</si>
  <si>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</si>
  <si>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</si>
  <si>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</si>
  <si>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</si>
  <si>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</si>
  <si>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</si>
  <si>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</si>
  <si>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</si>
  <si>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</si>
  <si>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</si>
  <si>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</si>
  <si>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</si>
  <si>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</si>
  <si>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</si>
  <si>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</si>
  <si>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</si>
  <si>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</si>
  <si>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</si>
  <si>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</si>
  <si>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</si>
  <si>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</si>
  <si>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</si>
  <si>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</si>
  <si>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</si>
  <si>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</si>
  <si>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</si>
  <si>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</si>
  <si>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</si>
  <si>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</si>
  <si>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</si>
  <si>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</si>
  <si>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</si>
  <si>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</si>
  <si>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</si>
  <si>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</si>
  <si>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</si>
  <si>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</si>
  <si>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</si>
  <si>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</si>
  <si>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</si>
  <si>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</si>
  <si>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</si>
  <si>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</si>
  <si>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</si>
  <si>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</si>
  <si>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</si>
  <si>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</si>
  <si>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</si>
  <si>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</si>
  <si>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</si>
  <si>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</si>
  <si>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</si>
  <si>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</si>
  <si>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</si>
  <si>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</si>
  <si>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</si>
  <si>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</si>
  <si>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</si>
  <si>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</si>
  <si>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</si>
  <si>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</si>
  <si>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</si>
  <si>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</si>
  <si>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</si>
  <si>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</si>
  <si>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</si>
  <si>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</si>
  <si>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</si>
  <si>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</si>
  <si>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</si>
  <si>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</si>
  <si>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</si>
  <si>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</si>
  <si>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</si>
  <si>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</si>
  <si>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</si>
  <si>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</si>
  <si>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</si>
  <si>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</si>
  <si>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</si>
  <si>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</si>
  <si>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</si>
  <si>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</si>
  <si>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</si>
  <si>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</si>
  <si>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</si>
  <si>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</si>
  <si>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</si>
  <si>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</si>
  <si>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</si>
  <si>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</si>
  <si>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</si>
  <si>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</si>
  <si>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</si>
  <si>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</si>
  <si>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</si>
  <si>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</si>
  <si>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</si>
  <si>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</si>
  <si>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</si>
  <si>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</si>
  <si>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</si>
  <si>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</si>
  <si>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</si>
  <si>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</si>
  <si>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</si>
  <si>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</si>
  <si>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</si>
  <si>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</si>
  <si>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</si>
  <si>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</si>
  <si>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</si>
  <si>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</si>
  <si>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</si>
  <si>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</si>
  <si>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</si>
  <si>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</si>
  <si>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</si>
  <si>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</si>
  <si>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</si>
  <si>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</si>
  <si>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</si>
  <si>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</si>
  <si>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</si>
  <si>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</si>
  <si>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</si>
  <si>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</si>
  <si>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</si>
  <si>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</si>
  <si>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</si>
  <si>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</si>
  <si>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</si>
  <si>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</si>
  <si>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</si>
  <si>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</si>
  <si>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</si>
  <si>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</si>
  <si>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</si>
  <si>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</si>
  <si>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</si>
  <si>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</si>
  <si>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</si>
  <si>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</si>
  <si>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</si>
  <si>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</si>
  <si>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</si>
  <si>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</si>
  <si>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</si>
  <si>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Statin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</si>
  <si>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</si>
  <si>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</si>
  <si>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</si>
  <si>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</si>
  <si>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</si>
  <si>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</si>
  <si>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</si>
  <si>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</si>
  <si>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</si>
  <si>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</si>
  <si>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</si>
  <si>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</si>
  <si>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</si>
  <si>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</si>
  <si>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</si>
  <si>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</si>
  <si>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</si>
  <si>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</si>
  <si>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</si>
  <si>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</si>
  <si>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</si>
  <si>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</si>
  <si>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</si>
  <si>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</si>
  <si>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</si>
  <si>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</si>
  <si>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</si>
  <si>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</si>
  <si>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</si>
  <si>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</si>
  <si>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</si>
  <si>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</si>
  <si>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</si>
  <si>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</si>
  <si>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</si>
  <si>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</si>
  <si>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</si>
  <si>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</si>
  <si>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</si>
  <si>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</si>
  <si>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</si>
  <si>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</si>
  <si>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</si>
  <si>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</si>
  <si>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</si>
  <si>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</si>
  <si>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</si>
  <si>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</si>
  <si>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</si>
  <si>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</si>
  <si>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</si>
  <si>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</si>
  <si>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</si>
  <si>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</si>
  <si>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</si>
  <si>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</si>
  <si>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</si>
  <si>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</si>
  <si>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</si>
  <si>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</si>
  <si>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</si>
  <si>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</si>
  <si>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</si>
  <si>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</si>
  <si>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</si>
  <si>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</si>
  <si>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</si>
  <si>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</si>
  <si>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</si>
  <si>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</si>
  <si>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</si>
  <si>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</si>
  <si>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</si>
  <si>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</si>
  <si>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</si>
  <si>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</si>
  <si>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</si>
  <si>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</si>
  <si>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</si>
  <si>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</si>
  <si>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</si>
  <si>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</si>
  <si>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</si>
  <si>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</si>
  <si>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</si>
  <si>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</si>
  <si>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</si>
  <si>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</si>
  <si>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</si>
  <si>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</si>
  <si>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</si>
  <si>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</si>
  <si>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</si>
  <si>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</si>
  <si>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</si>
  <si>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</si>
  <si>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</si>
  <si>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</si>
  <si>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</si>
  <si>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</si>
  <si>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</si>
  <si>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</si>
  <si>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</si>
  <si>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</si>
  <si>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</si>
  <si>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</si>
  <si>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</si>
  <si>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</si>
  <si>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</si>
  <si>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</si>
  <si>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</si>
  <si>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</si>
  <si>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</si>
  <si>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</si>
  <si>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</si>
  <si>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</si>
  <si>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</si>
  <si>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</si>
  <si>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</si>
  <si>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</si>
  <si>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</si>
  <si>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</si>
  <si>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</si>
  <si>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</si>
  <si>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</si>
  <si>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</si>
  <si>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</si>
  <si>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</si>
  <si>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</si>
  <si>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</si>
  <si>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</si>
  <si>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</si>
  <si>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</si>
  <si>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</si>
  <si>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</si>
  <si>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</si>
  <si>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</si>
  <si>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</si>
  <si>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</si>
  <si>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</si>
  <si>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</si>
  <si>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</si>
  <si>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</si>
  <si>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</si>
  <si>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</si>
  <si>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</si>
  <si>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</si>
  <si>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</si>
  <si>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</si>
  <si>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</si>
  <si>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</si>
  <si>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</si>
  <si>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</si>
  <si>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</si>
  <si>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</si>
  <si>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</si>
  <si>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</si>
  <si>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</si>
  <si>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</si>
  <si>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</si>
  <si>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</si>
  <si>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</si>
  <si>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</si>
  <si>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</si>
  <si>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</si>
  <si>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</si>
  <si>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</si>
  <si>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</si>
  <si>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</si>
  <si>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</si>
  <si>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</si>
  <si>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</si>
  <si>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</si>
  <si>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</si>
  <si>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</si>
  <si>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</si>
  <si>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</si>
  <si>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</si>
  <si>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</si>
  <si>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</si>
  <si>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</si>
  <si>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</si>
  <si>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</si>
  <si>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</si>
  <si>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</si>
  <si>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</si>
  <si>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</si>
  <si>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</si>
  <si>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</si>
  <si>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</si>
  <si>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</si>
  <si>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</si>
  <si>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</si>
  <si>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</si>
  <si>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CFO: Anat Ashkenazi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</si>
  <si>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</si>
  <si>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</si>
  <si>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</si>
  <si>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</si>
  <si>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</si>
  <si>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</si>
  <si>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</si>
  <si>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</si>
  <si>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</si>
  <si>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</si>
  <si>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</si>
  <si>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</si>
  <si>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</si>
  <si>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</si>
  <si>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</si>
  <si>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</si>
  <si>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</si>
  <si>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</si>
  <si>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</si>
  <si>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</si>
  <si>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</si>
  <si>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</si>
  <si>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</si>
  <si>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</si>
  <si>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</si>
  <si>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</si>
  <si>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</si>
  <si>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</si>
  <si>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Imlunestrant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</si>
  <si>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</si>
  <si>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</si>
  <si>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</si>
  <si>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</si>
  <si>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</si>
  <si>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</si>
  <si>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</si>
  <si>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Glucagon</t>
  </si>
  <si>
    <t>Qbrexza</t>
  </si>
  <si>
    <t>Disposition</t>
  </si>
  <si>
    <t>Divested</t>
  </si>
  <si>
    <t>lasmiditan</t>
  </si>
  <si>
    <t>RIGL</t>
  </si>
  <si>
    <t>RIPK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</si>
  <si>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</si>
  <si>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</si>
  <si>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</si>
  <si>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</si>
  <si>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</si>
  <si>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</si>
  <si>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</si>
  <si>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</si>
  <si>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</si>
  <si>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</si>
  <si>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</si>
  <si>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</si>
  <si>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</si>
  <si>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</si>
  <si>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</si>
  <si>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</si>
  <si>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</si>
  <si>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</si>
  <si>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</si>
  <si>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</si>
  <si>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</si>
  <si>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</si>
  <si>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ALM in EU, CRL in US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</si>
  <si>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</si>
  <si>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</si>
  <si>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</si>
  <si>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</si>
  <si>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</si>
  <si>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</si>
  <si>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</si>
  <si>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</si>
  <si>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</si>
  <si>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</si>
  <si>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</si>
  <si>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</si>
  <si>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</si>
  <si>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</si>
  <si>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</si>
  <si>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</si>
  <si>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</si>
  <si>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</si>
  <si>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Phase III CLL-322 2L CLL piro+ven+ritux vs. veneto_ritux</t>
  </si>
  <si>
    <t>tirzepatide</t>
  </si>
  <si>
    <t>2/6/24: Q423 results.</t>
  </si>
  <si>
    <t>Germany injectable manufacturing site</t>
  </si>
  <si>
    <t>Mounjaro, Zepbound</t>
  </si>
  <si>
    <t>T2D, Obesity</t>
  </si>
  <si>
    <t>Generic in US. 2013</t>
  </si>
  <si>
    <t>Forteo (teriparatide)</t>
  </si>
  <si>
    <t>2 generics in US</t>
  </si>
  <si>
    <t>Cialis (tadalafil)</t>
  </si>
  <si>
    <t>Emgality (galcanezumab)</t>
  </si>
  <si>
    <t>China</t>
  </si>
  <si>
    <t>3L+ CLL/SLL accelerated approval</t>
  </si>
  <si>
    <t>Phase II "SYNERGY-NASH"</t>
  </si>
  <si>
    <t>74% absence of MASH with no worse fibrosis at 52 weeks vs. 13% for placebo</t>
  </si>
  <si>
    <t>Phase III "CYCLONE-2" mCRPC failed</t>
  </si>
  <si>
    <t>LillyDirect</t>
  </si>
  <si>
    <t>Acquisitions</t>
  </si>
  <si>
    <t>POINT Biopharma Global Inc</t>
  </si>
  <si>
    <t>Mablink Biosciences SAS</t>
  </si>
  <si>
    <t>BD</t>
  </si>
  <si>
    <t>Beam Therapeutics</t>
  </si>
  <si>
    <t>Jardiance, Glyxambi, Synjardy, Trijardy XR</t>
  </si>
  <si>
    <t>PR001 (GBA1 gene therapy)</t>
  </si>
  <si>
    <t>mazdutide</t>
  </si>
  <si>
    <t>bimagrumab</t>
  </si>
  <si>
    <t>orforglipron</t>
  </si>
  <si>
    <t>insulin efsitora</t>
  </si>
  <si>
    <t>Victoza</t>
  </si>
  <si>
    <t>Saxenda</t>
  </si>
  <si>
    <t>Rybelsus</t>
  </si>
  <si>
    <t>Ozempic</t>
  </si>
  <si>
    <t>Bydureon</t>
  </si>
  <si>
    <t>Wegovy</t>
  </si>
  <si>
    <t>semaglutide</t>
  </si>
  <si>
    <t>liraglutide</t>
  </si>
  <si>
    <t>Approval</t>
  </si>
  <si>
    <t>Company</t>
  </si>
  <si>
    <t>MEDI0382</t>
  </si>
  <si>
    <t>cotadutide</t>
  </si>
  <si>
    <t>AZN</t>
  </si>
  <si>
    <t>LLY</t>
  </si>
  <si>
    <t>NVO</t>
  </si>
  <si>
    <t>LY3502970</t>
  </si>
  <si>
    <t>lixisenatide</t>
  </si>
  <si>
    <t>LY3437943</t>
  </si>
  <si>
    <t>retratrutide</t>
  </si>
  <si>
    <t>https://www.nejm.org/doi/full/10.1056/NEJMoa2301972</t>
  </si>
  <si>
    <t>survodutide</t>
  </si>
  <si>
    <t>BI 456906</t>
  </si>
  <si>
    <t>BI/ZEAL</t>
  </si>
  <si>
    <t>albiglutide</t>
  </si>
  <si>
    <t>VK2735</t>
  </si>
  <si>
    <t>efpeglenatide</t>
  </si>
  <si>
    <t>ECC5004</t>
  </si>
  <si>
    <t>pemvidutide</t>
  </si>
  <si>
    <t>G3215</t>
  </si>
  <si>
    <t>CT-388</t>
  </si>
  <si>
    <t>PFE</t>
  </si>
  <si>
    <t>Pep2tango</t>
  </si>
  <si>
    <t>Gasherbrum Bio</t>
  </si>
  <si>
    <t>AMG133</t>
  </si>
  <si>
    <t>maridebart cafraglutide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</si>
  <si>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</si>
  <si>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</si>
  <si>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</si>
  <si>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</si>
  <si>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</si>
  <si>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</si>
  <si>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</si>
  <si>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</si>
  <si>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</si>
  <si>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</si>
  <si>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</si>
  <si>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</si>
  <si>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</si>
  <si>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</si>
  <si>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</si>
  <si>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</si>
  <si>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</si>
  <si>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</si>
  <si>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</si>
  <si>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</si>
  <si>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</si>
  <si>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</si>
  <si>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</si>
  <si>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</si>
  <si>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</si>
  <si>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</si>
  <si>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</si>
  <si>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</si>
  <si>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</si>
  <si>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</si>
  <si>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</si>
  <si>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</si>
  <si>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</si>
  <si>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</si>
  <si>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</si>
  <si>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</si>
  <si>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</si>
  <si>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Y1</t>
  </si>
  <si>
    <t>Y2</t>
  </si>
  <si>
    <t>Y3</t>
  </si>
  <si>
    <t>Y4</t>
  </si>
  <si>
    <t>Total</t>
  </si>
  <si>
    <t>Y5</t>
  </si>
  <si>
    <t>Y6</t>
  </si>
  <si>
    <t>Q100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</si>
  <si>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</si>
  <si>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</si>
  <si>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</si>
  <si>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</si>
  <si>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</si>
  <si>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</si>
  <si>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</si>
  <si>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</si>
  <si>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</si>
  <si>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</si>
  <si>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</si>
  <si>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Q499</t>
  </si>
  <si>
    <t>Q399</t>
  </si>
  <si>
    <t>Age</t>
  </si>
  <si>
    <t>20-29</t>
  </si>
  <si>
    <t>30-39</t>
  </si>
  <si>
    <t>40-49</t>
  </si>
  <si>
    <t>50-59</t>
  </si>
  <si>
    <t>60-69</t>
  </si>
  <si>
    <t>70-79</t>
  </si>
  <si>
    <t>80+</t>
  </si>
  <si>
    <t>5th</t>
  </si>
  <si>
    <t>10th</t>
  </si>
  <si>
    <t>90th</t>
  </si>
  <si>
    <t>95th</t>
  </si>
  <si>
    <t>85th</t>
  </si>
  <si>
    <t>Females</t>
  </si>
  <si>
    <t>50th</t>
  </si>
  <si>
    <t>75th</t>
  </si>
  <si>
    <t>Males</t>
  </si>
  <si>
    <t>Mean</t>
  </si>
  <si>
    <t>18% are 0-14</t>
  </si>
  <si>
    <t>US Population</t>
  </si>
  <si>
    <t>Over 20</t>
  </si>
  <si>
    <t>12m</t>
  </si>
  <si>
    <t>25m</t>
  </si>
  <si>
    <t>37m</t>
  </si>
  <si>
    <t>62m</t>
  </si>
  <si>
    <t>make 75k+</t>
  </si>
  <si>
    <t>make 100k+</t>
  </si>
  <si>
    <t>make 150k+</t>
  </si>
  <si>
    <t>make 200k+</t>
  </si>
  <si>
    <t>Q125</t>
  </si>
  <si>
    <t>Q225</t>
  </si>
  <si>
    <t>Q325</t>
  </si>
  <si>
    <t>Q425</t>
  </si>
  <si>
    <t>Q126</t>
  </si>
  <si>
    <t>Q226</t>
  </si>
  <si>
    <t>Q326</t>
  </si>
  <si>
    <t>Q426</t>
  </si>
  <si>
    <t>Q427</t>
  </si>
  <si>
    <t>Q327</t>
  </si>
  <si>
    <t>Q227</t>
  </si>
  <si>
    <t>Q127</t>
  </si>
  <si>
    <t>Q428</t>
  </si>
  <si>
    <t>Q328</t>
  </si>
  <si>
    <t>Q228</t>
  </si>
  <si>
    <t>Q128</t>
  </si>
  <si>
    <t>VKTX</t>
  </si>
  <si>
    <t>efocipegtrutide</t>
  </si>
  <si>
    <t>Mounjaro y/y</t>
  </si>
  <si>
    <t>LY3871801/R552</t>
  </si>
  <si>
    <t>Diabetes</t>
  </si>
  <si>
    <t>Obesity/T2D</t>
  </si>
  <si>
    <t>eloralintide</t>
  </si>
  <si>
    <t>retatrutide</t>
  </si>
  <si>
    <t>Obesity, OA, OSA, T2D</t>
  </si>
  <si>
    <t>muvalaplin</t>
  </si>
  <si>
    <t>Cardio</t>
  </si>
  <si>
    <t>solbinsiran</t>
  </si>
  <si>
    <t>volenrelaxin</t>
  </si>
  <si>
    <t>HF</t>
  </si>
  <si>
    <t>CD19 mab</t>
  </si>
  <si>
    <t>Multiple Sclerosis</t>
  </si>
  <si>
    <t>DC-806</t>
  </si>
  <si>
    <t>eltrekibart</t>
  </si>
  <si>
    <t>Hidradenitis suppurativa</t>
  </si>
  <si>
    <t>KV1.3 antagonist</t>
  </si>
  <si>
    <t>ocadusertib</t>
  </si>
  <si>
    <t>peresolimab</t>
  </si>
  <si>
    <t>ucenprubart</t>
  </si>
  <si>
    <t>remternetug</t>
  </si>
  <si>
    <t>Gaucher, Parkinson's</t>
  </si>
  <si>
    <t>GRN Gene Therapy</t>
  </si>
  <si>
    <t>GBA1 gene therapy</t>
  </si>
  <si>
    <t>GRN gene therapy</t>
  </si>
  <si>
    <t>Frontotemporal dementia</t>
  </si>
  <si>
    <t>O-GlcNAcase inhibitor</t>
  </si>
  <si>
    <t>P2X7 inhibitor</t>
  </si>
  <si>
    <t>SSTR4 agonist</t>
  </si>
  <si>
    <t>olomorasib</t>
  </si>
  <si>
    <t>KRAS G12C NSCLC</t>
  </si>
  <si>
    <t>KRAS</t>
  </si>
  <si>
    <t>lepodisiran</t>
  </si>
  <si>
    <t>Atherosclerosis</t>
  </si>
  <si>
    <t>Phase III "SURMOUNT-OSA"</t>
  </si>
  <si>
    <t>Phase III "TRAILBLAZER-ALZ 2" early symptomatic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</si>
</sst>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0.0%"/>
    <numFmt numFmtId="165" formatCode="0.0"/>
    <numFmt numFmtId="166" formatCode="#,##0.0"/>
  </numFmts>
  <fonts count="15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</cellStyleXfs>
  <cellXfs count="10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0" borderId="0" xfId="0" applyNumberFormat="1"/>
    <xf numFmtId="3" fontId="4" fillId="0" borderId="0" xfId="2" applyNumberFormat="1" applyFont="1" applyFill="1" applyBorder="1" applyAlignment="1">
      <alignment horizontal="right"/>
    </xf>
    <xf numFmtId="3" fontId="8" fillId="0" borderId="0" xfId="0" applyNumberFormat="1" applyFont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/>
    <xf numFmtId="3" fontId="8" fillId="0" borderId="0" xfId="0" applyNumberFormat="1" applyFont="1" applyAlignment="1">
      <alignment horizontal="right"/>
    </xf>
    <xf numFmtId="0" fontId="4" fillId="2" borderId="12" xfId="0" applyFont="1" applyFill="1" applyBorder="1"/>
    <xf numFmtId="0" fontId="4" fillId="2" borderId="9" xfId="0" applyFont="1" applyFill="1" applyBorder="1" applyAlignment="1">
      <alignment horizontal="center"/>
    </xf>
    <xf numFmtId="9" fontId="0" fillId="2" borderId="9" xfId="0" applyNumberForma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9" fontId="4" fillId="2" borderId="0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right"/>
    </xf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13493</xdr:colOff>
      <xdr:row>0</xdr:row>
      <xdr:rowOff>24191</xdr:rowOff>
    </xdr:from>
    <xdr:to>
      <xdr:col>87</xdr:col>
      <xdr:colOff>13493</xdr:colOff>
      <xdr:row>149</xdr:row>
      <xdr:rowOff>24191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47227255" y="24191"/>
          <a:ext cx="0" cy="2416628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116</xdr:col>
      <xdr:colOff>50800</xdr:colOff>
      <xdr:row>0</xdr:row>
      <xdr:rowOff>0</xdr:rowOff>
    </xdr:from>
    <xdr:to>
      <xdr:col>116</xdr:col>
      <xdr:colOff>50800</xdr:colOff>
      <xdr:row>108</xdr:row>
      <xdr:rowOff>161924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62347324" y="0"/>
          <a:ext cx="0" cy="1730692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H5" dT="2024-02-27T00:19:09.68" personId="{13399233-BA81-4949-9BE8-57EDDD85014C}" id="{305C25D8-EC5F-F64B-B9EB-E27AF5972BCF}">
    <text>Supply constrained</text>
  </threadedComment>
  <threadedComment ref="CH6" dT="2024-02-27T00:21:21.87" personId="{13399233-BA81-4949-9BE8-57EDDD85014C}" id="{F08151EC-4522-254D-A6CF-DBB4C58C9479}">
    <text xml:space="preserve">One-time benefit for change in rebate estimates. Revenue would have been ~$300m less! </text>
  </threadedComment>
  <threadedComment ref="BV28" dT="2022-08-02T13:03:18.23" personId="{13399233-BA81-4949-9BE8-57EDDD85014C}" id="{C53B26C9-8602-47A2-80EC-A28651A52E20}">
    <text>359m as per 2021 10-K</text>
  </threadedComment>
  <threadedComment ref="BZ28" dT="2022-08-01T18:27:07.85" personId="{13399233-BA81-4949-9BE8-57EDDD85014C}" id="{63959650-84D7-46CF-829F-FD9E350BCC20}">
    <text>372.5m</text>
  </threadedComment>
  <threadedComment ref="BX32" dT="2022-08-02T13:15:28.62" personId="{13399233-BA81-4949-9BE8-57EDDD85014C}" id="{A9214E8B-BB63-4C5A-81B6-161440AC7FDE}">
    <text>last quarter of Qbrexza</text>
  </threadedComment>
  <threadedComment ref="BS61" dT="2022-08-01T19:29:14.28" personId="{13399233-BA81-4949-9BE8-57EDDD85014C}" id="{E60352B4-4A0D-4646-997E-29633AD2D222}">
    <text>5859.8m reported revenue</text>
  </threadedComment>
  <threadedComment ref="BT61" dT="2022-08-01T19:13:29.91" personId="{13399233-BA81-4949-9BE8-57EDDD85014C}" id="{D23219C3-585B-4401-96E4-A54AA852CF63}">
    <text>5499.4m reported revenue</text>
  </threadedComment>
  <threadedComment ref="BU61" dT="2022-08-01T19:08:14.14" personId="{13399233-BA81-4949-9BE8-57EDDD85014C}" id="{A2E464E0-CBDF-4ECE-9C4E-FC1B4BA053F8}">
    <text>5740.6 reported revenue</text>
  </threadedComment>
  <threadedComment ref="BV61" dT="2022-08-01T18:51:30.86" personId="{13399233-BA81-4949-9BE8-57EDDD85014C}" id="{F1B0E7D4-F86C-4460-9BB2-30549C72BA4D}">
    <text>7440.0 actual reported</text>
  </threadedComment>
  <threadedComment ref="BW61" dT="2022-08-01T19:28:46.54" personId="{13399233-BA81-4949-9BE8-57EDDD85014C}" id="{27F9AA8E-4F00-4838-B3AE-5C359EA80361}">
    <text>6805.6 reported</text>
  </threadedComment>
  <threadedComment ref="BX61" dT="2022-08-01T19:13:16.67" personId="{13399233-BA81-4949-9BE8-57EDDD85014C}" id="{AFC9B85C-9AC1-4E0B-A0FD-4EC0747D6C85}">
    <text>6740 reported revenue</text>
  </threadedComment>
  <threadedComment ref="BY61" dT="2022-08-01T19:08:01.93" personId="{13399233-BA81-4949-9BE8-57EDDD85014C}" id="{3630D8DA-CEAE-49F9-B57E-A7443096F4CE}">
    <text>6772.8 reported revenue</text>
  </threadedComment>
  <threadedComment ref="BZ61" dT="2022-08-01T18:31:56.86" personId="{13399233-BA81-4949-9BE8-57EDDD85014C}" id="{D7A857CD-B43A-4E52-BA69-3F839DE07274}">
    <text>Actual reported 7999.9</text>
  </threadedComment>
  <threadedComment ref="CF61" dT="2023-10-23T04:05:00.50" personId="{13399233-BA81-4949-9BE8-57EDDD85014C}" id="{7F77C49B-1A2C-41FA-8A63-291465846371}">
    <text>Excluding Baqsimi sale of 579m</text>
  </threadedComment>
  <threadedComment ref="CH61" dT="2024-02-26T23:55:47.20" personId="{13399233-BA81-4949-9BE8-57EDDD85014C}" id="{E9AE85F5-95A1-1746-8695-2448A65CBE0D}">
    <text>$65m one-time milestone for Ebglyss launch.</text>
  </threadedComment>
  <threadedComment ref="DL61" dT="2024-02-27T00:16:20.93" personId="{13399233-BA81-4949-9BE8-57EDDD85014C}" id="{44F04AEB-60ED-E244-B275-73D80CAB84D6}">
    <text>34124m actual</text>
  </threadedComment>
  <threadedComment ref="DM61" dT="2024-02-22T18:16:29.86" personId="{13399233-BA81-4949-9BE8-57EDDD85014C}" id="{DCF6DE87-1143-A848-8919-609B3D10ACF2}">
    <text>Q423 guidance: 40.4-41.6</text>
  </threadedComment>
  <threadedComment ref="BW71" dT="2022-08-01T18:07:16.89" personId="{13399233-BA81-4949-9BE8-57EDDD85014C}" id="{00F4491F-C819-44C1-AC45-2ABA1B7BE593}">
    <text>actual adjusted 1465.5</text>
  </threadedComment>
  <threadedComment ref="CA71" dT="2022-08-01T18:06:59.44" personId="{13399233-BA81-4949-9BE8-57EDDD85014C}" id="{8874A794-CB8F-4280-B6A0-27B01371D863}">
    <text>actual adjusted 2372.8</text>
  </threadedComment>
  <threadedComment ref="CD71" dT="2024-02-24T02:28:04.80" personId="{13399233-BA81-4949-9BE8-57EDDD85014C}" id="{E2B8392D-784C-1C43-9C17-6F8F6E8E10E8}">
    <text>1893.1m NG NI</text>
  </threadedComment>
  <threadedComment ref="CH71" dT="2024-02-24T02:27:29.45" personId="{13399233-BA81-4949-9BE8-57EDDD85014C}" id="{D3E83574-E8FE-5147-B547-53DDC5467704}">
    <text>2249.4m NG NI</text>
  </threadedComment>
  <threadedComment ref="CD72" dT="2024-02-24T02:28:12.49" personId="{13399233-BA81-4949-9BE8-57EDDD85014C}" id="{C09F6605-4B5E-4E4F-877F-AF898C62BEE7}">
    <text>2.09 NG NI</text>
  </threadedComment>
  <threadedComment ref="CH72" dT="2024-02-24T02:27:39.45" personId="{13399233-BA81-4949-9BE8-57EDDD85014C}" id="{6446E119-F193-1142-9DE3-B2093A985B4F}">
    <text>2.49 NG NI</text>
  </threadedComment>
  <threadedComment ref="DM72" dT="2024-02-22T18:16:50.67" personId="{13399233-BA81-4949-9BE8-57EDDD85014C}" id="{EA475891-7DAB-5B42-A37D-6815334EAFF1}">
    <text>Q423 guidance: 12.20-12.70</text>
  </threadedComment>
  <threadedComment ref="CH75" dT="2024-02-26T23:55:19.60" personId="{13399233-BA81-4949-9BE8-57EDDD85014C}" id="{E7A7648A-AC02-E948-A141-F239D41E7779}">
    <text>16% higher prices (Mounjaro savings card dynamics)
11% volume
1% FX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13" dT="2024-02-27T00:21:21.87" personId="{13399233-BA81-4949-9BE8-57EDDD85014C}" id="{9EFBC388-7842-A34E-BC67-3F0DEF2CB4E1}">
    <text xml:space="preserve">One-time benefit for change in rebate estimates. Revenue would have been ~$300m less! </text>
  </threadedComment>
  <threadedComment ref="BT13" dT="2024-02-27T00:21:21.87" personId="{13399233-BA81-4949-9BE8-57EDDD85014C}" id="{8C384B14-D415-9E49-B644-E9DC597BE4C9}">
    <text xml:space="preserve">One-time benefit for change in rebate estimates. Revenue would have been ~$300m less!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7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8.83203125" defaultRowHeight="13" x14ac:dyDescent="0.15"/>
  <cols>
    <col min="1" max="1" width="5" bestFit="1" customWidth="1"/>
    <col min="2" max="2" width="13.5" customWidth="1"/>
    <col min="3" max="3" width="12.1640625" customWidth="1"/>
    <col min="4" max="4" width="11.83203125" customWidth="1"/>
  </cols>
  <sheetData>
    <row r="1" spans="1:8" x14ac:dyDescent="0.15">
      <c r="A1" s="13" t="s">
        <v>6</v>
      </c>
    </row>
    <row r="2" spans="1:8" x14ac:dyDescent="0.15">
      <c r="B2" s="38" t="s">
        <v>403</v>
      </c>
      <c r="C2" s="38" t="s">
        <v>404</v>
      </c>
      <c r="D2" s="38" t="s">
        <v>1</v>
      </c>
      <c r="E2" s="38" t="s">
        <v>406</v>
      </c>
      <c r="F2" s="38" t="s">
        <v>2</v>
      </c>
      <c r="G2" s="38" t="s">
        <v>380</v>
      </c>
      <c r="H2" s="38" t="s">
        <v>499</v>
      </c>
    </row>
    <row r="3" spans="1:8" x14ac:dyDescent="0.15">
      <c r="B3" s="14" t="s">
        <v>19</v>
      </c>
      <c r="C3" s="38" t="s">
        <v>228</v>
      </c>
      <c r="D3" s="6" t="s">
        <v>116</v>
      </c>
      <c r="F3" s="40">
        <v>1</v>
      </c>
      <c r="G3" s="30">
        <v>38021</v>
      </c>
      <c r="H3" s="7">
        <v>2016</v>
      </c>
    </row>
    <row r="4" spans="1:8" x14ac:dyDescent="0.15">
      <c r="B4" s="38" t="s">
        <v>278</v>
      </c>
      <c r="C4" s="38"/>
      <c r="D4" s="38"/>
      <c r="E4" s="38"/>
    </row>
    <row r="5" spans="1:8" x14ac:dyDescent="0.15">
      <c r="B5" s="38" t="s">
        <v>455</v>
      </c>
      <c r="C5" s="38" t="s">
        <v>472</v>
      </c>
      <c r="D5" s="38"/>
      <c r="E5" s="38"/>
    </row>
    <row r="6" spans="1:8" x14ac:dyDescent="0.15">
      <c r="B6" s="38" t="s">
        <v>480</v>
      </c>
      <c r="C6" s="38" t="s">
        <v>481</v>
      </c>
      <c r="D6" s="38"/>
      <c r="E6" s="38"/>
      <c r="F6" t="s">
        <v>275</v>
      </c>
    </row>
    <row r="7" spans="1:8" x14ac:dyDescent="0.15">
      <c r="B7" s="14" t="s">
        <v>554</v>
      </c>
      <c r="C7" s="6" t="s">
        <v>40</v>
      </c>
      <c r="D7" s="6" t="s">
        <v>108</v>
      </c>
      <c r="E7" s="11">
        <v>1</v>
      </c>
      <c r="F7" s="30">
        <v>37946</v>
      </c>
      <c r="G7" s="7">
        <v>2016</v>
      </c>
    </row>
    <row r="8" spans="1:8" x14ac:dyDescent="0.15">
      <c r="B8" s="38" t="s">
        <v>14</v>
      </c>
      <c r="C8" s="38" t="s">
        <v>405</v>
      </c>
      <c r="D8" s="38" t="s">
        <v>407</v>
      </c>
      <c r="E8" s="38" t="s">
        <v>107</v>
      </c>
      <c r="F8" s="11">
        <v>1</v>
      </c>
      <c r="G8" s="30">
        <v>38202</v>
      </c>
      <c r="H8" s="44" t="s">
        <v>551</v>
      </c>
    </row>
    <row r="9" spans="1:8" x14ac:dyDescent="0.15">
      <c r="B9" s="38" t="s">
        <v>371</v>
      </c>
      <c r="C9" s="38"/>
      <c r="D9" s="38"/>
      <c r="E9" s="38"/>
    </row>
    <row r="10" spans="1:8" x14ac:dyDescent="0.15">
      <c r="B10" s="38" t="s">
        <v>261</v>
      </c>
      <c r="C10" s="38" t="s">
        <v>436</v>
      </c>
      <c r="D10" s="38" t="s">
        <v>93</v>
      </c>
      <c r="E10" s="38" t="s">
        <v>90</v>
      </c>
      <c r="F10" s="38" t="s">
        <v>437</v>
      </c>
    </row>
    <row r="11" spans="1:8" x14ac:dyDescent="0.15">
      <c r="B11" s="38" t="s">
        <v>376</v>
      </c>
      <c r="C11" s="38"/>
      <c r="D11" s="38"/>
      <c r="E11" s="38"/>
      <c r="F11" s="38"/>
    </row>
    <row r="12" spans="1:8" x14ac:dyDescent="0.15">
      <c r="B12" s="38" t="s">
        <v>17</v>
      </c>
      <c r="C12" s="38"/>
      <c r="D12" s="38" t="s">
        <v>111</v>
      </c>
      <c r="E12" s="38" t="s">
        <v>110</v>
      </c>
    </row>
    <row r="13" spans="1:8" x14ac:dyDescent="0.15">
      <c r="B13" s="14" t="s">
        <v>552</v>
      </c>
      <c r="C13" s="6" t="s">
        <v>111</v>
      </c>
      <c r="D13" s="6"/>
      <c r="E13" s="40" t="s">
        <v>283</v>
      </c>
      <c r="F13" s="30">
        <v>37586</v>
      </c>
      <c r="G13" s="44" t="s">
        <v>553</v>
      </c>
    </row>
    <row r="14" spans="1:8" x14ac:dyDescent="0.15">
      <c r="B14" s="38" t="s">
        <v>55</v>
      </c>
      <c r="C14" s="38" t="s">
        <v>438</v>
      </c>
      <c r="D14" s="38"/>
      <c r="E14" s="38"/>
    </row>
    <row r="15" spans="1:8" x14ac:dyDescent="0.15">
      <c r="B15" s="38" t="s">
        <v>497</v>
      </c>
      <c r="C15" s="38"/>
      <c r="D15" s="38"/>
      <c r="E15" s="38"/>
    </row>
    <row r="16" spans="1:8" x14ac:dyDescent="0.15">
      <c r="B16" s="38" t="s">
        <v>54</v>
      </c>
      <c r="C16" s="38"/>
      <c r="D16" s="38"/>
      <c r="E16" s="38"/>
    </row>
    <row r="17" spans="2:10" x14ac:dyDescent="0.15">
      <c r="B17" s="38" t="s">
        <v>57</v>
      </c>
      <c r="C17" s="38"/>
      <c r="D17" s="38"/>
      <c r="E17" s="38"/>
    </row>
    <row r="18" spans="2:10" x14ac:dyDescent="0.15">
      <c r="B18" s="38" t="s">
        <v>369</v>
      </c>
      <c r="C18" s="38"/>
      <c r="D18" s="38"/>
      <c r="E18" s="38"/>
    </row>
    <row r="19" spans="2:10" x14ac:dyDescent="0.15">
      <c r="B19" s="38" t="s">
        <v>408</v>
      </c>
      <c r="C19" s="38" t="s">
        <v>409</v>
      </c>
      <c r="D19" s="38" t="s">
        <v>410</v>
      </c>
      <c r="E19" s="38" t="s">
        <v>265</v>
      </c>
      <c r="F19" s="38" t="s">
        <v>266</v>
      </c>
    </row>
    <row r="20" spans="2:10" x14ac:dyDescent="0.15">
      <c r="B20" s="38" t="s">
        <v>441</v>
      </c>
      <c r="C20" s="38" t="s">
        <v>442</v>
      </c>
      <c r="D20" s="38" t="s">
        <v>239</v>
      </c>
      <c r="E20" s="38" t="s">
        <v>267</v>
      </c>
      <c r="F20" s="38" t="s">
        <v>268</v>
      </c>
    </row>
    <row r="21" spans="2:10" x14ac:dyDescent="0.15">
      <c r="B21" s="38" t="s">
        <v>419</v>
      </c>
      <c r="C21" s="38"/>
      <c r="D21" s="38"/>
      <c r="E21" s="38"/>
      <c r="F21" s="38"/>
      <c r="G21" s="21" t="s">
        <v>420</v>
      </c>
    </row>
    <row r="22" spans="2:10" x14ac:dyDescent="0.15">
      <c r="B22" s="38" t="s">
        <v>498</v>
      </c>
      <c r="C22" s="38"/>
      <c r="D22" s="38"/>
      <c r="E22" s="38"/>
      <c r="F22" s="38"/>
      <c r="G22" s="21"/>
      <c r="H22" s="38" t="s">
        <v>500</v>
      </c>
    </row>
    <row r="23" spans="2:10" x14ac:dyDescent="0.15">
      <c r="B23" s="38" t="s">
        <v>378</v>
      </c>
      <c r="C23" s="38"/>
      <c r="D23" s="38"/>
      <c r="E23" s="38"/>
      <c r="F23" s="38"/>
      <c r="G23" s="21"/>
    </row>
    <row r="24" spans="2:10" x14ac:dyDescent="0.15">
      <c r="B24" s="38" t="s">
        <v>456</v>
      </c>
      <c r="C24" s="38" t="s">
        <v>501</v>
      </c>
      <c r="D24" s="38" t="s">
        <v>454</v>
      </c>
      <c r="E24" s="38"/>
      <c r="F24" s="38"/>
      <c r="G24" s="21"/>
    </row>
    <row r="25" spans="2:10" x14ac:dyDescent="0.15">
      <c r="B25" s="38" t="s">
        <v>15</v>
      </c>
      <c r="C25" s="38" t="s">
        <v>411</v>
      </c>
      <c r="D25" s="38" t="s">
        <v>38</v>
      </c>
      <c r="J25" s="16"/>
    </row>
    <row r="26" spans="2:10" x14ac:dyDescent="0.15">
      <c r="B26" s="38" t="s">
        <v>41</v>
      </c>
      <c r="C26" s="38"/>
      <c r="D26" s="38" t="s">
        <v>415</v>
      </c>
    </row>
    <row r="27" spans="2:10" x14ac:dyDescent="0.15">
      <c r="B27" s="38" t="s">
        <v>444</v>
      </c>
      <c r="C27" s="38" t="s">
        <v>445</v>
      </c>
      <c r="D27" s="38" t="s">
        <v>239</v>
      </c>
      <c r="E27" s="38" t="s">
        <v>443</v>
      </c>
      <c r="F27" s="77">
        <v>1</v>
      </c>
    </row>
    <row r="28" spans="2:10" x14ac:dyDescent="0.15">
      <c r="B28" s="38" t="s">
        <v>495</v>
      </c>
      <c r="C28" s="38"/>
      <c r="D28" s="38"/>
      <c r="E28" s="38"/>
      <c r="F28" s="77"/>
    </row>
    <row r="29" spans="2:10" x14ac:dyDescent="0.15">
      <c r="B29" s="38" t="s">
        <v>465</v>
      </c>
      <c r="C29" s="38" t="s">
        <v>464</v>
      </c>
      <c r="D29" s="38" t="s">
        <v>36</v>
      </c>
      <c r="E29" s="38" t="s">
        <v>118</v>
      </c>
      <c r="F29" s="77"/>
    </row>
    <row r="30" spans="2:10" x14ac:dyDescent="0.15">
      <c r="B30" s="38" t="s">
        <v>370</v>
      </c>
      <c r="C30" s="38"/>
      <c r="D30" s="38"/>
      <c r="E30" s="38"/>
      <c r="F30" s="77"/>
    </row>
    <row r="31" spans="2:10" x14ac:dyDescent="0.15">
      <c r="B31" s="38" t="s">
        <v>417</v>
      </c>
      <c r="C31" s="38"/>
      <c r="D31" s="38"/>
      <c r="G31" s="21" t="s">
        <v>418</v>
      </c>
    </row>
    <row r="32" spans="2:10" x14ac:dyDescent="0.15">
      <c r="B32" s="38" t="s">
        <v>7</v>
      </c>
      <c r="C32" s="38" t="s">
        <v>85</v>
      </c>
      <c r="D32" s="38" t="s">
        <v>412</v>
      </c>
      <c r="E32" s="38" t="s">
        <v>413</v>
      </c>
      <c r="G32" s="21" t="s">
        <v>416</v>
      </c>
    </row>
    <row r="33" spans="2:10" x14ac:dyDescent="0.15">
      <c r="B33" s="36" t="s">
        <v>449</v>
      </c>
      <c r="C33" s="37" t="s">
        <v>451</v>
      </c>
      <c r="D33" s="6"/>
      <c r="E33" s="40"/>
      <c r="F33" s="6"/>
      <c r="G33" s="7"/>
    </row>
    <row r="34" spans="2:10" x14ac:dyDescent="0.15">
      <c r="B34" s="36" t="s">
        <v>450</v>
      </c>
      <c r="C34" s="37" t="s">
        <v>451</v>
      </c>
      <c r="D34" s="6"/>
      <c r="E34" s="40"/>
      <c r="F34" s="6"/>
      <c r="G34" s="7"/>
      <c r="J34" s="21"/>
    </row>
    <row r="41" spans="2:10" x14ac:dyDescent="0.15">
      <c r="B41" s="38" t="s">
        <v>403</v>
      </c>
      <c r="C41" s="38" t="s">
        <v>404</v>
      </c>
      <c r="D41" s="38" t="s">
        <v>1</v>
      </c>
      <c r="E41" s="38" t="s">
        <v>406</v>
      </c>
      <c r="F41" s="38" t="s">
        <v>2</v>
      </c>
      <c r="G41" s="38" t="s">
        <v>5</v>
      </c>
      <c r="H41" s="38" t="s">
        <v>476</v>
      </c>
    </row>
    <row r="42" spans="2:10" x14ac:dyDescent="0.15">
      <c r="B42" s="38"/>
      <c r="C42" s="38" t="s">
        <v>483</v>
      </c>
      <c r="D42" s="38" t="s">
        <v>120</v>
      </c>
      <c r="E42" s="38" t="s">
        <v>485</v>
      </c>
      <c r="F42" s="38"/>
      <c r="G42" s="38"/>
      <c r="H42" s="38"/>
    </row>
    <row r="43" spans="2:10" x14ac:dyDescent="0.15">
      <c r="C43" s="38" t="s">
        <v>405</v>
      </c>
      <c r="D43" s="38" t="s">
        <v>39</v>
      </c>
    </row>
    <row r="44" spans="2:10" x14ac:dyDescent="0.15">
      <c r="C44" s="38" t="s">
        <v>49</v>
      </c>
      <c r="D44" s="38" t="s">
        <v>121</v>
      </c>
      <c r="E44" s="38" t="s">
        <v>457</v>
      </c>
    </row>
    <row r="45" spans="2:10" x14ac:dyDescent="0.15">
      <c r="B45" t="s">
        <v>25</v>
      </c>
      <c r="D45" s="53" t="s">
        <v>116</v>
      </c>
      <c r="E45" s="53" t="s">
        <v>191</v>
      </c>
      <c r="F45" s="70" t="s">
        <v>192</v>
      </c>
      <c r="G45" s="53" t="s">
        <v>105</v>
      </c>
    </row>
    <row r="46" spans="2:10" x14ac:dyDescent="0.15">
      <c r="C46" s="38" t="s">
        <v>323</v>
      </c>
      <c r="D46" s="38" t="s">
        <v>37</v>
      </c>
      <c r="E46" s="38" t="s">
        <v>193</v>
      </c>
    </row>
    <row r="47" spans="2:10" x14ac:dyDescent="0.15">
      <c r="B47" s="38"/>
      <c r="C47" s="38" t="s">
        <v>324</v>
      </c>
      <c r="D47" s="71" t="s">
        <v>326</v>
      </c>
      <c r="E47" s="71" t="s">
        <v>325</v>
      </c>
      <c r="F47" s="70">
        <v>1</v>
      </c>
      <c r="G47" s="71" t="s">
        <v>47</v>
      </c>
    </row>
    <row r="48" spans="2:10" x14ac:dyDescent="0.15">
      <c r="B48" s="38" t="s">
        <v>424</v>
      </c>
    </row>
    <row r="49" spans="2:8" x14ac:dyDescent="0.15">
      <c r="B49" s="38" t="s">
        <v>433</v>
      </c>
      <c r="D49" t="s">
        <v>120</v>
      </c>
      <c r="E49" s="38" t="s">
        <v>432</v>
      </c>
    </row>
    <row r="50" spans="2:8" x14ac:dyDescent="0.15">
      <c r="B50" s="38" t="s">
        <v>425</v>
      </c>
    </row>
    <row r="51" spans="2:8" x14ac:dyDescent="0.15">
      <c r="B51" s="38" t="s">
        <v>426</v>
      </c>
    </row>
    <row r="52" spans="2:8" x14ac:dyDescent="0.15">
      <c r="C52" s="38" t="s">
        <v>475</v>
      </c>
      <c r="H52" t="s">
        <v>477</v>
      </c>
    </row>
    <row r="53" spans="2:8" x14ac:dyDescent="0.15">
      <c r="B53" s="38" t="s">
        <v>427</v>
      </c>
    </row>
    <row r="54" spans="2:8" x14ac:dyDescent="0.15">
      <c r="B54" s="38" t="s">
        <v>428</v>
      </c>
    </row>
    <row r="55" spans="2:8" x14ac:dyDescent="0.15">
      <c r="B55" s="38"/>
      <c r="C55" t="s">
        <v>478</v>
      </c>
      <c r="G55" t="s">
        <v>479</v>
      </c>
    </row>
    <row r="56" spans="2:8" x14ac:dyDescent="0.15">
      <c r="B56" s="38" t="s">
        <v>429</v>
      </c>
    </row>
    <row r="57" spans="2:8" x14ac:dyDescent="0.15">
      <c r="B57" s="38"/>
      <c r="C57" s="38" t="s">
        <v>431</v>
      </c>
    </row>
    <row r="58" spans="2:8" x14ac:dyDescent="0.15">
      <c r="B58" s="38"/>
      <c r="C58" t="s">
        <v>423</v>
      </c>
    </row>
    <row r="59" spans="2:8" x14ac:dyDescent="0.15">
      <c r="B59" s="38"/>
    </row>
    <row r="60" spans="2:8" x14ac:dyDescent="0.15">
      <c r="B60" s="38" t="s">
        <v>238</v>
      </c>
      <c r="C60" t="s">
        <v>466</v>
      </c>
      <c r="D60" t="s">
        <v>467</v>
      </c>
      <c r="E60" t="s">
        <v>468</v>
      </c>
    </row>
    <row r="61" spans="2:8" x14ac:dyDescent="0.15">
      <c r="C61" s="38" t="s">
        <v>430</v>
      </c>
    </row>
    <row r="62" spans="2:8" x14ac:dyDescent="0.15">
      <c r="B62" s="5" t="s">
        <v>160</v>
      </c>
      <c r="D62" s="6" t="s">
        <v>159</v>
      </c>
      <c r="E62" s="6" t="s">
        <v>504</v>
      </c>
    </row>
    <row r="63" spans="2:8" x14ac:dyDescent="0.15">
      <c r="B63" s="36" t="s">
        <v>178</v>
      </c>
      <c r="C63" t="s">
        <v>484</v>
      </c>
      <c r="D63" s="6" t="s">
        <v>120</v>
      </c>
      <c r="E63" s="6" t="s">
        <v>179</v>
      </c>
      <c r="F63" s="11">
        <v>1</v>
      </c>
      <c r="G63" s="37" t="s">
        <v>47</v>
      </c>
      <c r="H63" s="44" t="s">
        <v>306</v>
      </c>
    </row>
    <row r="64" spans="2:8" x14ac:dyDescent="0.15">
      <c r="C64" s="36" t="s">
        <v>277</v>
      </c>
      <c r="D64" s="6" t="s">
        <v>281</v>
      </c>
      <c r="E64" s="6" t="s">
        <v>282</v>
      </c>
      <c r="F64" s="11" t="s">
        <v>283</v>
      </c>
      <c r="G64" s="37" t="s">
        <v>284</v>
      </c>
    </row>
    <row r="65" spans="2:8" x14ac:dyDescent="0.15">
      <c r="B65" s="5" t="s">
        <v>204</v>
      </c>
      <c r="D65" s="6" t="s">
        <v>194</v>
      </c>
      <c r="E65" s="6" t="s">
        <v>195</v>
      </c>
      <c r="F65" s="11" t="s">
        <v>205</v>
      </c>
      <c r="G65" s="6" t="s">
        <v>105</v>
      </c>
    </row>
    <row r="66" spans="2:8" x14ac:dyDescent="0.15">
      <c r="B66" s="36" t="s">
        <v>310</v>
      </c>
      <c r="C66" s="37" t="s">
        <v>312</v>
      </c>
      <c r="D66" s="37" t="s">
        <v>311</v>
      </c>
      <c r="E66" s="40" t="s">
        <v>283</v>
      </c>
      <c r="F66" s="37" t="s">
        <v>105</v>
      </c>
      <c r="G66" s="7"/>
    </row>
    <row r="67" spans="2:8" x14ac:dyDescent="0.15">
      <c r="B67" s="36" t="s">
        <v>307</v>
      </c>
      <c r="C67" s="37" t="s">
        <v>309</v>
      </c>
      <c r="D67" s="37" t="s">
        <v>308</v>
      </c>
      <c r="E67" s="40" t="s">
        <v>283</v>
      </c>
      <c r="F67" s="37" t="s">
        <v>105</v>
      </c>
      <c r="G67" s="7"/>
    </row>
    <row r="68" spans="2:8" x14ac:dyDescent="0.15">
      <c r="B68" s="5" t="s">
        <v>134</v>
      </c>
      <c r="D68" s="6" t="s">
        <v>36</v>
      </c>
      <c r="E68" s="6" t="s">
        <v>133</v>
      </c>
      <c r="F68" s="11">
        <v>1</v>
      </c>
      <c r="G68" s="6" t="s">
        <v>105</v>
      </c>
    </row>
    <row r="69" spans="2:8" x14ac:dyDescent="0.15">
      <c r="B69" s="5" t="s">
        <v>188</v>
      </c>
      <c r="D69" s="6" t="s">
        <v>36</v>
      </c>
      <c r="E69" s="6" t="s">
        <v>189</v>
      </c>
      <c r="F69" s="6" t="s">
        <v>190</v>
      </c>
      <c r="G69" s="6" t="s">
        <v>119</v>
      </c>
    </row>
    <row r="70" spans="2:8" x14ac:dyDescent="0.15">
      <c r="B70" s="45" t="s">
        <v>23</v>
      </c>
      <c r="D70" s="8" t="s">
        <v>13</v>
      </c>
      <c r="E70" s="9" t="s">
        <v>106</v>
      </c>
      <c r="F70" s="12">
        <v>1</v>
      </c>
      <c r="G70" s="9" t="s">
        <v>207</v>
      </c>
      <c r="H70" s="10">
        <v>2018</v>
      </c>
    </row>
  </sheetData>
  <hyperlinks>
    <hyperlink ref="A1" location="Main!A1" display="Main" xr:uid="{51C43F83-2157-4729-AD8D-12CA9807EE38}"/>
    <hyperlink ref="B13" location="Forteo!A1" display="Forteo" xr:uid="{00000000-0004-0000-0000-000004000000}"/>
    <hyperlink ref="B7" location="Cialis!A1" display="Cialis" xr:uid="{00000000-0004-0000-0000-000007000000}"/>
    <hyperlink ref="B70" location="Zyprexa!A1" display="Zyprexa Depot" xr:uid="{00000000-0004-0000-0000-00000A000000}"/>
    <hyperlink ref="B3" location="Alimta!A1" display="Alimta" xr:uid="{00000000-0004-0000-0000-00000800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98A1-4E81-884A-9C94-476435E9AA78}">
  <dimension ref="A1:C6"/>
  <sheetViews>
    <sheetView workbookViewId="0"/>
  </sheetViews>
  <sheetFormatPr baseColWidth="10" defaultRowHeight="13" x14ac:dyDescent="0.15"/>
  <cols>
    <col min="1" max="1" width="4.83203125" bestFit="1" customWidth="1"/>
  </cols>
  <sheetData>
    <row r="1" spans="1:3" x14ac:dyDescent="0.15">
      <c r="A1" s="13" t="s">
        <v>6</v>
      </c>
    </row>
    <row r="2" spans="1:3" x14ac:dyDescent="0.15">
      <c r="A2" s="38"/>
      <c r="B2" s="38" t="s">
        <v>403</v>
      </c>
      <c r="C2" s="38" t="s">
        <v>370</v>
      </c>
    </row>
    <row r="3" spans="1:3" x14ac:dyDescent="0.15">
      <c r="B3" s="38" t="s">
        <v>404</v>
      </c>
    </row>
    <row r="4" spans="1:3" x14ac:dyDescent="0.15">
      <c r="B4" s="38" t="s">
        <v>1</v>
      </c>
    </row>
    <row r="5" spans="1:3" x14ac:dyDescent="0.15">
      <c r="B5" s="38" t="s">
        <v>92</v>
      </c>
    </row>
    <row r="6" spans="1:3" x14ac:dyDescent="0.15">
      <c r="C6" s="20" t="s">
        <v>560</v>
      </c>
    </row>
  </sheetData>
  <hyperlinks>
    <hyperlink ref="A1" location="Main!A1" display="Main" xr:uid="{EBEB0D47-264D-9B4A-BA66-BA2B94F47B2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3.6640625" customWidth="1"/>
  </cols>
  <sheetData>
    <row r="1" spans="1:3" x14ac:dyDescent="0.15">
      <c r="A1" s="13" t="s">
        <v>6</v>
      </c>
      <c r="B1" s="13"/>
    </row>
    <row r="2" spans="1:3" x14ac:dyDescent="0.15">
      <c r="A2" s="13"/>
      <c r="B2" t="s">
        <v>50</v>
      </c>
      <c r="C2" t="s">
        <v>19</v>
      </c>
    </row>
    <row r="3" spans="1:3" x14ac:dyDescent="0.15">
      <c r="A3" s="13"/>
      <c r="B3" t="s">
        <v>48</v>
      </c>
      <c r="C3" t="s">
        <v>228</v>
      </c>
    </row>
    <row r="4" spans="1:3" x14ac:dyDescent="0.15">
      <c r="A4" s="13"/>
      <c r="B4" t="s">
        <v>4</v>
      </c>
      <c r="C4" s="38" t="s">
        <v>255</v>
      </c>
    </row>
    <row r="5" spans="1:3" x14ac:dyDescent="0.15">
      <c r="B5" t="s">
        <v>92</v>
      </c>
    </row>
    <row r="6" spans="1:3" x14ac:dyDescent="0.15">
      <c r="C6" t="s">
        <v>12</v>
      </c>
    </row>
    <row r="7" spans="1:3" x14ac:dyDescent="0.15">
      <c r="C7" t="s">
        <v>33</v>
      </c>
    </row>
    <row r="8" spans="1:3" x14ac:dyDescent="0.15">
      <c r="C8" t="s">
        <v>34</v>
      </c>
    </row>
    <row r="12" spans="1:3" x14ac:dyDescent="0.15">
      <c r="C12" s="20" t="s">
        <v>252</v>
      </c>
    </row>
    <row r="13" spans="1:3" x14ac:dyDescent="0.15">
      <c r="C13" s="38" t="s">
        <v>253</v>
      </c>
    </row>
    <row r="14" spans="1:3" x14ac:dyDescent="0.15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6.1640625" customWidth="1"/>
    <col min="2" max="2" width="12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  <c r="C2" t="s">
        <v>14</v>
      </c>
    </row>
    <row r="3" spans="1:3" x14ac:dyDescent="0.15">
      <c r="B3" t="s">
        <v>3</v>
      </c>
      <c r="C3" t="s">
        <v>231</v>
      </c>
    </row>
    <row r="4" spans="1:3" x14ac:dyDescent="0.15">
      <c r="B4" t="s">
        <v>2</v>
      </c>
      <c r="C4" t="s">
        <v>279</v>
      </c>
    </row>
    <row r="5" spans="1:3" x14ac:dyDescent="0.15">
      <c r="B5" t="s">
        <v>92</v>
      </c>
    </row>
    <row r="6" spans="1:3" x14ac:dyDescent="0.15">
      <c r="C6" s="20" t="s">
        <v>232</v>
      </c>
    </row>
    <row r="7" spans="1:3" x14ac:dyDescent="0.15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788-08DE-7B43-AA2B-8219988B4D77}">
  <dimension ref="A1:C3"/>
  <sheetViews>
    <sheetView workbookViewId="0"/>
  </sheetViews>
  <sheetFormatPr baseColWidth="10" defaultRowHeight="13" x14ac:dyDescent="0.15"/>
  <cols>
    <col min="1" max="1" width="4.83203125" bestFit="1" customWidth="1"/>
  </cols>
  <sheetData>
    <row r="1" spans="1:3" x14ac:dyDescent="0.15">
      <c r="A1" s="13" t="s">
        <v>6</v>
      </c>
    </row>
    <row r="2" spans="1:3" x14ac:dyDescent="0.15">
      <c r="B2" s="38" t="s">
        <v>403</v>
      </c>
      <c r="C2" s="38" t="s">
        <v>567</v>
      </c>
    </row>
    <row r="3" spans="1:3" x14ac:dyDescent="0.15">
      <c r="B3" s="38" t="s">
        <v>404</v>
      </c>
    </row>
  </sheetData>
  <hyperlinks>
    <hyperlink ref="A1" location="Main!A1" display="Main" xr:uid="{01CFFC24-E4F2-2E4F-B9CB-2E1D60D6F9C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baseColWidth="10" defaultColWidth="8.83203125" defaultRowHeight="13" x14ac:dyDescent="0.15"/>
  <cols>
    <col min="1" max="1" width="5" bestFit="1" customWidth="1"/>
    <col min="2" max="2" width="11.33203125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baseColWidth="10" defaultColWidth="9.1640625" defaultRowHeight="13" x14ac:dyDescent="0.15"/>
  <cols>
    <col min="1" max="1" width="5" style="1" bestFit="1" customWidth="1"/>
    <col min="2" max="2" width="12.33203125" style="1" customWidth="1"/>
    <col min="3" max="16384" width="9.1640625" style="1"/>
  </cols>
  <sheetData>
    <row r="1" spans="1:8" x14ac:dyDescent="0.15">
      <c r="A1" s="15" t="s">
        <v>6</v>
      </c>
    </row>
    <row r="2" spans="1:8" x14ac:dyDescent="0.15">
      <c r="A2" s="15"/>
      <c r="B2" s="1" t="s">
        <v>50</v>
      </c>
      <c r="C2" s="1" t="s">
        <v>15</v>
      </c>
    </row>
    <row r="3" spans="1:8" x14ac:dyDescent="0.15">
      <c r="A3" s="15"/>
    </row>
    <row r="4" spans="1:8" x14ac:dyDescent="0.15">
      <c r="B4" s="1" t="s">
        <v>9</v>
      </c>
    </row>
    <row r="5" spans="1:8" x14ac:dyDescent="0.15">
      <c r="B5" s="1" t="s">
        <v>10</v>
      </c>
    </row>
    <row r="6" spans="1:8" x14ac:dyDescent="0.15">
      <c r="B6" s="1" t="s">
        <v>11</v>
      </c>
    </row>
    <row r="8" spans="1:8" x14ac:dyDescent="0.15">
      <c r="B8" s="1" t="s">
        <v>31</v>
      </c>
    </row>
    <row r="9" spans="1:8" x14ac:dyDescent="0.15">
      <c r="B9" s="1" t="s">
        <v>32</v>
      </c>
    </row>
    <row r="11" spans="1:8" x14ac:dyDescent="0.15">
      <c r="B11" s="29">
        <v>38338</v>
      </c>
    </row>
    <row r="12" spans="1:8" x14ac:dyDescent="0.15">
      <c r="B12" s="1" t="s">
        <v>44</v>
      </c>
    </row>
    <row r="13" spans="1:8" x14ac:dyDescent="0.15">
      <c r="B13" s="1" t="s">
        <v>42</v>
      </c>
    </row>
    <row r="14" spans="1:8" x14ac:dyDescent="0.15">
      <c r="B14" s="1" t="s">
        <v>43</v>
      </c>
    </row>
    <row r="16" spans="1:8" x14ac:dyDescent="0.15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15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15">
      <c r="C18" s="6"/>
      <c r="D18" s="6"/>
      <c r="E18" s="6"/>
      <c r="F18" s="6"/>
      <c r="G18" s="6"/>
      <c r="H18" s="6"/>
    </row>
    <row r="19" spans="2:8" x14ac:dyDescent="0.15">
      <c r="C19" s="6" t="s">
        <v>3</v>
      </c>
      <c r="D19" s="6" t="s">
        <v>89</v>
      </c>
      <c r="E19" s="6"/>
      <c r="F19" s="6"/>
      <c r="G19" s="6"/>
      <c r="H19" s="6"/>
    </row>
    <row r="20" spans="2:8" x14ac:dyDescent="0.15">
      <c r="C20" s="6"/>
      <c r="D20" s="6"/>
      <c r="E20" s="6"/>
      <c r="F20" s="6"/>
      <c r="G20" s="6"/>
      <c r="H20" s="6"/>
    </row>
    <row r="21" spans="2:8" x14ac:dyDescent="0.15">
      <c r="C21" s="6"/>
      <c r="D21" s="6"/>
      <c r="E21" s="6"/>
      <c r="F21" s="6"/>
      <c r="G21" s="6"/>
      <c r="H21" s="6"/>
    </row>
    <row r="22" spans="2:8" x14ac:dyDescent="0.15">
      <c r="C22" s="6"/>
      <c r="D22" s="6"/>
      <c r="E22" s="6"/>
      <c r="F22" s="6"/>
      <c r="G22" s="6"/>
      <c r="H22" s="6"/>
    </row>
    <row r="23" spans="2:8" x14ac:dyDescent="0.15">
      <c r="C23" s="6"/>
      <c r="D23" s="6"/>
      <c r="E23" s="6"/>
      <c r="F23" s="6"/>
      <c r="G23" s="6"/>
      <c r="H23" s="6"/>
    </row>
    <row r="24" spans="2:8" x14ac:dyDescent="0.15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15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15">
      <c r="C26" s="30">
        <f>C25-7</f>
        <v>39227</v>
      </c>
      <c r="D26" s="17">
        <v>69314</v>
      </c>
      <c r="E26" s="17">
        <v>35541</v>
      </c>
      <c r="F26" s="6"/>
    </row>
    <row r="27" spans="2:8" x14ac:dyDescent="0.15">
      <c r="C27" s="30">
        <v>38869</v>
      </c>
      <c r="D27" s="17">
        <v>70448</v>
      </c>
      <c r="E27" s="17">
        <v>34206</v>
      </c>
      <c r="F27" s="6"/>
    </row>
    <row r="28" spans="2:8" x14ac:dyDescent="0.15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1.33203125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1.33203125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4" style="1" bestFit="1" customWidth="1"/>
    <col min="3" max="3" width="23.33203125" style="1" customWidth="1"/>
    <col min="4" max="5" width="12.1640625" style="1" customWidth="1"/>
    <col min="6" max="16384" width="9.1640625" style="1"/>
  </cols>
  <sheetData>
    <row r="1" spans="1:3" x14ac:dyDescent="0.15">
      <c r="A1" s="15" t="s">
        <v>6</v>
      </c>
    </row>
    <row r="2" spans="1:3" x14ac:dyDescent="0.15">
      <c r="B2" s="1" t="s">
        <v>50</v>
      </c>
      <c r="C2" s="1" t="s">
        <v>55</v>
      </c>
    </row>
    <row r="3" spans="1:3" x14ac:dyDescent="0.15">
      <c r="B3" s="1" t="s">
        <v>48</v>
      </c>
      <c r="C3" s="1" t="s">
        <v>135</v>
      </c>
    </row>
    <row r="4" spans="1:3" x14ac:dyDescent="0.15">
      <c r="B4" s="1" t="s">
        <v>1</v>
      </c>
    </row>
    <row r="5" spans="1:3" x14ac:dyDescent="0.15">
      <c r="B5" s="1" t="s">
        <v>51</v>
      </c>
    </row>
    <row r="6" spans="1:3" x14ac:dyDescent="0.15">
      <c r="B6" s="1" t="s">
        <v>137</v>
      </c>
    </row>
    <row r="7" spans="1:3" x14ac:dyDescent="0.15">
      <c r="B7" s="1" t="s">
        <v>4</v>
      </c>
      <c r="C7" s="1" t="s">
        <v>220</v>
      </c>
    </row>
    <row r="8" spans="1:3" x14ac:dyDescent="0.15">
      <c r="B8" s="1" t="s">
        <v>2</v>
      </c>
    </row>
    <row r="9" spans="1:3" x14ac:dyDescent="0.15">
      <c r="B9" s="1" t="s">
        <v>136</v>
      </c>
    </row>
    <row r="10" spans="1:3" x14ac:dyDescent="0.15">
      <c r="C10" s="16" t="s">
        <v>216</v>
      </c>
    </row>
    <row r="11" spans="1:3" x14ac:dyDescent="0.15">
      <c r="C11" s="1" t="s">
        <v>217</v>
      </c>
    </row>
    <row r="12" spans="1:3" x14ac:dyDescent="0.15">
      <c r="C12" s="1" t="s">
        <v>218</v>
      </c>
    </row>
    <row r="16" spans="1:3" x14ac:dyDescent="0.15">
      <c r="C16" s="16" t="s">
        <v>158</v>
      </c>
    </row>
    <row r="17" spans="3:6" ht="14" thickBot="1" x14ac:dyDescent="0.2"/>
    <row r="18" spans="3:6" x14ac:dyDescent="0.15">
      <c r="C18" s="26"/>
      <c r="D18" s="24" t="s">
        <v>55</v>
      </c>
      <c r="E18" s="24" t="s">
        <v>138</v>
      </c>
      <c r="F18" s="24" t="s">
        <v>148</v>
      </c>
    </row>
    <row r="19" spans="3:6" x14ac:dyDescent="0.15">
      <c r="C19" s="27" t="s">
        <v>157</v>
      </c>
      <c r="D19" s="22">
        <v>63</v>
      </c>
      <c r="E19" s="22">
        <v>63</v>
      </c>
      <c r="F19" s="22"/>
    </row>
    <row r="20" spans="3:6" x14ac:dyDescent="0.15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15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15">
      <c r="D22" s="6"/>
      <c r="E22" s="6"/>
      <c r="F22" s="6"/>
    </row>
    <row r="23" spans="3:6" x14ac:dyDescent="0.15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15">
      <c r="C24" s="1" t="s">
        <v>142</v>
      </c>
      <c r="D24" s="11">
        <v>0.46</v>
      </c>
      <c r="E24" s="11">
        <v>0.28999999999999998</v>
      </c>
      <c r="F24" s="6"/>
    </row>
    <row r="25" spans="3:6" x14ac:dyDescent="0.15">
      <c r="C25" s="1" t="s">
        <v>143</v>
      </c>
      <c r="D25" s="11">
        <v>0.24</v>
      </c>
      <c r="E25" s="11">
        <v>0.05</v>
      </c>
      <c r="F25" s="6"/>
    </row>
    <row r="26" spans="3:6" x14ac:dyDescent="0.15">
      <c r="C26" s="1" t="s">
        <v>144</v>
      </c>
      <c r="D26" s="11">
        <v>0.18</v>
      </c>
      <c r="E26" s="11">
        <v>0.02</v>
      </c>
      <c r="F26" s="6"/>
    </row>
    <row r="27" spans="3:6" x14ac:dyDescent="0.15">
      <c r="C27" s="1" t="s">
        <v>145</v>
      </c>
      <c r="D27" s="6" t="s">
        <v>150</v>
      </c>
      <c r="E27" s="6" t="s">
        <v>152</v>
      </c>
      <c r="F27" s="6"/>
    </row>
    <row r="28" spans="3:6" x14ac:dyDescent="0.15">
      <c r="D28" s="6"/>
      <c r="E28" s="6"/>
      <c r="F28" s="6"/>
    </row>
    <row r="29" spans="3:6" x14ac:dyDescent="0.15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4" thickBot="1" x14ac:dyDescent="0.2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baseColWidth="10" defaultColWidth="9.1640625" defaultRowHeight="13" x14ac:dyDescent="0.15"/>
  <cols>
    <col min="1" max="1" width="5.6640625" style="1" customWidth="1"/>
    <col min="2" max="2" width="13.33203125" style="1" customWidth="1"/>
    <col min="3" max="3" width="10.1640625" style="1" bestFit="1" customWidth="1"/>
    <col min="4" max="16384" width="9.1640625" style="1"/>
  </cols>
  <sheetData>
    <row r="1" spans="1:5" x14ac:dyDescent="0.15">
      <c r="A1" s="15" t="s">
        <v>6</v>
      </c>
    </row>
    <row r="2" spans="1:5" x14ac:dyDescent="0.15">
      <c r="B2" s="1" t="s">
        <v>50</v>
      </c>
      <c r="C2" s="1" t="s">
        <v>7</v>
      </c>
    </row>
    <row r="3" spans="1:5" x14ac:dyDescent="0.15">
      <c r="B3" s="1" t="s">
        <v>48</v>
      </c>
      <c r="C3" s="1" t="s">
        <v>85</v>
      </c>
    </row>
    <row r="4" spans="1:5" x14ac:dyDescent="0.15">
      <c r="B4" s="1" t="s">
        <v>3</v>
      </c>
      <c r="C4" s="1" t="s">
        <v>86</v>
      </c>
    </row>
    <row r="5" spans="1:5" x14ac:dyDescent="0.15">
      <c r="B5" s="1" t="s">
        <v>1</v>
      </c>
      <c r="C5" s="1" t="s">
        <v>87</v>
      </c>
    </row>
    <row r="6" spans="1:5" x14ac:dyDescent="0.15">
      <c r="B6" s="1" t="s">
        <v>4</v>
      </c>
      <c r="C6" s="1" t="s">
        <v>88</v>
      </c>
    </row>
    <row r="7" spans="1:5" x14ac:dyDescent="0.15">
      <c r="C7" s="1" t="s">
        <v>8</v>
      </c>
    </row>
    <row r="8" spans="1:5" x14ac:dyDescent="0.15">
      <c r="C8" s="1" t="s">
        <v>29</v>
      </c>
    </row>
    <row r="9" spans="1:5" x14ac:dyDescent="0.15">
      <c r="C9" s="1" t="s">
        <v>30</v>
      </c>
    </row>
    <row r="12" spans="1:5" x14ac:dyDescent="0.15">
      <c r="B12" s="1" t="s">
        <v>164</v>
      </c>
      <c r="C12" s="6"/>
      <c r="D12" s="6" t="s">
        <v>165</v>
      </c>
      <c r="E12" s="6" t="s">
        <v>166</v>
      </c>
    </row>
    <row r="13" spans="1:5" x14ac:dyDescent="0.15">
      <c r="C13" s="43">
        <v>40165</v>
      </c>
      <c r="D13" s="35">
        <v>117723</v>
      </c>
      <c r="E13" s="35">
        <v>53829</v>
      </c>
    </row>
    <row r="14" spans="1:5" x14ac:dyDescent="0.15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15">
      <c r="C15" s="43">
        <f t="shared" si="0"/>
        <v>40151</v>
      </c>
      <c r="D15" s="35">
        <v>128647</v>
      </c>
      <c r="E15" s="35">
        <v>56775</v>
      </c>
    </row>
    <row r="16" spans="1:5" x14ac:dyDescent="0.15">
      <c r="C16" s="43">
        <f t="shared" si="0"/>
        <v>40144</v>
      </c>
      <c r="D16" s="35">
        <v>104242</v>
      </c>
      <c r="E16" s="35">
        <v>44896</v>
      </c>
    </row>
    <row r="17" spans="3:5" x14ac:dyDescent="0.15">
      <c r="C17" s="43">
        <f t="shared" si="0"/>
        <v>40137</v>
      </c>
      <c r="D17" s="35">
        <v>116685</v>
      </c>
      <c r="E17" s="35">
        <v>53770</v>
      </c>
    </row>
    <row r="18" spans="3:5" x14ac:dyDescent="0.15">
      <c r="C18" s="43">
        <f t="shared" si="0"/>
        <v>40130</v>
      </c>
      <c r="D18" s="35">
        <v>113476</v>
      </c>
      <c r="E18" s="35">
        <v>51112</v>
      </c>
    </row>
    <row r="19" spans="3:5" x14ac:dyDescent="0.15">
      <c r="C19" s="43">
        <f t="shared" si="0"/>
        <v>40123</v>
      </c>
      <c r="D19" s="35">
        <v>122441</v>
      </c>
      <c r="E19" s="35">
        <v>54445</v>
      </c>
    </row>
    <row r="20" spans="3:5" x14ac:dyDescent="0.15">
      <c r="C20" s="43">
        <f t="shared" si="0"/>
        <v>40116</v>
      </c>
      <c r="D20" s="35">
        <v>114922</v>
      </c>
      <c r="E20" s="35">
        <v>51865</v>
      </c>
    </row>
    <row r="21" spans="3:5" x14ac:dyDescent="0.15">
      <c r="C21" s="43">
        <v>39234</v>
      </c>
      <c r="D21" s="35">
        <v>118958</v>
      </c>
      <c r="E21" s="35">
        <v>50496</v>
      </c>
    </row>
    <row r="22" spans="3:5" x14ac:dyDescent="0.15">
      <c r="C22" s="43">
        <f>C21-7</f>
        <v>39227</v>
      </c>
      <c r="D22" s="35">
        <v>123390</v>
      </c>
      <c r="E22" s="35">
        <v>53736</v>
      </c>
    </row>
    <row r="23" spans="3:5" x14ac:dyDescent="0.15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74"/>
  <sheetViews>
    <sheetView zoomScale="170" zoomScaleNormal="170" workbookViewId="0">
      <selection activeCell="B23" sqref="B23"/>
    </sheetView>
  </sheetViews>
  <sheetFormatPr baseColWidth="10" defaultColWidth="9.1640625" defaultRowHeight="13" x14ac:dyDescent="0.15"/>
  <cols>
    <col min="1" max="1" width="2.5" style="1" customWidth="1"/>
    <col min="2" max="2" width="22" style="1" customWidth="1"/>
    <col min="3" max="3" width="27.5" style="1" bestFit="1" customWidth="1"/>
    <col min="4" max="4" width="16.33203125" style="1" bestFit="1" customWidth="1"/>
    <col min="5" max="5" width="11.5" style="1" customWidth="1"/>
    <col min="6" max="6" width="12.1640625" style="1" customWidth="1"/>
    <col min="7" max="7" width="15.5" style="1" customWidth="1"/>
    <col min="8" max="8" width="4.6640625" style="1" customWidth="1"/>
    <col min="9" max="9" width="7.5" style="1" customWidth="1"/>
    <col min="10" max="10" width="8.1640625" style="1" customWidth="1"/>
    <col min="11" max="11" width="6.5" style="1" customWidth="1"/>
    <col min="12" max="16384" width="9.1640625" style="1"/>
  </cols>
  <sheetData>
    <row r="1" spans="1:11" x14ac:dyDescent="0.15">
      <c r="A1" s="21"/>
    </row>
    <row r="2" spans="1:11" x14ac:dyDescent="0.15">
      <c r="B2" s="2" t="s">
        <v>0</v>
      </c>
      <c r="C2" s="3" t="s">
        <v>1</v>
      </c>
      <c r="D2" s="3" t="s">
        <v>51</v>
      </c>
      <c r="E2" s="3" t="s">
        <v>2</v>
      </c>
      <c r="F2" s="78" t="s">
        <v>447</v>
      </c>
      <c r="G2" s="4" t="s">
        <v>4</v>
      </c>
      <c r="I2" s="1" t="s">
        <v>172</v>
      </c>
      <c r="J2" s="31">
        <v>808</v>
      </c>
    </row>
    <row r="3" spans="1:11" x14ac:dyDescent="0.15">
      <c r="B3" s="14" t="s">
        <v>508</v>
      </c>
      <c r="C3" s="37" t="s">
        <v>36</v>
      </c>
      <c r="D3" s="37" t="s">
        <v>118</v>
      </c>
      <c r="E3" s="11">
        <v>1</v>
      </c>
      <c r="F3" s="30">
        <v>41900</v>
      </c>
      <c r="G3" s="7"/>
      <c r="I3" s="1" t="s">
        <v>84</v>
      </c>
      <c r="J3" s="18">
        <v>950.40538600000002</v>
      </c>
      <c r="K3" s="39" t="s">
        <v>516</v>
      </c>
    </row>
    <row r="4" spans="1:11" x14ac:dyDescent="0.15">
      <c r="B4" s="14" t="s">
        <v>520</v>
      </c>
      <c r="C4" s="37" t="s">
        <v>521</v>
      </c>
      <c r="D4" s="37" t="s">
        <v>458</v>
      </c>
      <c r="E4" s="11">
        <v>1</v>
      </c>
      <c r="F4" s="30">
        <v>45238</v>
      </c>
      <c r="G4" s="7"/>
      <c r="I4" s="1" t="s">
        <v>173</v>
      </c>
      <c r="J4" s="18">
        <f>J2*J3</f>
        <v>767927.55188799999</v>
      </c>
      <c r="K4" s="32"/>
    </row>
    <row r="5" spans="1:11" x14ac:dyDescent="0.15">
      <c r="B5" s="14" t="s">
        <v>505</v>
      </c>
      <c r="C5" s="37" t="s">
        <v>523</v>
      </c>
      <c r="D5" s="37" t="s">
        <v>458</v>
      </c>
      <c r="E5" s="11">
        <v>1</v>
      </c>
      <c r="F5" s="81">
        <v>44694</v>
      </c>
      <c r="G5" s="44"/>
      <c r="I5" s="1" t="s">
        <v>174</v>
      </c>
      <c r="J5" s="18">
        <v>5673</v>
      </c>
      <c r="K5" s="39" t="s">
        <v>516</v>
      </c>
    </row>
    <row r="6" spans="1:11" x14ac:dyDescent="0.15">
      <c r="B6" s="68" t="s">
        <v>471</v>
      </c>
      <c r="C6" s="37" t="s">
        <v>36</v>
      </c>
      <c r="D6" s="37" t="s">
        <v>414</v>
      </c>
      <c r="E6" s="40" t="s">
        <v>275</v>
      </c>
      <c r="F6" s="30">
        <v>42354</v>
      </c>
      <c r="G6" s="7"/>
      <c r="I6" s="1" t="s">
        <v>175</v>
      </c>
      <c r="J6" s="18">
        <v>26221</v>
      </c>
      <c r="K6" s="39" t="s">
        <v>516</v>
      </c>
    </row>
    <row r="7" spans="1:11" x14ac:dyDescent="0.15">
      <c r="B7" s="14" t="s">
        <v>421</v>
      </c>
      <c r="C7" s="37" t="s">
        <v>36</v>
      </c>
      <c r="D7" s="37" t="s">
        <v>280</v>
      </c>
      <c r="E7" s="40" t="s">
        <v>275</v>
      </c>
      <c r="F7" s="30">
        <v>41852</v>
      </c>
      <c r="G7" s="7"/>
      <c r="I7" s="1" t="s">
        <v>176</v>
      </c>
      <c r="J7" s="18">
        <f>J4-J5+J6</f>
        <v>788475.55188799999</v>
      </c>
    </row>
    <row r="8" spans="1:11" x14ac:dyDescent="0.15">
      <c r="B8" s="36" t="s">
        <v>313</v>
      </c>
      <c r="C8" s="6" t="s">
        <v>36</v>
      </c>
      <c r="D8" s="6" t="s">
        <v>274</v>
      </c>
      <c r="E8" s="11" t="s">
        <v>275</v>
      </c>
      <c r="F8" s="30">
        <v>40665</v>
      </c>
      <c r="G8" s="7"/>
    </row>
    <row r="9" spans="1:11" x14ac:dyDescent="0.15">
      <c r="B9" s="36" t="s">
        <v>422</v>
      </c>
      <c r="C9" s="37" t="s">
        <v>446</v>
      </c>
      <c r="D9" s="37" t="s">
        <v>443</v>
      </c>
      <c r="E9" s="40">
        <v>1</v>
      </c>
      <c r="F9" s="30">
        <v>42451</v>
      </c>
      <c r="G9" s="7"/>
      <c r="I9" s="21" t="s">
        <v>459</v>
      </c>
    </row>
    <row r="10" spans="1:11" x14ac:dyDescent="0.15">
      <c r="B10" s="36" t="s">
        <v>555</v>
      </c>
      <c r="C10" s="37" t="s">
        <v>454</v>
      </c>
      <c r="D10" s="37" t="s">
        <v>463</v>
      </c>
      <c r="E10" s="40"/>
      <c r="F10" s="30">
        <v>43370</v>
      </c>
      <c r="G10" s="7"/>
      <c r="I10" s="21" t="s">
        <v>460</v>
      </c>
    </row>
    <row r="11" spans="1:11" x14ac:dyDescent="0.15">
      <c r="B11" s="14" t="s">
        <v>535</v>
      </c>
      <c r="C11" s="37" t="s">
        <v>522</v>
      </c>
      <c r="D11" s="6" t="s">
        <v>488</v>
      </c>
      <c r="E11" s="11">
        <v>1</v>
      </c>
      <c r="F11" s="81">
        <v>44953</v>
      </c>
      <c r="G11" s="44"/>
      <c r="I11" s="21" t="s">
        <v>461</v>
      </c>
    </row>
    <row r="12" spans="1:11" x14ac:dyDescent="0.15">
      <c r="B12" s="14" t="s">
        <v>491</v>
      </c>
      <c r="C12" s="37" t="s">
        <v>453</v>
      </c>
      <c r="D12" s="37" t="s">
        <v>462</v>
      </c>
      <c r="E12" s="40"/>
      <c r="F12" s="30">
        <v>43006</v>
      </c>
      <c r="G12" s="7"/>
      <c r="I12" s="21" t="s">
        <v>532</v>
      </c>
    </row>
    <row r="13" spans="1:11" x14ac:dyDescent="0.15">
      <c r="B13" s="36" t="s">
        <v>487</v>
      </c>
      <c r="C13" s="37" t="s">
        <v>452</v>
      </c>
      <c r="D13" s="37" t="s">
        <v>448</v>
      </c>
      <c r="E13" s="40" t="s">
        <v>439</v>
      </c>
      <c r="F13" s="37" t="s">
        <v>556</v>
      </c>
      <c r="G13" s="7"/>
      <c r="I13" s="21" t="s">
        <v>537</v>
      </c>
    </row>
    <row r="14" spans="1:11" x14ac:dyDescent="0.15">
      <c r="B14" s="36" t="s">
        <v>486</v>
      </c>
      <c r="C14" s="37"/>
      <c r="D14" s="37"/>
      <c r="E14" s="40"/>
      <c r="F14" s="30">
        <v>43959</v>
      </c>
      <c r="G14" s="7"/>
    </row>
    <row r="15" spans="1:11" x14ac:dyDescent="0.15">
      <c r="B15" s="36" t="s">
        <v>440</v>
      </c>
      <c r="C15" s="37" t="s">
        <v>507</v>
      </c>
      <c r="D15" s="37" t="s">
        <v>267</v>
      </c>
      <c r="E15" s="40" t="s">
        <v>268</v>
      </c>
      <c r="F15" s="30">
        <v>43251</v>
      </c>
      <c r="G15" s="7"/>
      <c r="I15" s="21" t="s">
        <v>561</v>
      </c>
    </row>
    <row r="16" spans="1:11" x14ac:dyDescent="0.15">
      <c r="B16" s="36" t="s">
        <v>524</v>
      </c>
      <c r="C16" s="37" t="s">
        <v>469</v>
      </c>
      <c r="D16" s="37" t="s">
        <v>525</v>
      </c>
      <c r="E16" s="80" t="s">
        <v>526</v>
      </c>
      <c r="F16" s="37" t="s">
        <v>284</v>
      </c>
      <c r="G16" s="44"/>
    </row>
    <row r="17" spans="2:9" x14ac:dyDescent="0.15">
      <c r="B17" s="36" t="s">
        <v>473</v>
      </c>
      <c r="C17" s="37" t="s">
        <v>474</v>
      </c>
      <c r="D17" s="37" t="s">
        <v>472</v>
      </c>
      <c r="E17" s="40"/>
      <c r="F17" s="30">
        <v>43670</v>
      </c>
      <c r="G17" s="7"/>
      <c r="I17" s="16" t="s">
        <v>562</v>
      </c>
    </row>
    <row r="18" spans="2:9" x14ac:dyDescent="0.15">
      <c r="B18" s="5" t="s">
        <v>470</v>
      </c>
      <c r="C18" s="6" t="s">
        <v>36</v>
      </c>
      <c r="D18" s="6" t="s">
        <v>117</v>
      </c>
      <c r="E18" s="40" t="s">
        <v>283</v>
      </c>
      <c r="F18" s="30">
        <v>35230</v>
      </c>
      <c r="G18" s="7">
        <v>2013</v>
      </c>
      <c r="I18" s="21" t="s">
        <v>563</v>
      </c>
    </row>
    <row r="19" spans="2:9" x14ac:dyDescent="0.15">
      <c r="B19" s="36" t="s">
        <v>527</v>
      </c>
      <c r="C19" s="37" t="s">
        <v>482</v>
      </c>
      <c r="D19" s="37" t="s">
        <v>528</v>
      </c>
      <c r="E19" s="11" t="s">
        <v>283</v>
      </c>
      <c r="F19" s="81">
        <v>45225</v>
      </c>
      <c r="G19" s="44"/>
      <c r="I19" s="21" t="s">
        <v>564</v>
      </c>
    </row>
    <row r="20" spans="2:9" x14ac:dyDescent="0.15">
      <c r="B20" s="36" t="s">
        <v>57</v>
      </c>
      <c r="C20" s="6" t="s">
        <v>36</v>
      </c>
      <c r="D20" s="6" t="s">
        <v>117</v>
      </c>
      <c r="E20" s="40" t="s">
        <v>283</v>
      </c>
      <c r="F20" s="30">
        <v>33905</v>
      </c>
      <c r="G20" s="7"/>
    </row>
    <row r="21" spans="2:9" x14ac:dyDescent="0.15">
      <c r="B21" s="69" t="s">
        <v>434</v>
      </c>
      <c r="C21" s="72" t="s">
        <v>305</v>
      </c>
      <c r="D21" s="72" t="s">
        <v>435</v>
      </c>
      <c r="E21" s="73" t="s">
        <v>283</v>
      </c>
      <c r="F21" s="82">
        <v>41750</v>
      </c>
      <c r="G21" s="10"/>
      <c r="I21" s="16" t="s">
        <v>565</v>
      </c>
    </row>
    <row r="22" spans="2:9" s="19" customFormat="1" x14ac:dyDescent="0.15">
      <c r="B22" s="2"/>
      <c r="C22" s="3"/>
      <c r="D22" s="3"/>
      <c r="E22" s="3"/>
      <c r="F22" s="3" t="s">
        <v>5</v>
      </c>
      <c r="G22" s="4"/>
      <c r="I22" s="21" t="s">
        <v>566</v>
      </c>
    </row>
    <row r="23" spans="2:9" x14ac:dyDescent="0.15">
      <c r="B23" s="94" t="s">
        <v>483</v>
      </c>
      <c r="C23" s="95" t="s">
        <v>120</v>
      </c>
      <c r="D23" s="95" t="s">
        <v>179</v>
      </c>
      <c r="E23" s="96">
        <v>1</v>
      </c>
      <c r="F23" s="95" t="s">
        <v>47</v>
      </c>
      <c r="G23" s="97"/>
    </row>
    <row r="24" spans="2:9" x14ac:dyDescent="0.15">
      <c r="B24" s="36" t="s">
        <v>489</v>
      </c>
      <c r="C24" s="98" t="s">
        <v>490</v>
      </c>
      <c r="D24" s="98"/>
      <c r="E24" s="99"/>
      <c r="F24" s="100" t="s">
        <v>47</v>
      </c>
      <c r="G24" s="44"/>
    </row>
    <row r="25" spans="2:9" x14ac:dyDescent="0.15">
      <c r="B25" s="36" t="s">
        <v>734</v>
      </c>
      <c r="C25" s="100" t="s">
        <v>120</v>
      </c>
      <c r="D25" s="98"/>
      <c r="E25" s="99"/>
      <c r="F25" s="100" t="s">
        <v>47</v>
      </c>
      <c r="G25" s="44"/>
    </row>
    <row r="26" spans="2:9" x14ac:dyDescent="0.15">
      <c r="B26" s="36" t="s">
        <v>714</v>
      </c>
      <c r="C26" s="100" t="s">
        <v>239</v>
      </c>
      <c r="D26" s="98" t="s">
        <v>503</v>
      </c>
      <c r="E26" s="99" t="s">
        <v>502</v>
      </c>
      <c r="F26" s="100" t="s">
        <v>105</v>
      </c>
      <c r="G26" s="7"/>
    </row>
    <row r="27" spans="2:9" x14ac:dyDescent="0.15">
      <c r="B27" s="36" t="s">
        <v>569</v>
      </c>
      <c r="C27" s="100" t="s">
        <v>521</v>
      </c>
      <c r="D27" s="98"/>
      <c r="E27" s="99"/>
      <c r="F27" s="100" t="s">
        <v>105</v>
      </c>
      <c r="G27" s="7"/>
    </row>
    <row r="28" spans="2:9" x14ac:dyDescent="0.15">
      <c r="B28" s="36" t="s">
        <v>572</v>
      </c>
      <c r="C28" s="100" t="s">
        <v>715</v>
      </c>
      <c r="D28" s="98"/>
      <c r="E28" s="99"/>
      <c r="F28" s="100" t="s">
        <v>47</v>
      </c>
      <c r="G28" s="7"/>
    </row>
    <row r="29" spans="2:9" x14ac:dyDescent="0.15">
      <c r="B29" s="36" t="s">
        <v>571</v>
      </c>
      <c r="C29" s="100" t="s">
        <v>716</v>
      </c>
      <c r="D29" s="98"/>
      <c r="E29" s="99"/>
      <c r="F29" s="100" t="s">
        <v>47</v>
      </c>
      <c r="G29" s="7"/>
    </row>
    <row r="30" spans="2:9" x14ac:dyDescent="0.15">
      <c r="B30" s="36" t="s">
        <v>570</v>
      </c>
      <c r="C30" s="100" t="s">
        <v>521</v>
      </c>
      <c r="D30" s="98"/>
      <c r="E30" s="99"/>
      <c r="F30" s="100" t="s">
        <v>105</v>
      </c>
      <c r="G30" s="7"/>
    </row>
    <row r="31" spans="2:9" x14ac:dyDescent="0.15">
      <c r="B31" s="36" t="s">
        <v>717</v>
      </c>
      <c r="C31" s="100" t="s">
        <v>521</v>
      </c>
      <c r="D31" s="98"/>
      <c r="E31" s="99"/>
      <c r="F31" s="100" t="s">
        <v>105</v>
      </c>
      <c r="G31" s="7"/>
    </row>
    <row r="32" spans="2:9" x14ac:dyDescent="0.15">
      <c r="B32" s="36" t="s">
        <v>718</v>
      </c>
      <c r="C32" s="100" t="s">
        <v>719</v>
      </c>
      <c r="D32" s="98"/>
      <c r="E32" s="99"/>
      <c r="F32" s="100" t="s">
        <v>47</v>
      </c>
      <c r="G32" s="7"/>
    </row>
    <row r="33" spans="2:9" x14ac:dyDescent="0.15">
      <c r="B33" s="36" t="s">
        <v>746</v>
      </c>
      <c r="C33" s="100" t="s">
        <v>747</v>
      </c>
      <c r="D33" s="98"/>
      <c r="E33" s="99"/>
      <c r="F33" s="100" t="s">
        <v>47</v>
      </c>
      <c r="G33" s="7"/>
    </row>
    <row r="34" spans="2:9" x14ac:dyDescent="0.15">
      <c r="B34" s="36" t="s">
        <v>720</v>
      </c>
      <c r="C34" s="100" t="s">
        <v>721</v>
      </c>
      <c r="D34" s="98"/>
      <c r="E34" s="99"/>
      <c r="F34" s="100" t="s">
        <v>105</v>
      </c>
      <c r="G34" s="7"/>
      <c r="I34" s="21" t="s">
        <v>548</v>
      </c>
    </row>
    <row r="35" spans="2:9" x14ac:dyDescent="0.15">
      <c r="B35" s="36" t="s">
        <v>722</v>
      </c>
      <c r="C35" s="100" t="s">
        <v>721</v>
      </c>
      <c r="D35" s="98"/>
      <c r="E35" s="99"/>
      <c r="F35" s="100" t="s">
        <v>105</v>
      </c>
      <c r="G35" s="7"/>
    </row>
    <row r="36" spans="2:9" x14ac:dyDescent="0.15">
      <c r="B36" s="36"/>
      <c r="C36" s="100" t="s">
        <v>726</v>
      </c>
      <c r="D36" s="100" t="s">
        <v>725</v>
      </c>
      <c r="E36" s="99"/>
      <c r="F36" s="100"/>
      <c r="G36" s="7"/>
    </row>
    <row r="37" spans="2:9" x14ac:dyDescent="0.15">
      <c r="B37" s="36" t="s">
        <v>723</v>
      </c>
      <c r="C37" s="100" t="s">
        <v>724</v>
      </c>
      <c r="D37" s="98"/>
      <c r="E37" s="99"/>
      <c r="F37" s="100" t="s">
        <v>105</v>
      </c>
      <c r="G37" s="7"/>
    </row>
    <row r="38" spans="2:9" x14ac:dyDescent="0.15">
      <c r="B38" s="36" t="s">
        <v>727</v>
      </c>
      <c r="C38" s="100" t="s">
        <v>446</v>
      </c>
      <c r="D38" s="98"/>
      <c r="E38" s="99"/>
      <c r="F38" s="100" t="s">
        <v>105</v>
      </c>
      <c r="G38" s="7"/>
    </row>
    <row r="39" spans="2:9" x14ac:dyDescent="0.15">
      <c r="B39" s="36" t="s">
        <v>728</v>
      </c>
      <c r="C39" s="100" t="s">
        <v>729</v>
      </c>
      <c r="D39" s="98"/>
      <c r="E39" s="99"/>
      <c r="F39" s="100" t="s">
        <v>105</v>
      </c>
      <c r="G39" s="7"/>
    </row>
    <row r="40" spans="2:9" x14ac:dyDescent="0.15">
      <c r="B40" s="36"/>
      <c r="C40" s="100" t="s">
        <v>446</v>
      </c>
      <c r="D40" s="100" t="s">
        <v>730</v>
      </c>
      <c r="E40" s="99"/>
      <c r="F40" s="100" t="s">
        <v>105</v>
      </c>
      <c r="G40" s="7"/>
    </row>
    <row r="41" spans="2:9" x14ac:dyDescent="0.15">
      <c r="B41" s="36" t="s">
        <v>731</v>
      </c>
      <c r="C41" s="100" t="s">
        <v>239</v>
      </c>
      <c r="D41" s="100"/>
      <c r="E41" s="99"/>
      <c r="F41" s="100" t="s">
        <v>105</v>
      </c>
      <c r="G41" s="7"/>
    </row>
    <row r="42" spans="2:9" x14ac:dyDescent="0.15">
      <c r="B42" s="36" t="s">
        <v>732</v>
      </c>
      <c r="C42" s="100" t="s">
        <v>239</v>
      </c>
      <c r="D42" s="100"/>
      <c r="E42" s="99"/>
      <c r="F42" s="100" t="s">
        <v>105</v>
      </c>
      <c r="G42" s="7"/>
    </row>
    <row r="43" spans="2:9" x14ac:dyDescent="0.15">
      <c r="B43" s="36" t="s">
        <v>743</v>
      </c>
      <c r="C43" s="100" t="s">
        <v>744</v>
      </c>
      <c r="D43" s="100" t="s">
        <v>745</v>
      </c>
      <c r="E43" s="101"/>
      <c r="F43" s="100" t="s">
        <v>105</v>
      </c>
      <c r="G43" s="7"/>
    </row>
    <row r="44" spans="2:9" x14ac:dyDescent="0.15">
      <c r="B44" s="36" t="s">
        <v>733</v>
      </c>
      <c r="C44" s="100" t="s">
        <v>469</v>
      </c>
      <c r="D44" s="100"/>
      <c r="E44" s="99"/>
      <c r="F44" s="100" t="s">
        <v>105</v>
      </c>
      <c r="G44" s="7"/>
    </row>
    <row r="45" spans="2:9" x14ac:dyDescent="0.15">
      <c r="B45" s="36" t="s">
        <v>740</v>
      </c>
      <c r="C45" s="100" t="s">
        <v>120</v>
      </c>
      <c r="D45" s="100" t="s">
        <v>740</v>
      </c>
      <c r="E45" s="99"/>
      <c r="F45" s="100" t="s">
        <v>105</v>
      </c>
      <c r="G45" s="7"/>
    </row>
    <row r="46" spans="2:9" x14ac:dyDescent="0.15">
      <c r="B46" s="36" t="s">
        <v>741</v>
      </c>
      <c r="C46" s="100" t="s">
        <v>194</v>
      </c>
      <c r="D46" s="100"/>
      <c r="E46" s="99"/>
      <c r="F46" s="100" t="s">
        <v>105</v>
      </c>
      <c r="G46" s="7"/>
    </row>
    <row r="47" spans="2:9" x14ac:dyDescent="0.15">
      <c r="B47" s="36" t="s">
        <v>742</v>
      </c>
      <c r="C47" s="100" t="s">
        <v>194</v>
      </c>
      <c r="D47" s="100"/>
      <c r="E47" s="99"/>
      <c r="F47" s="100" t="s">
        <v>105</v>
      </c>
      <c r="G47" s="7"/>
    </row>
    <row r="48" spans="2:9" x14ac:dyDescent="0.15">
      <c r="B48" s="36" t="s">
        <v>568</v>
      </c>
      <c r="C48" s="100" t="s">
        <v>735</v>
      </c>
      <c r="D48" s="100" t="s">
        <v>737</v>
      </c>
      <c r="E48" s="101"/>
      <c r="F48" s="100" t="s">
        <v>105</v>
      </c>
      <c r="G48" s="7"/>
      <c r="I48" s="21"/>
    </row>
    <row r="49" spans="2:9" x14ac:dyDescent="0.15">
      <c r="B49" s="36" t="s">
        <v>736</v>
      </c>
      <c r="C49" s="100" t="s">
        <v>739</v>
      </c>
      <c r="D49" s="100" t="s">
        <v>738</v>
      </c>
      <c r="E49" s="101"/>
      <c r="F49" s="100" t="s">
        <v>105</v>
      </c>
      <c r="G49" s="7"/>
      <c r="I49" s="21"/>
    </row>
    <row r="50" spans="2:9" x14ac:dyDescent="0.15">
      <c r="B50" s="69" t="s">
        <v>530</v>
      </c>
      <c r="C50" s="72" t="s">
        <v>531</v>
      </c>
      <c r="D50" s="72"/>
      <c r="E50" s="73"/>
      <c r="F50" s="72" t="s">
        <v>105</v>
      </c>
      <c r="G50" s="10"/>
    </row>
    <row r="52" spans="2:9" x14ac:dyDescent="0.15">
      <c r="E52" s="21" t="s">
        <v>547</v>
      </c>
      <c r="F52" s="33"/>
    </row>
    <row r="53" spans="2:9" x14ac:dyDescent="0.15">
      <c r="E53" s="21" t="s">
        <v>533</v>
      </c>
      <c r="F53" s="34"/>
    </row>
    <row r="54" spans="2:9" x14ac:dyDescent="0.15">
      <c r="B54" s="74"/>
      <c r="C54" s="74"/>
      <c r="E54" s="21" t="s">
        <v>506</v>
      </c>
      <c r="F54" s="33"/>
    </row>
    <row r="55" spans="2:9" x14ac:dyDescent="0.15">
      <c r="B55" s="75"/>
      <c r="F55" s="33"/>
    </row>
    <row r="56" spans="2:9" x14ac:dyDescent="0.15">
      <c r="B56" s="75"/>
      <c r="C56" s="75"/>
    </row>
    <row r="57" spans="2:9" x14ac:dyDescent="0.15">
      <c r="B57" s="75"/>
      <c r="C57" s="75"/>
    </row>
    <row r="58" spans="2:9" x14ac:dyDescent="0.15">
      <c r="B58" s="75"/>
      <c r="C58" s="75"/>
    </row>
    <row r="59" spans="2:9" x14ac:dyDescent="0.15">
      <c r="B59" s="75"/>
      <c r="C59" s="75"/>
    </row>
    <row r="60" spans="2:9" x14ac:dyDescent="0.15">
      <c r="B60" s="76"/>
      <c r="C60" s="75"/>
    </row>
    <row r="61" spans="2:9" x14ac:dyDescent="0.15">
      <c r="B61" s="76"/>
      <c r="C61" s="75"/>
    </row>
    <row r="62" spans="2:9" x14ac:dyDescent="0.15">
      <c r="B62" s="76"/>
      <c r="C62" s="75"/>
    </row>
    <row r="63" spans="2:9" x14ac:dyDescent="0.15">
      <c r="B63" s="75"/>
      <c r="C63" s="75"/>
    </row>
    <row r="64" spans="2:9" x14ac:dyDescent="0.15">
      <c r="B64" s="75"/>
      <c r="C64" s="75"/>
    </row>
    <row r="65" spans="2:3" x14ac:dyDescent="0.15">
      <c r="B65" s="76"/>
      <c r="C65" s="75"/>
    </row>
    <row r="66" spans="2:3" x14ac:dyDescent="0.15">
      <c r="B66" s="75"/>
    </row>
    <row r="67" spans="2:3" x14ac:dyDescent="0.15">
      <c r="B67" s="75"/>
    </row>
    <row r="69" spans="2:3" x14ac:dyDescent="0.15">
      <c r="B69" s="75"/>
    </row>
    <row r="70" spans="2:3" x14ac:dyDescent="0.15">
      <c r="C70" s="75"/>
    </row>
    <row r="72" spans="2:3" x14ac:dyDescent="0.15">
      <c r="B72" s="75"/>
    </row>
    <row r="74" spans="2:3" x14ac:dyDescent="0.15">
      <c r="C74" s="75"/>
    </row>
  </sheetData>
  <phoneticPr fontId="2" type="noConversion"/>
  <hyperlinks>
    <hyperlink ref="B11" location="Jayprica!A1" display="Jaypirca (fka LOXO-305) (pirtobrutinib)" xr:uid="{34495B2A-0C75-D74E-8FFE-80BE4E5ADE9F}"/>
    <hyperlink ref="B5" location="'Mounjaro-Zepbound'!A1" display="Mounjaro (tirzepatide)" xr:uid="{D8F7C7AC-8C9E-5248-BDA1-972E012B334B}"/>
    <hyperlink ref="B4" location="'Mounjaro-Zepbound'!A1" display="Zepbound (tirzepatide)" xr:uid="{32D8C82D-7CBF-574E-BAC1-8B4A32193D20}"/>
    <hyperlink ref="B12" location="Verzenio!A1" display="Verzenio (abemaciclib)" xr:uid="{3FBF301C-5A80-5B46-AF81-2FEE5FDAAEE9}"/>
    <hyperlink ref="B7" location="Jardiance!A1" display="Jardiance (empagliflozin)" xr:uid="{6E4A9918-79D5-E94C-9D89-D81E694C22D5}"/>
  </hyperlinks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15" t="s">
        <v>6</v>
      </c>
    </row>
    <row r="2" spans="1:3" x14ac:dyDescent="0.15">
      <c r="B2" s="1" t="s">
        <v>50</v>
      </c>
      <c r="C2" s="1" t="s">
        <v>70</v>
      </c>
    </row>
    <row r="3" spans="1:3" x14ac:dyDescent="0.15">
      <c r="B3" s="1" t="s">
        <v>48</v>
      </c>
      <c r="C3" s="1" t="s">
        <v>221</v>
      </c>
    </row>
    <row r="4" spans="1:3" x14ac:dyDescent="0.15">
      <c r="B4" s="1" t="s">
        <v>2</v>
      </c>
      <c r="C4" s="1" t="s">
        <v>222</v>
      </c>
    </row>
    <row r="5" spans="1:3" x14ac:dyDescent="0.15">
      <c r="B5" s="1" t="s">
        <v>3</v>
      </c>
      <c r="C5" s="1" t="s">
        <v>225</v>
      </c>
    </row>
    <row r="6" spans="1:3" x14ac:dyDescent="0.15">
      <c r="B6" s="1" t="s">
        <v>226</v>
      </c>
      <c r="C6" s="1" t="s">
        <v>35</v>
      </c>
    </row>
    <row r="7" spans="1:3" x14ac:dyDescent="0.15">
      <c r="B7" s="1" t="s">
        <v>137</v>
      </c>
      <c r="C7" s="1" t="s">
        <v>22</v>
      </c>
    </row>
    <row r="8" spans="1:3" x14ac:dyDescent="0.15">
      <c r="B8" s="1" t="s">
        <v>92</v>
      </c>
    </row>
    <row r="9" spans="1:3" x14ac:dyDescent="0.15">
      <c r="C9" s="1" t="s">
        <v>20</v>
      </c>
    </row>
    <row r="10" spans="1:3" x14ac:dyDescent="0.15">
      <c r="C10" s="1" t="s">
        <v>21</v>
      </c>
    </row>
    <row r="14" spans="1:3" x14ac:dyDescent="0.15">
      <c r="C14" s="16" t="s">
        <v>223</v>
      </c>
    </row>
    <row r="15" spans="1:3" x14ac:dyDescent="0.15">
      <c r="C15" s="1" t="s">
        <v>224</v>
      </c>
    </row>
    <row r="16" spans="1:3" x14ac:dyDescent="0.15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3" width="10.5" style="1" bestFit="1" customWidth="1"/>
    <col min="4" max="16384" width="9.1640625" style="1"/>
  </cols>
  <sheetData>
    <row r="1" spans="1:7" x14ac:dyDescent="0.15">
      <c r="A1" s="15" t="s">
        <v>6</v>
      </c>
    </row>
    <row r="2" spans="1:7" x14ac:dyDescent="0.15">
      <c r="B2" s="1" t="s">
        <v>50</v>
      </c>
      <c r="C2" s="1" t="s">
        <v>196</v>
      </c>
    </row>
    <row r="3" spans="1:7" x14ac:dyDescent="0.15">
      <c r="B3" s="1" t="s">
        <v>48</v>
      </c>
      <c r="C3" s="1" t="s">
        <v>75</v>
      </c>
    </row>
    <row r="4" spans="1:7" x14ac:dyDescent="0.15">
      <c r="B4" s="1" t="s">
        <v>91</v>
      </c>
      <c r="C4" s="21" t="s">
        <v>248</v>
      </c>
    </row>
    <row r="5" spans="1:7" x14ac:dyDescent="0.15">
      <c r="B5" s="1" t="s">
        <v>51</v>
      </c>
      <c r="C5" s="1" t="s">
        <v>168</v>
      </c>
    </row>
    <row r="6" spans="1:7" x14ac:dyDescent="0.15">
      <c r="C6" s="1" t="s">
        <v>167</v>
      </c>
    </row>
    <row r="7" spans="1:7" x14ac:dyDescent="0.15">
      <c r="C7" s="1" t="s">
        <v>169</v>
      </c>
    </row>
    <row r="8" spans="1:7" x14ac:dyDescent="0.15">
      <c r="C8" s="1" t="s">
        <v>171</v>
      </c>
    </row>
    <row r="9" spans="1:7" x14ac:dyDescent="0.15">
      <c r="C9" s="1" t="s">
        <v>180</v>
      </c>
    </row>
    <row r="10" spans="1:7" x14ac:dyDescent="0.15">
      <c r="B10" s="1" t="s">
        <v>2</v>
      </c>
      <c r="C10" s="1" t="s">
        <v>129</v>
      </c>
    </row>
    <row r="11" spans="1:7" x14ac:dyDescent="0.15">
      <c r="B11" s="1" t="s">
        <v>131</v>
      </c>
      <c r="C11" s="1" t="s">
        <v>132</v>
      </c>
    </row>
    <row r="12" spans="1:7" x14ac:dyDescent="0.15">
      <c r="B12" s="21" t="s">
        <v>164</v>
      </c>
      <c r="C12" s="21"/>
      <c r="D12" s="39" t="s">
        <v>261</v>
      </c>
      <c r="E12" s="39" t="s">
        <v>101</v>
      </c>
      <c r="F12" s="39" t="s">
        <v>263</v>
      </c>
      <c r="G12" s="39" t="s">
        <v>264</v>
      </c>
    </row>
    <row r="13" spans="1:7" x14ac:dyDescent="0.15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15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15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15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15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15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15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15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15">
      <c r="B21" s="21"/>
      <c r="C21" s="21"/>
    </row>
    <row r="22" spans="2:7" x14ac:dyDescent="0.15">
      <c r="B22" s="21" t="s">
        <v>172</v>
      </c>
      <c r="C22" s="21" t="s">
        <v>262</v>
      </c>
    </row>
    <row r="23" spans="2:7" x14ac:dyDescent="0.15">
      <c r="B23" s="1" t="s">
        <v>92</v>
      </c>
    </row>
    <row r="24" spans="2:7" x14ac:dyDescent="0.15">
      <c r="C24" s="1" t="s">
        <v>24</v>
      </c>
    </row>
    <row r="25" spans="2:7" x14ac:dyDescent="0.15">
      <c r="C25" s="1" t="s">
        <v>219</v>
      </c>
    </row>
    <row r="27" spans="2:7" x14ac:dyDescent="0.15">
      <c r="C27" s="16" t="s">
        <v>184</v>
      </c>
    </row>
    <row r="28" spans="2:7" x14ac:dyDescent="0.15">
      <c r="C28" s="1" t="s">
        <v>182</v>
      </c>
    </row>
    <row r="29" spans="2:7" x14ac:dyDescent="0.15">
      <c r="C29" s="1" t="s">
        <v>109</v>
      </c>
    </row>
    <row r="30" spans="2:7" x14ac:dyDescent="0.15">
      <c r="C30" s="19" t="s">
        <v>230</v>
      </c>
    </row>
    <row r="31" spans="2:7" x14ac:dyDescent="0.15">
      <c r="C31" s="1" t="s">
        <v>130</v>
      </c>
    </row>
    <row r="32" spans="2:7" x14ac:dyDescent="0.15">
      <c r="C32" s="1" t="s">
        <v>229</v>
      </c>
    </row>
    <row r="33" spans="3:3" x14ac:dyDescent="0.15">
      <c r="C33" s="1" t="s">
        <v>161</v>
      </c>
    </row>
    <row r="34" spans="3:3" x14ac:dyDescent="0.15">
      <c r="C34" s="1" t="s">
        <v>170</v>
      </c>
    </row>
    <row r="35" spans="3:3" x14ac:dyDescent="0.15">
      <c r="C35" s="1" t="s">
        <v>181</v>
      </c>
    </row>
    <row r="36" spans="3:3" x14ac:dyDescent="0.15">
      <c r="C36" s="1" t="s">
        <v>240</v>
      </c>
    </row>
    <row r="38" spans="3:3" x14ac:dyDescent="0.15">
      <c r="C38" s="16" t="s">
        <v>94</v>
      </c>
    </row>
    <row r="39" spans="3:3" x14ac:dyDescent="0.15">
      <c r="C39" s="1" t="s">
        <v>95</v>
      </c>
    </row>
    <row r="40" spans="3:3" x14ac:dyDescent="0.15">
      <c r="C40" s="1" t="s">
        <v>102</v>
      </c>
    </row>
    <row r="41" spans="3:3" x14ac:dyDescent="0.15">
      <c r="C41" s="19" t="s">
        <v>103</v>
      </c>
    </row>
    <row r="42" spans="3:3" x14ac:dyDescent="0.15">
      <c r="C42" s="1" t="s">
        <v>104</v>
      </c>
    </row>
    <row r="43" spans="3:3" x14ac:dyDescent="0.15">
      <c r="C43" s="1" t="s">
        <v>162</v>
      </c>
    </row>
    <row r="44" spans="3:3" x14ac:dyDescent="0.15">
      <c r="C44" s="1" t="s">
        <v>177</v>
      </c>
    </row>
    <row r="46" spans="3:3" x14ac:dyDescent="0.15">
      <c r="C46" s="16" t="s">
        <v>329</v>
      </c>
    </row>
    <row r="47" spans="3:3" x14ac:dyDescent="0.15">
      <c r="C47" s="21" t="s">
        <v>327</v>
      </c>
    </row>
    <row r="48" spans="3:3" x14ac:dyDescent="0.15">
      <c r="C48" s="21" t="s">
        <v>328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3.33203125" style="1" customWidth="1"/>
    <col min="3" max="16384" width="9.1640625" style="1"/>
  </cols>
  <sheetData>
    <row r="1" spans="1:3" x14ac:dyDescent="0.15">
      <c r="A1" s="15" t="s">
        <v>6</v>
      </c>
    </row>
    <row r="2" spans="1:3" x14ac:dyDescent="0.15">
      <c r="A2" s="15"/>
      <c r="B2" s="1" t="s">
        <v>50</v>
      </c>
    </row>
    <row r="3" spans="1:3" x14ac:dyDescent="0.15">
      <c r="A3" s="15"/>
      <c r="B3" s="1" t="s">
        <v>48</v>
      </c>
      <c r="C3" s="1" t="s">
        <v>49</v>
      </c>
    </row>
    <row r="4" spans="1:3" x14ac:dyDescent="0.15">
      <c r="A4" s="15"/>
      <c r="B4" s="1" t="s">
        <v>1</v>
      </c>
      <c r="C4" s="1" t="s">
        <v>121</v>
      </c>
    </row>
    <row r="5" spans="1:3" x14ac:dyDescent="0.15">
      <c r="A5" s="15"/>
      <c r="B5" s="1" t="s">
        <v>51</v>
      </c>
      <c r="C5" s="1" t="s">
        <v>52</v>
      </c>
    </row>
    <row r="6" spans="1:3" x14ac:dyDescent="0.15">
      <c r="A6" s="15"/>
      <c r="B6" s="1" t="s">
        <v>92</v>
      </c>
    </row>
    <row r="7" spans="1:3" x14ac:dyDescent="0.15">
      <c r="C7" s="16" t="s">
        <v>304</v>
      </c>
    </row>
    <row r="8" spans="1:3" x14ac:dyDescent="0.15">
      <c r="C8" s="1" t="s">
        <v>46</v>
      </c>
    </row>
    <row r="10" spans="1:3" x14ac:dyDescent="0.15">
      <c r="C10" s="16" t="s">
        <v>53</v>
      </c>
    </row>
    <row r="11" spans="1:3" x14ac:dyDescent="0.15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</row>
    <row r="3" spans="1:3" x14ac:dyDescent="0.15">
      <c r="B3" t="s">
        <v>48</v>
      </c>
      <c r="C3" t="s">
        <v>112</v>
      </c>
    </row>
    <row r="4" spans="1:3" x14ac:dyDescent="0.15">
      <c r="B4" t="s">
        <v>1</v>
      </c>
      <c r="C4" t="s">
        <v>115</v>
      </c>
    </row>
    <row r="5" spans="1:3" x14ac:dyDescent="0.15">
      <c r="B5" t="s">
        <v>91</v>
      </c>
      <c r="C5" t="s">
        <v>26</v>
      </c>
    </row>
    <row r="6" spans="1:3" x14ac:dyDescent="0.15">
      <c r="B6" t="s">
        <v>3</v>
      </c>
      <c r="C6" t="s">
        <v>28</v>
      </c>
    </row>
    <row r="7" spans="1:3" x14ac:dyDescent="0.15">
      <c r="B7" t="s">
        <v>92</v>
      </c>
      <c r="C7" t="s">
        <v>27</v>
      </c>
    </row>
    <row r="9" spans="1:3" x14ac:dyDescent="0.15">
      <c r="C9" s="20" t="s">
        <v>113</v>
      </c>
    </row>
    <row r="10" spans="1:3" x14ac:dyDescent="0.15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" style="1" bestFit="1" customWidth="1"/>
    <col min="3" max="16384" width="9.1640625" style="1"/>
  </cols>
  <sheetData>
    <row r="1" spans="1:3" x14ac:dyDescent="0.15">
      <c r="A1" s="15" t="s">
        <v>6</v>
      </c>
    </row>
    <row r="2" spans="1:3" x14ac:dyDescent="0.15">
      <c r="B2" s="1" t="s">
        <v>50</v>
      </c>
      <c r="C2" s="1" t="s">
        <v>178</v>
      </c>
    </row>
    <row r="3" spans="1:3" x14ac:dyDescent="0.15">
      <c r="B3" s="1" t="s">
        <v>2</v>
      </c>
      <c r="C3" s="1" t="s">
        <v>234</v>
      </c>
    </row>
    <row r="4" spans="1:3" x14ac:dyDescent="0.15">
      <c r="B4" s="1" t="s">
        <v>1</v>
      </c>
      <c r="C4" s="1" t="s">
        <v>237</v>
      </c>
    </row>
    <row r="5" spans="1:3" x14ac:dyDescent="0.15">
      <c r="B5" s="1" t="s">
        <v>92</v>
      </c>
    </row>
    <row r="6" spans="1:3" x14ac:dyDescent="0.15">
      <c r="C6" s="16" t="s">
        <v>236</v>
      </c>
    </row>
    <row r="9" spans="1:3" x14ac:dyDescent="0.15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4.1640625" style="1" customWidth="1"/>
    <col min="3" max="16384" width="9.1640625" style="1"/>
  </cols>
  <sheetData>
    <row r="1" spans="1:4" x14ac:dyDescent="0.15">
      <c r="A1" s="15" t="s">
        <v>6</v>
      </c>
    </row>
    <row r="2" spans="1:4" x14ac:dyDescent="0.15">
      <c r="B2" s="1" t="s">
        <v>50</v>
      </c>
      <c r="C2" s="1" t="s">
        <v>183</v>
      </c>
    </row>
    <row r="3" spans="1:4" x14ac:dyDescent="0.15">
      <c r="B3" s="21" t="s">
        <v>48</v>
      </c>
      <c r="C3" s="21" t="s">
        <v>322</v>
      </c>
    </row>
    <row r="4" spans="1:4" x14ac:dyDescent="0.15">
      <c r="B4" s="1" t="s">
        <v>1</v>
      </c>
      <c r="C4" s="1" t="s">
        <v>208</v>
      </c>
    </row>
    <row r="5" spans="1:4" x14ac:dyDescent="0.15">
      <c r="B5" s="1" t="s">
        <v>51</v>
      </c>
      <c r="C5" s="1" t="s">
        <v>209</v>
      </c>
    </row>
    <row r="6" spans="1:4" x14ac:dyDescent="0.15">
      <c r="B6" s="1" t="s">
        <v>92</v>
      </c>
    </row>
    <row r="7" spans="1:4" x14ac:dyDescent="0.15">
      <c r="C7" s="16" t="s">
        <v>211</v>
      </c>
    </row>
    <row r="8" spans="1:4" x14ac:dyDescent="0.15">
      <c r="C8" s="1" t="s">
        <v>210</v>
      </c>
    </row>
    <row r="9" spans="1:4" x14ac:dyDescent="0.15">
      <c r="C9" s="1" t="s">
        <v>212</v>
      </c>
    </row>
    <row r="11" spans="1:4" x14ac:dyDescent="0.15">
      <c r="C11" s="1" t="s">
        <v>213</v>
      </c>
    </row>
    <row r="12" spans="1:4" x14ac:dyDescent="0.15">
      <c r="C12" s="1" t="s">
        <v>214</v>
      </c>
    </row>
    <row r="13" spans="1:4" x14ac:dyDescent="0.15">
      <c r="D13" s="1" t="s">
        <v>215</v>
      </c>
    </row>
    <row r="15" spans="1:4" x14ac:dyDescent="0.15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S142"/>
  <sheetViews>
    <sheetView tabSelected="1" zoomScale="210" zoomScaleNormal="210" workbookViewId="0">
      <pane xSplit="2" ySplit="2" topLeftCell="BZ120" activePane="bottomRight" state="frozen"/>
      <selection pane="topRight" activeCell="C1" sqref="C1"/>
      <selection pane="bottomLeft" activeCell="A3" sqref="A3"/>
      <selection pane="bottomRight" activeCell="CE140" sqref="CE140:CF140"/>
    </sheetView>
  </sheetViews>
  <sheetFormatPr baseColWidth="10" defaultColWidth="8.83203125" defaultRowHeight="13" x14ac:dyDescent="0.15"/>
  <cols>
    <col min="1" max="1" width="5.33203125" customWidth="1"/>
    <col min="2" max="2" width="18.83203125" customWidth="1"/>
    <col min="3" max="21" width="7" style="47" customWidth="1"/>
    <col min="22" max="22" width="6.6640625" style="47" customWidth="1"/>
    <col min="23" max="78" width="7" style="47" customWidth="1"/>
    <col min="79" max="79" width="7.83203125" style="47" customWidth="1"/>
    <col min="80" max="90" width="7.1640625" style="47" customWidth="1"/>
    <col min="91" max="91" width="4.33203125" customWidth="1"/>
    <col min="92" max="93" width="6.6640625" customWidth="1"/>
    <col min="94" max="94" width="6.6640625" style="47" customWidth="1"/>
    <col min="95" max="102" width="6.5" style="47" bestFit="1" customWidth="1"/>
    <col min="103" max="103" width="7" style="47" bestFit="1" customWidth="1"/>
    <col min="104" max="104" width="6.5" style="47" bestFit="1" customWidth="1"/>
    <col min="105" max="108" width="7" style="47" customWidth="1"/>
    <col min="109" max="110" width="7.5" style="47" customWidth="1"/>
    <col min="111" max="112" width="7.1640625" customWidth="1"/>
    <col min="113" max="113" width="7.83203125" customWidth="1"/>
    <col min="114" max="121" width="7.1640625" customWidth="1"/>
    <col min="122" max="122" width="7.5" customWidth="1"/>
    <col min="123" max="123" width="7.6640625" customWidth="1"/>
  </cols>
  <sheetData>
    <row r="1" spans="1:128" x14ac:dyDescent="0.15">
      <c r="A1" s="46" t="s">
        <v>6</v>
      </c>
    </row>
    <row r="2" spans="1:128" x14ac:dyDescent="0.15">
      <c r="C2" s="48" t="s">
        <v>515</v>
      </c>
      <c r="D2" s="48" t="s">
        <v>514</v>
      </c>
      <c r="E2" s="48" t="s">
        <v>513</v>
      </c>
      <c r="F2" s="48" t="s">
        <v>512</v>
      </c>
      <c r="G2" s="47" t="s">
        <v>203</v>
      </c>
      <c r="H2" s="47" t="s">
        <v>202</v>
      </c>
      <c r="I2" s="47" t="s">
        <v>201</v>
      </c>
      <c r="J2" s="47" t="s">
        <v>127</v>
      </c>
      <c r="K2" s="47" t="s">
        <v>126</v>
      </c>
      <c r="L2" s="47" t="s">
        <v>125</v>
      </c>
      <c r="M2" s="47" t="s">
        <v>124</v>
      </c>
      <c r="N2" s="47" t="s">
        <v>99</v>
      </c>
      <c r="O2" s="47" t="s">
        <v>100</v>
      </c>
      <c r="P2" s="47" t="s">
        <v>97</v>
      </c>
      <c r="Q2" s="47" t="s">
        <v>96</v>
      </c>
      <c r="R2" s="47" t="s">
        <v>98</v>
      </c>
      <c r="S2" s="47" t="s">
        <v>128</v>
      </c>
      <c r="T2" s="47" t="s">
        <v>163</v>
      </c>
      <c r="U2" s="47" t="s">
        <v>185</v>
      </c>
      <c r="V2" s="47" t="s">
        <v>186</v>
      </c>
      <c r="W2" s="47" t="s">
        <v>197</v>
      </c>
      <c r="X2" s="47" t="s">
        <v>198</v>
      </c>
      <c r="Y2" s="47" t="s">
        <v>199</v>
      </c>
      <c r="Z2" s="47" t="s">
        <v>200</v>
      </c>
      <c r="AA2" s="48" t="s">
        <v>244</v>
      </c>
      <c r="AB2" s="48" t="s">
        <v>245</v>
      </c>
      <c r="AC2" s="48" t="s">
        <v>246</v>
      </c>
      <c r="AD2" s="48" t="s">
        <v>247</v>
      </c>
      <c r="AE2" s="48" t="s">
        <v>257</v>
      </c>
      <c r="AF2" s="48" t="s">
        <v>258</v>
      </c>
      <c r="AG2" s="48" t="s">
        <v>259</v>
      </c>
      <c r="AH2" s="48" t="s">
        <v>260</v>
      </c>
      <c r="AI2" s="48" t="s">
        <v>270</v>
      </c>
      <c r="AJ2" s="48" t="s">
        <v>271</v>
      </c>
      <c r="AK2" s="48" t="s">
        <v>272</v>
      </c>
      <c r="AL2" s="48" t="s">
        <v>273</v>
      </c>
      <c r="AM2" s="48" t="s">
        <v>314</v>
      </c>
      <c r="AN2" s="48" t="s">
        <v>315</v>
      </c>
      <c r="AO2" s="48" t="s">
        <v>316</v>
      </c>
      <c r="AP2" s="48" t="s">
        <v>317</v>
      </c>
      <c r="AQ2" s="48" t="s">
        <v>318</v>
      </c>
      <c r="AR2" s="48" t="s">
        <v>319</v>
      </c>
      <c r="AS2" s="48" t="s">
        <v>320</v>
      </c>
      <c r="AT2" s="48" t="s">
        <v>321</v>
      </c>
      <c r="AU2" s="48" t="s">
        <v>332</v>
      </c>
      <c r="AV2" s="48" t="s">
        <v>330</v>
      </c>
      <c r="AW2" s="48" t="s">
        <v>333</v>
      </c>
      <c r="AX2" s="48" t="s">
        <v>334</v>
      </c>
      <c r="AY2" s="48" t="s">
        <v>335</v>
      </c>
      <c r="AZ2" s="48" t="s">
        <v>336</v>
      </c>
      <c r="BA2" s="48" t="s">
        <v>337</v>
      </c>
      <c r="BB2" s="48" t="s">
        <v>338</v>
      </c>
      <c r="BC2" s="48" t="s">
        <v>339</v>
      </c>
      <c r="BD2" s="48" t="s">
        <v>340</v>
      </c>
      <c r="BE2" s="48" t="s">
        <v>341</v>
      </c>
      <c r="BF2" s="48" t="s">
        <v>342</v>
      </c>
      <c r="BG2" s="48" t="s">
        <v>343</v>
      </c>
      <c r="BH2" s="48" t="s">
        <v>344</v>
      </c>
      <c r="BI2" s="48" t="s">
        <v>345</v>
      </c>
      <c r="BJ2" s="48" t="s">
        <v>346</v>
      </c>
      <c r="BK2" s="48" t="s">
        <v>347</v>
      </c>
      <c r="BL2" s="48" t="s">
        <v>348</v>
      </c>
      <c r="BM2" s="48" t="s">
        <v>349</v>
      </c>
      <c r="BN2" s="48" t="s">
        <v>350</v>
      </c>
      <c r="BO2" s="48" t="s">
        <v>351</v>
      </c>
      <c r="BP2" s="48" t="s">
        <v>352</v>
      </c>
      <c r="BQ2" s="48" t="s">
        <v>353</v>
      </c>
      <c r="BR2" s="48" t="s">
        <v>354</v>
      </c>
      <c r="BS2" s="48" t="s">
        <v>355</v>
      </c>
      <c r="BT2" s="48" t="s">
        <v>356</v>
      </c>
      <c r="BU2" s="48" t="s">
        <v>357</v>
      </c>
      <c r="BV2" s="48" t="s">
        <v>358</v>
      </c>
      <c r="BW2" s="48" t="s">
        <v>359</v>
      </c>
      <c r="BX2" s="48" t="s">
        <v>360</v>
      </c>
      <c r="BY2" s="48" t="s">
        <v>361</v>
      </c>
      <c r="BZ2" s="48" t="s">
        <v>362</v>
      </c>
      <c r="CA2" s="48" t="s">
        <v>331</v>
      </c>
      <c r="CB2" s="48" t="s">
        <v>363</v>
      </c>
      <c r="CC2" s="48" t="s">
        <v>364</v>
      </c>
      <c r="CD2" s="48" t="s">
        <v>365</v>
      </c>
      <c r="CE2" s="48" t="s">
        <v>382</v>
      </c>
      <c r="CF2" s="48" t="s">
        <v>383</v>
      </c>
      <c r="CG2" s="48" t="s">
        <v>384</v>
      </c>
      <c r="CH2" s="48" t="s">
        <v>385</v>
      </c>
      <c r="CI2" s="48" t="s">
        <v>516</v>
      </c>
      <c r="CJ2" s="48" t="s">
        <v>517</v>
      </c>
      <c r="CK2" s="48" t="s">
        <v>518</v>
      </c>
      <c r="CL2" s="48" t="s">
        <v>519</v>
      </c>
      <c r="CN2">
        <v>1999</v>
      </c>
      <c r="CO2">
        <v>2000</v>
      </c>
      <c r="CP2" s="47">
        <v>2001</v>
      </c>
      <c r="CQ2" s="47">
        <v>2002</v>
      </c>
      <c r="CR2" s="47">
        <v>2003</v>
      </c>
      <c r="CS2" s="47">
        <v>2004</v>
      </c>
      <c r="CT2" s="47">
        <v>2005</v>
      </c>
      <c r="CU2" s="47">
        <v>2006</v>
      </c>
      <c r="CV2" s="47">
        <v>2007</v>
      </c>
      <c r="CW2" s="47">
        <v>2008</v>
      </c>
      <c r="CX2" s="47">
        <v>2009</v>
      </c>
      <c r="CY2" s="47">
        <v>2010</v>
      </c>
      <c r="CZ2" s="47">
        <v>2011</v>
      </c>
      <c r="DA2" s="47">
        <v>2012</v>
      </c>
      <c r="DB2" s="47">
        <v>2013</v>
      </c>
      <c r="DC2" s="47">
        <v>2014</v>
      </c>
      <c r="DD2" s="47">
        <v>2015</v>
      </c>
      <c r="DE2" s="47">
        <v>2016</v>
      </c>
      <c r="DF2" s="47">
        <v>2017</v>
      </c>
      <c r="DG2">
        <f>+DF2+1</f>
        <v>2018</v>
      </c>
      <c r="DH2">
        <f t="shared" ref="DH2:DK2" si="0">+DG2+1</f>
        <v>2019</v>
      </c>
      <c r="DI2">
        <f t="shared" si="0"/>
        <v>2020</v>
      </c>
      <c r="DJ2">
        <f t="shared" si="0"/>
        <v>2021</v>
      </c>
      <c r="DK2">
        <f t="shared" si="0"/>
        <v>2022</v>
      </c>
      <c r="DL2">
        <f>+DK2+1</f>
        <v>2023</v>
      </c>
      <c r="DM2">
        <f t="shared" ref="DM2:DS2" si="1">+DL2+1</f>
        <v>2024</v>
      </c>
      <c r="DN2">
        <f t="shared" si="1"/>
        <v>2025</v>
      </c>
      <c r="DO2">
        <f t="shared" si="1"/>
        <v>2026</v>
      </c>
      <c r="DP2">
        <f t="shared" si="1"/>
        <v>2027</v>
      </c>
      <c r="DQ2">
        <f t="shared" si="1"/>
        <v>2028</v>
      </c>
      <c r="DR2">
        <f t="shared" si="1"/>
        <v>2029</v>
      </c>
      <c r="DS2">
        <f t="shared" si="1"/>
        <v>2030</v>
      </c>
      <c r="DT2">
        <v>2031</v>
      </c>
      <c r="DU2">
        <v>2032</v>
      </c>
      <c r="DV2">
        <v>2033</v>
      </c>
      <c r="DW2">
        <v>2034</v>
      </c>
      <c r="DX2">
        <v>2035</v>
      </c>
    </row>
    <row r="3" spans="1:128" x14ac:dyDescent="0.15">
      <c r="B3" s="38" t="s">
        <v>118</v>
      </c>
      <c r="C3" s="48"/>
      <c r="D3" s="48"/>
      <c r="E3" s="48"/>
      <c r="F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52"/>
      <c r="AS3" s="52"/>
      <c r="AT3" s="52"/>
      <c r="AU3" s="52"/>
      <c r="AV3" s="52"/>
      <c r="AW3" s="52"/>
      <c r="AX3" s="52">
        <f t="shared" ref="AX3:BX3" si="2">SUM(AX5:AX7)</f>
        <v>10.199999999999999</v>
      </c>
      <c r="AY3" s="52">
        <f t="shared" si="2"/>
        <v>18.3</v>
      </c>
      <c r="AZ3" s="52">
        <f t="shared" si="2"/>
        <v>44.3</v>
      </c>
      <c r="BA3" s="52">
        <f t="shared" si="2"/>
        <v>73.7</v>
      </c>
      <c r="BB3" s="52">
        <f t="shared" si="2"/>
        <v>112.5</v>
      </c>
      <c r="BC3" s="52">
        <f t="shared" si="2"/>
        <v>143.6</v>
      </c>
      <c r="BD3" s="52">
        <f t="shared" si="2"/>
        <v>201.3</v>
      </c>
      <c r="BE3" s="52">
        <f t="shared" si="2"/>
        <v>243.6</v>
      </c>
      <c r="BF3" s="52">
        <f t="shared" si="2"/>
        <v>337</v>
      </c>
      <c r="BG3" s="52">
        <f t="shared" si="2"/>
        <v>372.9</v>
      </c>
      <c r="BH3" s="52">
        <f t="shared" si="2"/>
        <v>480.2</v>
      </c>
      <c r="BI3" s="52">
        <f t="shared" si="2"/>
        <v>527.70000000000005</v>
      </c>
      <c r="BJ3" s="52">
        <f t="shared" si="2"/>
        <v>649</v>
      </c>
      <c r="BK3" s="52">
        <f t="shared" si="2"/>
        <v>678.3</v>
      </c>
      <c r="BL3" s="52">
        <f t="shared" si="2"/>
        <v>779.8</v>
      </c>
      <c r="BM3" s="52">
        <f t="shared" si="2"/>
        <v>816.2</v>
      </c>
      <c r="BN3" s="52">
        <f t="shared" si="2"/>
        <v>924.7</v>
      </c>
      <c r="BO3" s="52">
        <f t="shared" si="2"/>
        <v>879.7</v>
      </c>
      <c r="BP3" s="52">
        <f t="shared" si="2"/>
        <v>1028.5</v>
      </c>
      <c r="BQ3" s="52">
        <f t="shared" si="2"/>
        <v>1011.5</v>
      </c>
      <c r="BR3" s="52">
        <f t="shared" si="2"/>
        <v>1208.0999999999999</v>
      </c>
      <c r="BS3" s="52">
        <f t="shared" si="2"/>
        <v>1229.4000000000001</v>
      </c>
      <c r="BT3" s="52">
        <f t="shared" si="2"/>
        <v>1229.8</v>
      </c>
      <c r="BU3" s="52">
        <f t="shared" si="2"/>
        <v>1106.5999999999999</v>
      </c>
      <c r="BV3" s="52">
        <f t="shared" si="2"/>
        <v>1502.4</v>
      </c>
      <c r="BW3" s="52">
        <f t="shared" si="2"/>
        <v>1452.4</v>
      </c>
      <c r="BX3" s="52">
        <f t="shared" si="2"/>
        <v>1535.6</v>
      </c>
      <c r="BY3" s="52">
        <f t="shared" ref="BY3:CH3" si="3">SUM(BY5:BY7)</f>
        <v>1600.1</v>
      </c>
      <c r="BZ3" s="52">
        <f t="shared" si="3"/>
        <v>1883.7</v>
      </c>
      <c r="CA3" s="52">
        <f t="shared" si="3"/>
        <v>1741.3</v>
      </c>
      <c r="CB3" s="52">
        <f t="shared" si="3"/>
        <v>1927.9</v>
      </c>
      <c r="CC3" s="52">
        <f t="shared" si="3"/>
        <v>2037.7</v>
      </c>
      <c r="CD3" s="52">
        <f t="shared" si="3"/>
        <v>2215.4</v>
      </c>
      <c r="CE3" s="52">
        <f t="shared" si="3"/>
        <v>2545.6</v>
      </c>
      <c r="CF3" s="52">
        <f t="shared" si="3"/>
        <v>2792.2</v>
      </c>
      <c r="CG3" s="52">
        <f t="shared" si="3"/>
        <v>3082.8999999999996</v>
      </c>
      <c r="CH3" s="52">
        <f>SUM(CH5:CH7)</f>
        <v>4050.7</v>
      </c>
      <c r="CI3" s="52">
        <f t="shared" ref="CI3:CL3" si="4">SUM(CI5:CI7)</f>
        <v>3780.2000000000003</v>
      </c>
      <c r="CJ3" s="52">
        <f t="shared" si="4"/>
        <v>4180.2</v>
      </c>
      <c r="CK3" s="52">
        <f t="shared" si="4"/>
        <v>4580.2</v>
      </c>
      <c r="CL3" s="52">
        <f t="shared" si="4"/>
        <v>4980.2000000000007</v>
      </c>
      <c r="DC3" s="56">
        <f t="shared" ref="DC3:DS3" si="5">SUM(DC5:DC7)</f>
        <v>10.199999999999999</v>
      </c>
      <c r="DD3" s="56">
        <f t="shared" si="5"/>
        <v>248.7</v>
      </c>
      <c r="DE3" s="56">
        <f t="shared" si="5"/>
        <v>925.5</v>
      </c>
      <c r="DF3" s="56">
        <f t="shared" si="5"/>
        <v>2029.8</v>
      </c>
      <c r="DG3" s="56">
        <f t="shared" si="5"/>
        <v>3199.1</v>
      </c>
      <c r="DH3" s="56">
        <f t="shared" si="5"/>
        <v>4127.8</v>
      </c>
      <c r="DI3" s="56">
        <f t="shared" si="5"/>
        <v>5068.2</v>
      </c>
      <c r="DJ3" s="56">
        <f t="shared" si="5"/>
        <v>6471.8</v>
      </c>
      <c r="DK3" s="56">
        <f t="shared" si="5"/>
        <v>7922.3</v>
      </c>
      <c r="DL3" s="56">
        <f t="shared" si="5"/>
        <v>12471.4</v>
      </c>
      <c r="DM3" s="56">
        <f t="shared" si="5"/>
        <v>17520.8</v>
      </c>
      <c r="DN3" s="56">
        <f t="shared" si="5"/>
        <v>22177.78</v>
      </c>
      <c r="DO3" s="56">
        <f t="shared" si="5"/>
        <v>28815.118999999999</v>
      </c>
      <c r="DP3" s="56">
        <f t="shared" si="5"/>
        <v>38219.082249999992</v>
      </c>
      <c r="DQ3" s="56">
        <f t="shared" si="5"/>
        <v>44742.909737499991</v>
      </c>
      <c r="DR3" s="56">
        <f t="shared" si="5"/>
        <v>48578.807002624999</v>
      </c>
      <c r="DS3" s="56">
        <f t="shared" si="5"/>
        <v>52628.055671962502</v>
      </c>
    </row>
    <row r="4" spans="1:128" x14ac:dyDescent="0.15">
      <c r="C4" s="48"/>
      <c r="D4" s="48"/>
      <c r="E4" s="48"/>
      <c r="F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</row>
    <row r="5" spans="1:128" s="49" customFormat="1" x14ac:dyDescent="0.15">
      <c r="B5" s="50" t="s">
        <v>366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>
        <v>10.199999999999999</v>
      </c>
      <c r="AY5" s="52">
        <v>18.3</v>
      </c>
      <c r="AZ5" s="52">
        <v>44.3</v>
      </c>
      <c r="BA5" s="52">
        <v>73.7</v>
      </c>
      <c r="BB5" s="52">
        <v>112.5</v>
      </c>
      <c r="BC5" s="52">
        <v>143.6</v>
      </c>
      <c r="BD5" s="52">
        <v>201.3</v>
      </c>
      <c r="BE5" s="52">
        <v>243.6</v>
      </c>
      <c r="BF5" s="52">
        <v>337</v>
      </c>
      <c r="BG5" s="52">
        <v>372.9</v>
      </c>
      <c r="BH5" s="52">
        <v>480.2</v>
      </c>
      <c r="BI5" s="52">
        <v>527.70000000000005</v>
      </c>
      <c r="BJ5" s="52">
        <v>649</v>
      </c>
      <c r="BK5" s="52">
        <v>678.3</v>
      </c>
      <c r="BL5" s="52">
        <v>779.8</v>
      </c>
      <c r="BM5" s="52">
        <v>816.2</v>
      </c>
      <c r="BN5" s="52">
        <v>924.7</v>
      </c>
      <c r="BO5" s="52">
        <v>879.7</v>
      </c>
      <c r="BP5" s="52">
        <v>1028.5</v>
      </c>
      <c r="BQ5" s="52">
        <v>1011.5</v>
      </c>
      <c r="BR5" s="52">
        <v>1208.0999999999999</v>
      </c>
      <c r="BS5" s="52">
        <v>1229.4000000000001</v>
      </c>
      <c r="BT5" s="52">
        <v>1229.8</v>
      </c>
      <c r="BU5" s="52">
        <v>1106.5999999999999</v>
      </c>
      <c r="BV5" s="52">
        <v>1502.4</v>
      </c>
      <c r="BW5" s="52">
        <v>1452.4</v>
      </c>
      <c r="BX5" s="52">
        <v>1535.6</v>
      </c>
      <c r="BY5" s="52">
        <v>1600.1</v>
      </c>
      <c r="BZ5" s="52">
        <v>1883.7</v>
      </c>
      <c r="CA5" s="52">
        <v>1741.3</v>
      </c>
      <c r="CB5" s="52">
        <v>1911.9</v>
      </c>
      <c r="CC5" s="52">
        <v>1850.4</v>
      </c>
      <c r="CD5" s="52">
        <v>1936.2</v>
      </c>
      <c r="CE5" s="52">
        <v>1977.1</v>
      </c>
      <c r="CF5" s="52">
        <v>1812.5</v>
      </c>
      <c r="CG5" s="52">
        <v>1673.6</v>
      </c>
      <c r="CH5" s="52">
        <v>1669.3</v>
      </c>
      <c r="CI5" s="52">
        <v>1456.3</v>
      </c>
      <c r="CJ5" s="52">
        <f>+CI5-100</f>
        <v>1356.3</v>
      </c>
      <c r="CK5" s="52">
        <f>+CJ5-100</f>
        <v>1256.3</v>
      </c>
      <c r="CL5" s="52">
        <f>+CK5-100</f>
        <v>1156.3</v>
      </c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>
        <v>0</v>
      </c>
      <c r="DC5" s="51">
        <v>10.199999999999999</v>
      </c>
      <c r="DD5" s="51">
        <v>248.7</v>
      </c>
      <c r="DE5" s="51">
        <v>925.5</v>
      </c>
      <c r="DF5" s="51">
        <v>2029.8</v>
      </c>
      <c r="DG5" s="49">
        <v>3199.1</v>
      </c>
      <c r="DH5" s="49">
        <v>4127.8</v>
      </c>
      <c r="DI5" s="49">
        <f>SUM(BS5:BV5)</f>
        <v>5068.2</v>
      </c>
      <c r="DJ5" s="49">
        <f>SUM(BW5:BZ5)</f>
        <v>6471.8</v>
      </c>
      <c r="DK5" s="49">
        <f>SUM(CA5:CD5)</f>
        <v>7439.8</v>
      </c>
      <c r="DL5" s="49">
        <f>SUM(CE5:CH5)</f>
        <v>7132.5</v>
      </c>
      <c r="DM5" s="49">
        <f>SUM(Model!CI5:CL5)</f>
        <v>5225.2</v>
      </c>
      <c r="DN5" s="49">
        <f>+DM5*0.95</f>
        <v>4963.9399999999996</v>
      </c>
      <c r="DO5" s="49">
        <f>+DN5*0.95</f>
        <v>4715.7429999999995</v>
      </c>
      <c r="DP5" s="49">
        <f>+DO5*0.95</f>
        <v>4479.9558499999994</v>
      </c>
      <c r="DQ5" s="49">
        <f>+DP5*0.95</f>
        <v>4255.9580574999991</v>
      </c>
      <c r="DR5" s="49">
        <f>+DQ5*0.95</f>
        <v>4043.160154624999</v>
      </c>
      <c r="DS5" s="49">
        <f>+DR5*0.9</f>
        <v>3638.8441391624992</v>
      </c>
    </row>
    <row r="6" spans="1:128" s="49" customFormat="1" x14ac:dyDescent="0.15">
      <c r="B6" s="50" t="s">
        <v>509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>
        <v>16</v>
      </c>
      <c r="CC6" s="52">
        <v>187.3</v>
      </c>
      <c r="CD6" s="52">
        <v>279.2</v>
      </c>
      <c r="CE6" s="52">
        <v>568.5</v>
      </c>
      <c r="CF6" s="52">
        <v>979.7</v>
      </c>
      <c r="CG6" s="52">
        <v>1409.3</v>
      </c>
      <c r="CH6" s="52">
        <v>2205.6</v>
      </c>
      <c r="CI6" s="52">
        <v>1806.5</v>
      </c>
      <c r="CJ6" s="52">
        <f>+CI6+300</f>
        <v>2106.5</v>
      </c>
      <c r="CK6" s="52">
        <f>+CJ6+300</f>
        <v>2406.5</v>
      </c>
      <c r="CL6" s="52">
        <f>+CK6+300</f>
        <v>2706.5</v>
      </c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>
        <v>0</v>
      </c>
      <c r="DC6" s="51">
        <v>0</v>
      </c>
      <c r="DD6" s="51">
        <v>0</v>
      </c>
      <c r="DE6" s="51">
        <v>0</v>
      </c>
      <c r="DF6" s="51">
        <v>0</v>
      </c>
      <c r="DG6" s="49">
        <v>0</v>
      </c>
      <c r="DH6" s="49">
        <v>0</v>
      </c>
      <c r="DI6" s="49">
        <v>0</v>
      </c>
      <c r="DJ6" s="49">
        <v>0</v>
      </c>
      <c r="DK6" s="49">
        <f>SUM(CA6:CD6)</f>
        <v>482.5</v>
      </c>
      <c r="DL6" s="49">
        <f>SUM(CE6:CH6)</f>
        <v>5163.1000000000004</v>
      </c>
      <c r="DM6" s="49">
        <f>SUM(Model!CI6:CL6)</f>
        <v>9026</v>
      </c>
      <c r="DN6" s="49">
        <f t="shared" ref="DN6:DP7" si="6">DM6*1.4</f>
        <v>12636.4</v>
      </c>
      <c r="DO6" s="49">
        <f t="shared" si="6"/>
        <v>17690.96</v>
      </c>
      <c r="DP6" s="49">
        <f t="shared" si="6"/>
        <v>24767.343999999997</v>
      </c>
      <c r="DQ6" s="49">
        <f>DP6*1.2</f>
        <v>29720.812799999996</v>
      </c>
      <c r="DR6" s="49">
        <f t="shared" ref="DR6:DR7" si="7">DQ6*1.1</f>
        <v>32692.894079999998</v>
      </c>
      <c r="DS6" s="49">
        <f>+DR6*1.1</f>
        <v>35962.183488000002</v>
      </c>
    </row>
    <row r="7" spans="1:128" s="49" customFormat="1" x14ac:dyDescent="0.15">
      <c r="B7" s="50" t="s">
        <v>529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>
        <v>175.8</v>
      </c>
      <c r="CI7" s="52">
        <v>517.4</v>
      </c>
      <c r="CJ7" s="52">
        <f>CI7+200</f>
        <v>717.4</v>
      </c>
      <c r="CK7" s="52">
        <f>CJ7+200</f>
        <v>917.4</v>
      </c>
      <c r="CL7" s="52">
        <f>CK7+200</f>
        <v>1117.4000000000001</v>
      </c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L7" s="49">
        <f>SUM(CE7:CH7)</f>
        <v>175.8</v>
      </c>
      <c r="DM7" s="49">
        <f>SUM(Model!CI7:CL7)</f>
        <v>3269.6</v>
      </c>
      <c r="DN7" s="49">
        <f t="shared" si="6"/>
        <v>4577.4399999999996</v>
      </c>
      <c r="DO7" s="49">
        <f t="shared" si="6"/>
        <v>6408.4159999999993</v>
      </c>
      <c r="DP7" s="49">
        <f t="shared" si="6"/>
        <v>8971.7823999999982</v>
      </c>
      <c r="DQ7" s="49">
        <f>DP7*1.2</f>
        <v>10766.138879999997</v>
      </c>
      <c r="DR7" s="49">
        <f t="shared" si="7"/>
        <v>11842.752767999997</v>
      </c>
      <c r="DS7" s="49">
        <f>+DR7*1.1</f>
        <v>13027.028044799998</v>
      </c>
    </row>
    <row r="8" spans="1:128" s="49" customFormat="1" x14ac:dyDescent="0.15">
      <c r="B8" s="50" t="s">
        <v>377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>
        <v>871.2</v>
      </c>
      <c r="BW8" s="52">
        <v>810.1</v>
      </c>
      <c r="BX8" s="52">
        <v>148.9</v>
      </c>
      <c r="BY8" s="52">
        <v>217.1</v>
      </c>
      <c r="BZ8" s="52">
        <v>1063.0999999999999</v>
      </c>
      <c r="CA8" s="52">
        <v>1469.8</v>
      </c>
      <c r="CB8" s="52">
        <v>129.1</v>
      </c>
      <c r="CC8" s="52">
        <v>386.6</v>
      </c>
      <c r="CD8" s="52">
        <v>38</v>
      </c>
      <c r="CE8" s="52"/>
      <c r="CF8" s="52"/>
      <c r="CG8" s="52"/>
      <c r="CH8" s="52"/>
      <c r="CI8" s="52"/>
      <c r="CJ8" s="52"/>
      <c r="CK8" s="52"/>
      <c r="CL8" s="52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>
        <v>0</v>
      </c>
      <c r="DC8" s="51">
        <v>0</v>
      </c>
      <c r="DD8" s="51">
        <v>0</v>
      </c>
      <c r="DE8" s="51">
        <v>0</v>
      </c>
      <c r="DF8" s="51">
        <v>0</v>
      </c>
      <c r="DG8" s="49">
        <v>0</v>
      </c>
      <c r="DH8" s="49">
        <v>0</v>
      </c>
      <c r="DI8" s="49">
        <f t="shared" ref="DI8:DI35" si="8">SUM(BS8:BV8)</f>
        <v>871.2</v>
      </c>
      <c r="DJ8" s="49">
        <f t="shared" ref="DJ8:DJ35" si="9">SUM(BW8:BZ8)</f>
        <v>2239.1999999999998</v>
      </c>
      <c r="DK8" s="49">
        <f t="shared" ref="DK8:DK35" si="10">SUM(CA8:CD8)</f>
        <v>2023.5</v>
      </c>
      <c r="DL8" s="49">
        <f t="shared" ref="DL8:DL35" si="11">SUM(CE8:CH8)</f>
        <v>0</v>
      </c>
      <c r="DM8" s="49">
        <f>SUM(Model!CI8:CL8)</f>
        <v>0</v>
      </c>
    </row>
    <row r="9" spans="1:128" x14ac:dyDescent="0.15">
      <c r="B9" s="38" t="s">
        <v>373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>
        <v>19.3</v>
      </c>
      <c r="BE9" s="52">
        <v>32.5</v>
      </c>
      <c r="BF9" s="52">
        <v>61.3</v>
      </c>
      <c r="BG9" s="52">
        <v>96.6</v>
      </c>
      <c r="BH9" s="52">
        <v>138.69999999999999</v>
      </c>
      <c r="BI9" s="52">
        <v>151.30000000000001</v>
      </c>
      <c r="BJ9" s="52">
        <v>172.5</v>
      </c>
      <c r="BK9" s="52">
        <v>146.5</v>
      </c>
      <c r="BL9" s="52">
        <v>220.1</v>
      </c>
      <c r="BM9" s="52">
        <v>263.89999999999998</v>
      </c>
      <c r="BN9" s="52">
        <v>307</v>
      </c>
      <c r="BO9" s="52">
        <v>252.5</v>
      </c>
      <c r="BP9" s="52">
        <v>353.8</v>
      </c>
      <c r="BQ9" s="52">
        <v>340</v>
      </c>
      <c r="BR9" s="52">
        <v>420.1</v>
      </c>
      <c r="BS9" s="52">
        <v>443.5</v>
      </c>
      <c r="BT9" s="52">
        <v>395.2</v>
      </c>
      <c r="BU9" s="52">
        <v>454.5</v>
      </c>
      <c r="BV9" s="52">
        <v>495.3</v>
      </c>
      <c r="BW9" s="52">
        <v>403.2</v>
      </c>
      <c r="BX9" s="52">
        <v>569.1</v>
      </c>
      <c r="BY9" s="52">
        <v>593.1</v>
      </c>
      <c r="BZ9" s="52">
        <v>647.4</v>
      </c>
      <c r="CA9" s="52">
        <v>488.1</v>
      </c>
      <c r="CB9" s="52">
        <v>606.20000000000005</v>
      </c>
      <c r="CC9" s="52">
        <v>679.9</v>
      </c>
      <c r="CD9" s="52">
        <v>707.8</v>
      </c>
      <c r="CE9" s="52">
        <v>527</v>
      </c>
      <c r="CF9" s="52">
        <v>703.9</v>
      </c>
      <c r="CG9" s="52">
        <v>744.2</v>
      </c>
      <c r="CH9" s="52">
        <v>784.6</v>
      </c>
      <c r="CI9" s="52">
        <v>604</v>
      </c>
      <c r="CJ9" s="52">
        <f t="shared" ref="CJ9:CL11" si="12">+CI9+20</f>
        <v>624</v>
      </c>
      <c r="CK9" s="52">
        <f t="shared" si="12"/>
        <v>644</v>
      </c>
      <c r="CL9" s="52">
        <f t="shared" si="12"/>
        <v>664</v>
      </c>
      <c r="CM9" s="49"/>
      <c r="CN9" s="49"/>
      <c r="CO9" s="49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>
        <v>0</v>
      </c>
      <c r="DC9" s="51">
        <v>0</v>
      </c>
      <c r="DD9" s="51">
        <v>0</v>
      </c>
      <c r="DE9" s="51">
        <v>0</v>
      </c>
      <c r="DF9" s="51">
        <v>559.20000000000005</v>
      </c>
      <c r="DG9" s="49">
        <v>937.5</v>
      </c>
      <c r="DH9" s="49">
        <v>1366.4</v>
      </c>
      <c r="DI9" s="49">
        <f t="shared" si="8"/>
        <v>1788.5</v>
      </c>
      <c r="DJ9" s="49">
        <f t="shared" si="9"/>
        <v>2212.8000000000002</v>
      </c>
      <c r="DK9" s="49">
        <f t="shared" si="10"/>
        <v>2482</v>
      </c>
      <c r="DL9" s="49">
        <f t="shared" si="11"/>
        <v>2759.7000000000003</v>
      </c>
      <c r="DM9" s="49">
        <f>SUM(Model!CI9:CL9)</f>
        <v>2536</v>
      </c>
      <c r="DN9" s="49">
        <f>+DM9*1.2</f>
        <v>3043.2</v>
      </c>
      <c r="DO9" s="49">
        <f>+DN9*1.2</f>
        <v>3651.8399999999997</v>
      </c>
      <c r="DP9" s="49">
        <f>+DO9*1.1</f>
        <v>4017.0239999999999</v>
      </c>
      <c r="DQ9" s="49">
        <f>+DP9*1.1</f>
        <v>4418.7264000000005</v>
      </c>
      <c r="DR9" s="49">
        <f>+DQ9*1.1</f>
        <v>4860.599040000001</v>
      </c>
      <c r="DS9" s="49">
        <f>+DR9*1.05</f>
        <v>5103.6289920000008</v>
      </c>
    </row>
    <row r="10" spans="1:128" x14ac:dyDescent="0.15">
      <c r="B10" s="38" t="s">
        <v>370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>
        <v>21</v>
      </c>
      <c r="BK10" s="51">
        <v>29.7</v>
      </c>
      <c r="BL10" s="51">
        <v>57.7</v>
      </c>
      <c r="BM10" s="51">
        <v>84.5</v>
      </c>
      <c r="BN10" s="51">
        <v>83.1</v>
      </c>
      <c r="BO10" s="51">
        <v>109.4</v>
      </c>
      <c r="BP10" s="51">
        <v>133.9</v>
      </c>
      <c r="BQ10" s="51">
        <v>157.19999999999999</v>
      </c>
      <c r="BR10" s="51">
        <v>179.1</v>
      </c>
      <c r="BS10" s="51">
        <v>188</v>
      </c>
      <c r="BT10" s="51">
        <v>208.6</v>
      </c>
      <c r="BU10" s="51">
        <v>234.4</v>
      </c>
      <c r="BV10" s="51">
        <v>281.60000000000002</v>
      </c>
      <c r="BW10" s="51">
        <v>269</v>
      </c>
      <c r="BX10" s="51">
        <v>341.3</v>
      </c>
      <c r="BY10" s="51">
        <v>335.5</v>
      </c>
      <c r="BZ10" s="51">
        <v>404.1</v>
      </c>
      <c r="CA10" s="51">
        <v>469.4</v>
      </c>
      <c r="CB10" s="51">
        <v>588.5</v>
      </c>
      <c r="CC10" s="51">
        <v>617.70000000000005</v>
      </c>
      <c r="CD10" s="51">
        <v>808</v>
      </c>
      <c r="CE10" s="51">
        <v>750.9</v>
      </c>
      <c r="CF10" s="51">
        <v>926.8</v>
      </c>
      <c r="CG10" s="51">
        <v>1040.2</v>
      </c>
      <c r="CH10" s="51">
        <v>1145.4000000000001</v>
      </c>
      <c r="CI10" s="51">
        <v>1050.3</v>
      </c>
      <c r="CJ10" s="51">
        <f t="shared" si="12"/>
        <v>1070.3</v>
      </c>
      <c r="CK10" s="51">
        <f t="shared" si="12"/>
        <v>1090.3</v>
      </c>
      <c r="CL10" s="51">
        <f t="shared" si="12"/>
        <v>1110.3</v>
      </c>
      <c r="CM10" s="49"/>
      <c r="CN10" s="49"/>
      <c r="CO10" s="49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>
        <v>0</v>
      </c>
      <c r="DC10" s="51">
        <v>0</v>
      </c>
      <c r="DD10" s="51">
        <v>0</v>
      </c>
      <c r="DE10" s="51">
        <v>0</v>
      </c>
      <c r="DF10" s="51">
        <v>21</v>
      </c>
      <c r="DG10" s="49">
        <v>255</v>
      </c>
      <c r="DH10" s="49">
        <v>579.70000000000005</v>
      </c>
      <c r="DI10" s="49">
        <f t="shared" si="8"/>
        <v>912.6</v>
      </c>
      <c r="DJ10" s="49">
        <f t="shared" si="9"/>
        <v>1349.9</v>
      </c>
      <c r="DK10" s="49">
        <f t="shared" si="10"/>
        <v>2483.6000000000004</v>
      </c>
      <c r="DL10" s="49">
        <f t="shared" si="11"/>
        <v>3863.2999999999997</v>
      </c>
      <c r="DM10" s="49">
        <f>SUM(Model!CI10:CL10)</f>
        <v>4321.2</v>
      </c>
      <c r="DN10" s="49">
        <f>+DM10*1.01</f>
        <v>4364.4120000000003</v>
      </c>
      <c r="DO10" s="49">
        <f>+DN10*1.01</f>
        <v>4408.0561200000002</v>
      </c>
      <c r="DP10" s="49">
        <f>+DO10*1.01</f>
        <v>4452.1366812000006</v>
      </c>
      <c r="DQ10" s="49">
        <f>+DP10*1.01</f>
        <v>4496.658048012001</v>
      </c>
      <c r="DR10" s="49">
        <f>+DQ10*1.01</f>
        <v>4541.6246284921208</v>
      </c>
      <c r="DS10" s="49">
        <f>+DR10*0.1</f>
        <v>454.16246284921209</v>
      </c>
    </row>
    <row r="11" spans="1:128" x14ac:dyDescent="0.15">
      <c r="B11" s="38" t="s">
        <v>369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>
        <v>19.3</v>
      </c>
      <c r="AZ11" s="51">
        <v>11.1</v>
      </c>
      <c r="BA11" s="51">
        <v>15.4</v>
      </c>
      <c r="BB11" s="51">
        <v>14.6</v>
      </c>
      <c r="BC11" s="51">
        <v>38.200000000000003</v>
      </c>
      <c r="BD11" s="51">
        <v>40.1</v>
      </c>
      <c r="BE11" s="51">
        <v>47.5</v>
      </c>
      <c r="BF11" s="51">
        <v>76.099999999999994</v>
      </c>
      <c r="BG11" s="51">
        <v>74</v>
      </c>
      <c r="BH11" s="51">
        <v>103.2</v>
      </c>
      <c r="BI11" s="51">
        <v>127.2</v>
      </c>
      <c r="BJ11" s="51">
        <v>143.19999999999999</v>
      </c>
      <c r="BK11" s="51">
        <v>151</v>
      </c>
      <c r="BL11" s="51">
        <v>147.19999999999999</v>
      </c>
      <c r="BM11" s="51">
        <v>166.9</v>
      </c>
      <c r="BN11" s="51">
        <v>193.2</v>
      </c>
      <c r="BO11" s="51">
        <v>203.6</v>
      </c>
      <c r="BP11" s="51">
        <v>231.9</v>
      </c>
      <c r="BQ11" s="51">
        <v>240.7</v>
      </c>
      <c r="BR11" s="51">
        <v>268</v>
      </c>
      <c r="BS11" s="51">
        <v>267.5</v>
      </c>
      <c r="BT11" s="51">
        <v>262</v>
      </c>
      <c r="BU11" s="51">
        <v>310.8</v>
      </c>
      <c r="BV11" s="51">
        <v>313.60000000000002</v>
      </c>
      <c r="BW11" s="51">
        <v>312</v>
      </c>
      <c r="BX11" s="51">
        <v>356.5</v>
      </c>
      <c r="BY11" s="51">
        <v>390.4</v>
      </c>
      <c r="BZ11" s="51">
        <v>431.9</v>
      </c>
      <c r="CA11" s="51">
        <v>419.4</v>
      </c>
      <c r="CB11" s="51">
        <v>461</v>
      </c>
      <c r="CC11" s="51">
        <v>573.29999999999995</v>
      </c>
      <c r="CD11" s="51">
        <v>612.29999999999995</v>
      </c>
      <c r="CE11" s="51">
        <v>577.5</v>
      </c>
      <c r="CF11" s="51">
        <v>668.3</v>
      </c>
      <c r="CG11" s="51">
        <v>700.8</v>
      </c>
      <c r="CH11" s="51">
        <v>798.1</v>
      </c>
      <c r="CI11" s="51">
        <v>686.5</v>
      </c>
      <c r="CJ11" s="51">
        <f t="shared" si="12"/>
        <v>706.5</v>
      </c>
      <c r="CK11" s="51">
        <f t="shared" si="12"/>
        <v>726.5</v>
      </c>
      <c r="CL11" s="51">
        <f t="shared" si="12"/>
        <v>746.5</v>
      </c>
      <c r="CM11" s="49"/>
      <c r="CN11" s="49"/>
      <c r="CO11" s="49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>
        <v>0</v>
      </c>
      <c r="DC11" s="51">
        <v>0</v>
      </c>
      <c r="DD11" s="51">
        <v>0</v>
      </c>
      <c r="DE11" s="51">
        <v>0</v>
      </c>
      <c r="DF11" s="51">
        <v>447.5</v>
      </c>
      <c r="DG11" s="49">
        <v>658.3</v>
      </c>
      <c r="DH11" s="49">
        <v>944.2</v>
      </c>
      <c r="DI11" s="49">
        <f t="shared" si="8"/>
        <v>1153.9000000000001</v>
      </c>
      <c r="DJ11" s="49">
        <f t="shared" si="9"/>
        <v>1490.8000000000002</v>
      </c>
      <c r="DK11" s="49">
        <f t="shared" si="10"/>
        <v>2066</v>
      </c>
      <c r="DL11" s="49">
        <f t="shared" si="11"/>
        <v>2744.7</v>
      </c>
      <c r="DM11" s="49">
        <f>SUM(Model!CI11:CL11)</f>
        <v>2866</v>
      </c>
      <c r="DN11" s="49">
        <f>+DM11*1.2</f>
        <v>3439.2</v>
      </c>
      <c r="DO11" s="49">
        <f>+DN11*1.2</f>
        <v>4127.04</v>
      </c>
      <c r="DP11" s="49">
        <f>+DO11*1.1</f>
        <v>4539.7440000000006</v>
      </c>
      <c r="DQ11" s="49">
        <f>+DP11*1.1</f>
        <v>4993.7184000000007</v>
      </c>
      <c r="DR11" s="49">
        <f>+DQ11*1.1</f>
        <v>5493.0902400000014</v>
      </c>
      <c r="DS11" s="49">
        <f>+DR11*0.1</f>
        <v>549.30902400000014</v>
      </c>
    </row>
    <row r="12" spans="1:128" x14ac:dyDescent="0.15">
      <c r="B12" t="s">
        <v>54</v>
      </c>
      <c r="C12" s="51">
        <v>248.8</v>
      </c>
      <c r="D12" s="51">
        <v>254.1</v>
      </c>
      <c r="E12" s="51">
        <v>240.2</v>
      </c>
      <c r="F12" s="51">
        <f>1020-E12-D12-C12</f>
        <v>276.89999999999992</v>
      </c>
      <c r="G12" s="51">
        <v>267.2</v>
      </c>
      <c r="H12" s="51">
        <v>285.3</v>
      </c>
      <c r="I12" s="51">
        <v>264.60000000000002</v>
      </c>
      <c r="J12" s="51">
        <v>284.60000000000002</v>
      </c>
      <c r="K12" s="51">
        <v>286.2</v>
      </c>
      <c r="L12" s="51">
        <v>296.2</v>
      </c>
      <c r="M12" s="51">
        <f>Q12/1.05</f>
        <v>306.66666666666663</v>
      </c>
      <c r="N12" s="51">
        <v>309.10000000000002</v>
      </c>
      <c r="O12" s="51">
        <v>305</v>
      </c>
      <c r="P12" s="51">
        <v>321</v>
      </c>
      <c r="Q12" s="51">
        <v>322</v>
      </c>
      <c r="R12" s="51">
        <v>352.2</v>
      </c>
      <c r="S12" s="51">
        <v>339.5</v>
      </c>
      <c r="T12" s="51">
        <v>358.4</v>
      </c>
      <c r="U12" s="51">
        <v>362.5</v>
      </c>
      <c r="V12" s="51">
        <v>414.2</v>
      </c>
      <c r="W12" s="51">
        <v>407.4</v>
      </c>
      <c r="X12" s="51">
        <v>437.9</v>
      </c>
      <c r="Y12" s="51">
        <v>432.6</v>
      </c>
      <c r="Z12" s="51">
        <v>457.9</v>
      </c>
      <c r="AA12" s="51">
        <v>450.6</v>
      </c>
      <c r="AB12" s="51">
        <v>477.5</v>
      </c>
      <c r="AC12" s="51">
        <v>500.2</v>
      </c>
      <c r="AD12" s="51">
        <v>530.79999999999995</v>
      </c>
      <c r="AE12" s="51">
        <v>506.4</v>
      </c>
      <c r="AF12" s="51">
        <v>504.6</v>
      </c>
      <c r="AG12" s="51">
        <v>494</v>
      </c>
      <c r="AH12" s="51">
        <v>549.1</v>
      </c>
      <c r="AI12" s="51">
        <v>525.4</v>
      </c>
      <c r="AJ12" s="51">
        <v>586.9</v>
      </c>
      <c r="AK12" s="51">
        <v>593.20000000000005</v>
      </c>
      <c r="AL12" s="51">
        <v>662</v>
      </c>
      <c r="AM12" s="51">
        <v>590.29999999999995</v>
      </c>
      <c r="AN12" s="51">
        <v>613.4</v>
      </c>
      <c r="AO12" s="51">
        <v>575.79999999999995</v>
      </c>
      <c r="AP12" s="51">
        <v>616</v>
      </c>
      <c r="AQ12" s="51">
        <v>632.70000000000005</v>
      </c>
      <c r="AR12" s="51">
        <v>628.6</v>
      </c>
      <c r="AS12" s="51">
        <v>616</v>
      </c>
      <c r="AT12" s="51">
        <v>733.9</v>
      </c>
      <c r="AU12" s="51">
        <v>650</v>
      </c>
      <c r="AV12" s="51">
        <v>700.1</v>
      </c>
      <c r="AW12" s="51">
        <v>706.1</v>
      </c>
      <c r="AX12" s="51">
        <v>729.1</v>
      </c>
      <c r="AY12" s="51">
        <v>684</v>
      </c>
      <c r="AZ12" s="51">
        <v>654.29999999999995</v>
      </c>
      <c r="BA12" s="51">
        <v>705</v>
      </c>
      <c r="BB12" s="51">
        <v>798.7</v>
      </c>
      <c r="BC12" s="51">
        <v>606.29999999999995</v>
      </c>
      <c r="BD12" s="51">
        <v>701.9</v>
      </c>
      <c r="BE12" s="51">
        <v>640.79999999999995</v>
      </c>
      <c r="BF12" s="51">
        <v>819.8</v>
      </c>
      <c r="BG12" s="51">
        <v>708.4</v>
      </c>
      <c r="BH12" s="51">
        <v>678.4</v>
      </c>
      <c r="BI12" s="51">
        <v>696.2</v>
      </c>
      <c r="BJ12" s="51">
        <v>782.2</v>
      </c>
      <c r="BK12" s="51">
        <v>791.7</v>
      </c>
      <c r="BL12" s="51">
        <v>769.8</v>
      </c>
      <c r="BM12" s="51">
        <v>664.6</v>
      </c>
      <c r="BN12" s="51">
        <v>770.4</v>
      </c>
      <c r="BO12" s="51">
        <v>730.8</v>
      </c>
      <c r="BP12" s="51">
        <v>677.6</v>
      </c>
      <c r="BQ12" s="51">
        <v>648.9</v>
      </c>
      <c r="BR12" s="51">
        <v>763.4</v>
      </c>
      <c r="BS12" s="51">
        <v>695.8</v>
      </c>
      <c r="BT12" s="51">
        <v>555.1</v>
      </c>
      <c r="BU12" s="51">
        <v>656.9</v>
      </c>
      <c r="BV12" s="51">
        <v>718.1</v>
      </c>
      <c r="BW12" s="51">
        <f>332.7+284.4</f>
        <v>617.09999999999991</v>
      </c>
      <c r="BX12" s="51">
        <v>607.6</v>
      </c>
      <c r="BY12" s="51">
        <v>626.70000000000005</v>
      </c>
      <c r="BZ12" s="51">
        <v>601.70000000000005</v>
      </c>
      <c r="CA12" s="51">
        <f>368.9+249.3</f>
        <v>618.20000000000005</v>
      </c>
      <c r="CB12" s="51">
        <v>447.1</v>
      </c>
      <c r="CC12" s="51">
        <v>447</v>
      </c>
      <c r="CD12" s="51">
        <v>548.29999999999995</v>
      </c>
      <c r="CE12" s="51">
        <v>460.9</v>
      </c>
      <c r="CF12" s="51">
        <v>440.4</v>
      </c>
      <c r="CG12" s="51">
        <v>395.4</v>
      </c>
      <c r="CH12" s="51">
        <v>366.6</v>
      </c>
      <c r="CI12" s="51">
        <v>538.70000000000005</v>
      </c>
      <c r="CJ12" s="51">
        <f>+CI12-5</f>
        <v>533.70000000000005</v>
      </c>
      <c r="CK12" s="51">
        <f>+CJ12-5</f>
        <v>528.70000000000005</v>
      </c>
      <c r="CL12" s="51">
        <f>+CK12-5</f>
        <v>523.70000000000005</v>
      </c>
      <c r="CM12" s="49"/>
      <c r="CN12" s="49"/>
      <c r="CO12" s="49"/>
      <c r="CP12" s="51"/>
      <c r="CQ12" s="51">
        <v>834</v>
      </c>
      <c r="CR12" s="51">
        <v>1021</v>
      </c>
      <c r="CS12" s="51">
        <v>1101</v>
      </c>
      <c r="CT12" s="51">
        <v>1198</v>
      </c>
      <c r="CU12" s="51">
        <f>SUM(O12:R12)</f>
        <v>1300.2</v>
      </c>
      <c r="CV12" s="51">
        <f>SUM(S12:V12)</f>
        <v>1474.6000000000001</v>
      </c>
      <c r="CW12" s="51">
        <f>SUM(W12:Z12)</f>
        <v>1735.8000000000002</v>
      </c>
      <c r="CX12" s="51">
        <f>SUM(AA12:AD12)</f>
        <v>1959.1</v>
      </c>
      <c r="CY12" s="51">
        <f>SUM(AE12:AH12)</f>
        <v>2054.1</v>
      </c>
      <c r="CZ12" s="51">
        <f>SUM(AI12:AL12)</f>
        <v>2367.5</v>
      </c>
      <c r="DA12" s="51">
        <f>SUM(AM12:AP12)</f>
        <v>2395.5</v>
      </c>
      <c r="DB12" s="51">
        <v>2611.1999999999998</v>
      </c>
      <c r="DC12" s="51">
        <v>2785.2</v>
      </c>
      <c r="DD12" s="51">
        <v>2841.9</v>
      </c>
      <c r="DE12" s="51">
        <v>2768.8</v>
      </c>
      <c r="DF12" s="51">
        <v>2865.2</v>
      </c>
      <c r="DG12" s="49">
        <v>2996.5</v>
      </c>
      <c r="DH12" s="49">
        <v>2820.7</v>
      </c>
      <c r="DI12" s="49">
        <f>SUM(BS12:BV12)</f>
        <v>2625.9</v>
      </c>
      <c r="DJ12" s="49">
        <f>SUM(BW12:BZ12)</f>
        <v>2453.1</v>
      </c>
      <c r="DK12" s="49">
        <f>SUM(CA12:CD12)</f>
        <v>2060.6000000000004</v>
      </c>
      <c r="DL12" s="49">
        <f>SUM(CE12:CH12)</f>
        <v>1663.2999999999997</v>
      </c>
      <c r="DM12" s="49">
        <f>SUM(Model!CI12:CL12)</f>
        <v>2124.8000000000002</v>
      </c>
      <c r="DN12" s="49">
        <f t="shared" ref="DN12:DS12" si="13">+DM12*0.95</f>
        <v>2018.5600000000002</v>
      </c>
      <c r="DO12" s="49">
        <f t="shared" si="13"/>
        <v>1917.6320000000001</v>
      </c>
      <c r="DP12" s="49">
        <f t="shared" si="13"/>
        <v>1821.7503999999999</v>
      </c>
      <c r="DQ12" s="49">
        <f t="shared" si="13"/>
        <v>1730.6628799999999</v>
      </c>
      <c r="DR12" s="49">
        <f t="shared" si="13"/>
        <v>1644.1297359999999</v>
      </c>
      <c r="DS12" s="49">
        <f t="shared" si="13"/>
        <v>1561.9232491999999</v>
      </c>
    </row>
    <row r="13" spans="1:128" x14ac:dyDescent="0.15">
      <c r="B13" t="s">
        <v>19</v>
      </c>
      <c r="C13" s="51"/>
      <c r="D13" s="51"/>
      <c r="E13" s="51"/>
      <c r="F13" s="51"/>
      <c r="G13" s="51">
        <v>11.6</v>
      </c>
      <c r="H13" s="51">
        <v>17.8</v>
      </c>
      <c r="I13" s="51">
        <v>40</v>
      </c>
      <c r="J13" s="51">
        <v>73.099999999999994</v>
      </c>
      <c r="K13" s="51">
        <v>93.9</v>
      </c>
      <c r="L13" s="51">
        <v>111.2</v>
      </c>
      <c r="M13" s="51">
        <v>122.3</v>
      </c>
      <c r="N13" s="51">
        <v>135.80000000000001</v>
      </c>
      <c r="O13" s="51">
        <v>130</v>
      </c>
      <c r="P13" s="51">
        <v>153</v>
      </c>
      <c r="Q13" s="51">
        <v>157</v>
      </c>
      <c r="R13" s="51">
        <v>171.4</v>
      </c>
      <c r="S13" s="51">
        <v>187.8</v>
      </c>
      <c r="T13" s="51">
        <v>207.1</v>
      </c>
      <c r="U13" s="51">
        <v>215</v>
      </c>
      <c r="V13" s="51">
        <v>244.1</v>
      </c>
      <c r="W13" s="51">
        <v>247.2</v>
      </c>
      <c r="X13" s="51">
        <v>275</v>
      </c>
      <c r="Y13" s="51">
        <v>313.89999999999998</v>
      </c>
      <c r="Z13" s="51">
        <v>318.7</v>
      </c>
      <c r="AA13" s="51">
        <v>335.3</v>
      </c>
      <c r="AB13" s="51">
        <v>385.3</v>
      </c>
      <c r="AC13" s="51">
        <v>461.9</v>
      </c>
      <c r="AD13" s="51">
        <v>523.6</v>
      </c>
      <c r="AE13" s="51">
        <v>527.4</v>
      </c>
      <c r="AF13" s="51">
        <v>551.79999999999995</v>
      </c>
      <c r="AG13" s="51">
        <v>560.29999999999995</v>
      </c>
      <c r="AH13" s="51">
        <v>569</v>
      </c>
      <c r="AI13" s="51">
        <v>579.9</v>
      </c>
      <c r="AJ13" s="51">
        <v>613.4</v>
      </c>
      <c r="AK13" s="51">
        <v>629.70000000000005</v>
      </c>
      <c r="AL13" s="51">
        <v>638.1</v>
      </c>
      <c r="AM13" s="51">
        <v>606.79999999999995</v>
      </c>
      <c r="AN13" s="51">
        <v>659.5</v>
      </c>
      <c r="AO13" s="51">
        <v>643.6</v>
      </c>
      <c r="AP13" s="51">
        <v>684.3</v>
      </c>
      <c r="AQ13" s="51">
        <v>616.79999999999995</v>
      </c>
      <c r="AR13" s="51">
        <v>669.4</v>
      </c>
      <c r="AS13" s="51">
        <v>690.5</v>
      </c>
      <c r="AT13" s="51">
        <v>726.2</v>
      </c>
      <c r="AU13" s="51">
        <v>632</v>
      </c>
      <c r="AV13" s="51">
        <v>711.6</v>
      </c>
      <c r="AW13" s="51">
        <v>723.4</v>
      </c>
      <c r="AX13" s="51">
        <v>725</v>
      </c>
      <c r="AY13" s="51">
        <v>573</v>
      </c>
      <c r="AZ13" s="51">
        <v>664.3</v>
      </c>
      <c r="BA13" s="51">
        <v>628.5</v>
      </c>
      <c r="BB13" s="51">
        <v>627.20000000000005</v>
      </c>
      <c r="BC13" s="51">
        <v>564.20000000000005</v>
      </c>
      <c r="BD13" s="51">
        <v>607.1</v>
      </c>
      <c r="BE13" s="51">
        <v>570.4</v>
      </c>
      <c r="BF13" s="51">
        <v>541.6</v>
      </c>
      <c r="BG13" s="51">
        <v>489.9</v>
      </c>
      <c r="BH13" s="51">
        <v>532.9</v>
      </c>
      <c r="BI13" s="51">
        <v>514.5</v>
      </c>
      <c r="BJ13" s="51">
        <v>525.20000000000005</v>
      </c>
      <c r="BK13" s="51">
        <v>499.6</v>
      </c>
      <c r="BL13" s="51">
        <v>555.9</v>
      </c>
      <c r="BM13" s="51">
        <v>520.5</v>
      </c>
      <c r="BN13" s="51">
        <v>556.9</v>
      </c>
      <c r="BO13" s="51">
        <v>499.2</v>
      </c>
      <c r="BP13" s="51">
        <v>577.79999999999995</v>
      </c>
      <c r="BQ13" s="51">
        <v>508.2</v>
      </c>
      <c r="BR13" s="51">
        <v>530.70000000000005</v>
      </c>
      <c r="BS13" s="51">
        <v>560.1</v>
      </c>
      <c r="BT13" s="51">
        <v>539.1</v>
      </c>
      <c r="BU13" s="51">
        <v>578</v>
      </c>
      <c r="BV13" s="51">
        <v>652.70000000000005</v>
      </c>
      <c r="BW13" s="51">
        <v>559</v>
      </c>
      <c r="BX13" s="51">
        <v>610.6</v>
      </c>
      <c r="BY13" s="51">
        <v>457</v>
      </c>
      <c r="BZ13" s="51">
        <v>434.9</v>
      </c>
      <c r="CA13" s="51">
        <v>343.9</v>
      </c>
      <c r="CB13" s="51">
        <v>227.7</v>
      </c>
      <c r="CC13" s="51">
        <v>119.4</v>
      </c>
      <c r="CD13" s="51">
        <v>236.6</v>
      </c>
      <c r="CE13" s="51">
        <v>58.2</v>
      </c>
      <c r="CF13" s="51">
        <v>60.9</v>
      </c>
      <c r="CG13" s="51">
        <v>53.5</v>
      </c>
      <c r="CH13" s="51">
        <v>44.9</v>
      </c>
      <c r="CI13" s="51"/>
      <c r="CJ13" s="51"/>
      <c r="CK13" s="51"/>
      <c r="CL13" s="51"/>
      <c r="CM13" s="49"/>
      <c r="CN13" s="49"/>
      <c r="CO13" s="49"/>
      <c r="CP13" s="51"/>
      <c r="CQ13" s="51"/>
      <c r="CR13" s="51"/>
      <c r="CS13" s="51">
        <v>143</v>
      </c>
      <c r="CT13" s="51">
        <v>463</v>
      </c>
      <c r="CU13" s="51">
        <v>619</v>
      </c>
      <c r="CV13" s="51">
        <f>SUM(S13:V13)</f>
        <v>854</v>
      </c>
      <c r="CW13" s="51">
        <f>SUM(W13:Z13)</f>
        <v>1154.8</v>
      </c>
      <c r="CX13" s="51">
        <f>SUM(AA13:AD13)</f>
        <v>1706.1</v>
      </c>
      <c r="CY13" s="51">
        <f>SUM(AE13:AH13)</f>
        <v>2208.5</v>
      </c>
      <c r="CZ13" s="51">
        <f>SUM(AI13:AL13)</f>
        <v>2461.1</v>
      </c>
      <c r="DA13" s="51">
        <f>SUM(AM13:AP13)</f>
        <v>2594.1999999999998</v>
      </c>
      <c r="DB13" s="51">
        <v>2703</v>
      </c>
      <c r="DC13" s="51">
        <v>2792</v>
      </c>
      <c r="DD13" s="51">
        <v>2493.1</v>
      </c>
      <c r="DE13" s="51">
        <v>2283.3000000000002</v>
      </c>
      <c r="DF13" s="51">
        <v>2062.5</v>
      </c>
      <c r="DG13" s="49">
        <v>2132.9</v>
      </c>
      <c r="DH13" s="49">
        <v>2115.8000000000002</v>
      </c>
      <c r="DI13" s="49">
        <f t="shared" si="8"/>
        <v>2329.9</v>
      </c>
      <c r="DJ13" s="49">
        <f t="shared" si="9"/>
        <v>2061.5</v>
      </c>
      <c r="DK13" s="49">
        <f t="shared" si="10"/>
        <v>927.59999999999991</v>
      </c>
      <c r="DL13" s="49">
        <f t="shared" si="11"/>
        <v>217.5</v>
      </c>
      <c r="DM13" s="49">
        <f>SUM(Model!CI13:CL13)</f>
        <v>0</v>
      </c>
      <c r="DN13" s="49">
        <f t="shared" ref="DN13:DS13" si="14">+DM13*0.5</f>
        <v>0</v>
      </c>
      <c r="DO13" s="49">
        <f t="shared" si="14"/>
        <v>0</v>
      </c>
      <c r="DP13" s="49">
        <f t="shared" si="14"/>
        <v>0</v>
      </c>
      <c r="DQ13" s="49">
        <f t="shared" si="14"/>
        <v>0</v>
      </c>
      <c r="DR13" s="49">
        <f t="shared" si="14"/>
        <v>0</v>
      </c>
      <c r="DS13" s="49">
        <f t="shared" si="14"/>
        <v>0</v>
      </c>
    </row>
    <row r="14" spans="1:128" x14ac:dyDescent="0.15">
      <c r="B14" t="s">
        <v>57</v>
      </c>
      <c r="C14" s="51">
        <v>241</v>
      </c>
      <c r="D14" s="51">
        <v>255.5</v>
      </c>
      <c r="E14" s="51">
        <v>264.5</v>
      </c>
      <c r="F14" s="51">
        <f>1060-E14-D14-C14</f>
        <v>299</v>
      </c>
      <c r="G14" s="51">
        <v>249.4</v>
      </c>
      <c r="H14" s="51">
        <v>259.3</v>
      </c>
      <c r="I14" s="51">
        <v>243.7</v>
      </c>
      <c r="J14" s="51">
        <v>245.2</v>
      </c>
      <c r="K14" s="51">
        <v>256.89999999999998</v>
      </c>
      <c r="L14" s="51">
        <v>249.8</v>
      </c>
      <c r="M14" s="51">
        <v>250.9</v>
      </c>
      <c r="N14" s="51">
        <v>247.2</v>
      </c>
      <c r="O14" s="51">
        <v>219</v>
      </c>
      <c r="P14" s="51">
        <v>220</v>
      </c>
      <c r="Q14" s="51">
        <v>230</v>
      </c>
      <c r="R14" s="51">
        <v>257</v>
      </c>
      <c r="S14" s="51">
        <v>225.8</v>
      </c>
      <c r="T14" s="51">
        <v>242.8</v>
      </c>
      <c r="U14" s="51">
        <v>243.3</v>
      </c>
      <c r="V14" s="51">
        <v>273.39999999999998</v>
      </c>
      <c r="W14" s="51">
        <v>257.7</v>
      </c>
      <c r="X14" s="51">
        <v>271.39999999999998</v>
      </c>
      <c r="Y14" s="51">
        <v>271.60000000000002</v>
      </c>
      <c r="Z14" s="51">
        <v>262.39999999999998</v>
      </c>
      <c r="AA14" s="51">
        <v>240.6</v>
      </c>
      <c r="AB14" s="51">
        <v>248.1</v>
      </c>
      <c r="AC14" s="51">
        <v>260.39999999999998</v>
      </c>
      <c r="AD14" s="51">
        <v>273</v>
      </c>
      <c r="AE14" s="51">
        <v>257.8</v>
      </c>
      <c r="AF14" s="51">
        <v>265.2</v>
      </c>
      <c r="AG14" s="51">
        <v>278</v>
      </c>
      <c r="AH14" s="51">
        <v>287.89999999999998</v>
      </c>
      <c r="AI14" s="51">
        <v>289.8</v>
      </c>
      <c r="AJ14" s="51">
        <v>311.8</v>
      </c>
      <c r="AK14" s="51">
        <v>301.5</v>
      </c>
      <c r="AL14" s="51">
        <v>345.6</v>
      </c>
      <c r="AM14" s="51">
        <v>307.7</v>
      </c>
      <c r="AN14" s="51">
        <v>303</v>
      </c>
      <c r="AO14" s="51">
        <v>285.39999999999998</v>
      </c>
      <c r="AP14" s="51">
        <v>343</v>
      </c>
      <c r="AQ14" s="51">
        <v>311.89999999999998</v>
      </c>
      <c r="AR14" s="51">
        <v>327.5</v>
      </c>
      <c r="AS14" s="51">
        <v>307</v>
      </c>
      <c r="AT14" s="51">
        <v>369.5</v>
      </c>
      <c r="AU14" s="51">
        <v>316.2</v>
      </c>
      <c r="AV14" s="51">
        <v>352.4</v>
      </c>
      <c r="AW14" s="51">
        <v>335.9</v>
      </c>
      <c r="AX14" s="51">
        <v>395.6</v>
      </c>
      <c r="AY14" s="51">
        <v>315.7</v>
      </c>
      <c r="AZ14" s="51">
        <v>316.39999999999998</v>
      </c>
      <c r="BA14" s="51">
        <v>316.7</v>
      </c>
      <c r="BB14" s="51">
        <v>358.6</v>
      </c>
      <c r="BC14" s="51">
        <v>356.4</v>
      </c>
      <c r="BD14" s="51">
        <v>332.3</v>
      </c>
      <c r="BE14" s="51">
        <v>322</v>
      </c>
      <c r="BF14" s="51">
        <v>355.3</v>
      </c>
      <c r="BG14" s="51">
        <v>314.5</v>
      </c>
      <c r="BH14" s="51">
        <v>357.8</v>
      </c>
      <c r="BI14" s="51">
        <v>300.5</v>
      </c>
      <c r="BJ14" s="51">
        <v>362.6</v>
      </c>
      <c r="BK14" s="51">
        <v>325.89999999999998</v>
      </c>
      <c r="BL14" s="51">
        <v>346</v>
      </c>
      <c r="BM14" s="51">
        <v>322.10000000000002</v>
      </c>
      <c r="BN14" s="51">
        <v>337.4</v>
      </c>
      <c r="BO14" s="51">
        <v>297.7</v>
      </c>
      <c r="BP14" s="51">
        <v>322.60000000000002</v>
      </c>
      <c r="BQ14" s="51">
        <v>321.8</v>
      </c>
      <c r="BR14" s="51">
        <v>348</v>
      </c>
      <c r="BS14" s="51">
        <v>315.7</v>
      </c>
      <c r="BT14" s="51">
        <v>313.60000000000002</v>
      </c>
      <c r="BU14" s="51">
        <v>305.89999999999998</v>
      </c>
      <c r="BV14" s="51">
        <v>324.39999999999998</v>
      </c>
      <c r="BW14" s="51">
        <f>219+102.7</f>
        <v>321.7</v>
      </c>
      <c r="BX14" s="51">
        <v>315.3</v>
      </c>
      <c r="BY14" s="51">
        <v>286.7</v>
      </c>
      <c r="BZ14" s="51">
        <v>298.8</v>
      </c>
      <c r="CA14" s="51">
        <f>190.4+82.8</f>
        <v>273.2</v>
      </c>
      <c r="CB14" s="51">
        <v>274</v>
      </c>
      <c r="CC14" s="51">
        <v>238.2</v>
      </c>
      <c r="CD14" s="51">
        <v>234</v>
      </c>
      <c r="CE14" s="51">
        <v>252</v>
      </c>
      <c r="CF14" s="51"/>
      <c r="CG14" s="51"/>
      <c r="CH14" s="51"/>
      <c r="CI14" s="51">
        <v>206.2</v>
      </c>
      <c r="CJ14" s="51"/>
      <c r="CK14" s="51"/>
      <c r="CL14" s="51"/>
      <c r="CM14" s="49"/>
      <c r="CN14" s="49"/>
      <c r="CO14" s="49"/>
      <c r="CP14" s="51"/>
      <c r="CQ14" s="51">
        <v>1004</v>
      </c>
      <c r="CR14" s="51">
        <v>1060</v>
      </c>
      <c r="CS14" s="51">
        <v>997</v>
      </c>
      <c r="CT14" s="51">
        <v>1005</v>
      </c>
      <c r="CU14" s="51">
        <v>905</v>
      </c>
      <c r="CV14" s="51">
        <f t="shared" ref="CV14" si="15">SUM(S14:V14)</f>
        <v>985.30000000000007</v>
      </c>
      <c r="CW14" s="51">
        <f t="shared" ref="CW14:CW38" si="16">SUM(W14:Z14)</f>
        <v>1063.0999999999999</v>
      </c>
      <c r="CX14" s="51">
        <f t="shared" ref="CX14:CX38" si="17">SUM(AA14:AD14)</f>
        <v>1022.0999999999999</v>
      </c>
      <c r="CY14" s="51">
        <f t="shared" ref="CY14:CY38" si="18">SUM(AE14:AH14)</f>
        <v>1088.9000000000001</v>
      </c>
      <c r="CZ14" s="51">
        <f t="shared" ref="CZ14:CZ39" si="19">SUM(AI14:AL14)</f>
        <v>1248.7</v>
      </c>
      <c r="DA14" s="51">
        <f>SUM(AM14:AP14)</f>
        <v>1239.0999999999999</v>
      </c>
      <c r="DB14" s="51">
        <v>1315.8</v>
      </c>
      <c r="DC14" s="51">
        <v>1400.1</v>
      </c>
      <c r="DD14" s="51">
        <v>1307.4000000000001</v>
      </c>
      <c r="DE14" s="51">
        <v>1365.9</v>
      </c>
      <c r="DF14" s="51">
        <v>1335.4</v>
      </c>
      <c r="DG14" s="49">
        <v>1331.4</v>
      </c>
      <c r="DH14" s="49">
        <v>1290.0999999999999</v>
      </c>
      <c r="DI14" s="49">
        <f t="shared" si="8"/>
        <v>1259.5999999999999</v>
      </c>
      <c r="DJ14" s="49">
        <f t="shared" si="9"/>
        <v>1222.5</v>
      </c>
      <c r="DK14" s="49">
        <f t="shared" si="10"/>
        <v>1019.4000000000001</v>
      </c>
      <c r="DL14" s="49">
        <f t="shared" si="11"/>
        <v>252</v>
      </c>
      <c r="DM14" s="49">
        <f>SUM(Model!CI14:CL14)</f>
        <v>206.2</v>
      </c>
      <c r="DN14" s="49">
        <f t="shared" ref="DN14:DS14" si="20">+DM14*0.95</f>
        <v>195.89</v>
      </c>
      <c r="DO14" s="49">
        <f t="shared" si="20"/>
        <v>186.09549999999999</v>
      </c>
      <c r="DP14" s="49">
        <f t="shared" si="20"/>
        <v>176.79072499999998</v>
      </c>
      <c r="DQ14" s="49">
        <f t="shared" si="20"/>
        <v>167.95118874999997</v>
      </c>
      <c r="DR14" s="49">
        <f t="shared" si="20"/>
        <v>159.55362931249996</v>
      </c>
      <c r="DS14" s="49">
        <f t="shared" si="20"/>
        <v>151.57594784687495</v>
      </c>
    </row>
    <row r="15" spans="1:128" x14ac:dyDescent="0.15">
      <c r="B15" s="38" t="s">
        <v>374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>
        <v>1.9</v>
      </c>
      <c r="BH15" s="52">
        <v>4.8</v>
      </c>
      <c r="BI15" s="52">
        <v>16.2</v>
      </c>
      <c r="BJ15" s="52">
        <v>23</v>
      </c>
      <c r="BK15" s="52">
        <v>32.200000000000003</v>
      </c>
      <c r="BL15" s="52">
        <v>44.7</v>
      </c>
      <c r="BM15" s="52">
        <v>55.6</v>
      </c>
      <c r="BN15" s="52">
        <v>70.099999999999994</v>
      </c>
      <c r="BO15" s="52">
        <v>82.1</v>
      </c>
      <c r="BP15" s="52">
        <v>102.4</v>
      </c>
      <c r="BQ15" s="52">
        <v>114.6</v>
      </c>
      <c r="BR15" s="52">
        <v>127.8</v>
      </c>
      <c r="BS15" s="52">
        <v>139.69999999999999</v>
      </c>
      <c r="BT15" s="52">
        <v>145</v>
      </c>
      <c r="BU15" s="52">
        <v>162</v>
      </c>
      <c r="BV15" s="52">
        <v>192.2</v>
      </c>
      <c r="BW15" s="52">
        <v>193.8</v>
      </c>
      <c r="BX15" s="52">
        <v>208.4</v>
      </c>
      <c r="BY15" s="52">
        <v>406.9</v>
      </c>
      <c r="BZ15" s="52">
        <v>306</v>
      </c>
      <c r="CA15" s="52">
        <v>255.6</v>
      </c>
      <c r="CB15" s="52">
        <v>186.2</v>
      </c>
      <c r="CC15" s="52">
        <v>182.9</v>
      </c>
      <c r="CD15" s="52">
        <v>205.8</v>
      </c>
      <c r="CE15" s="52">
        <v>228.9</v>
      </c>
      <c r="CF15" s="52">
        <v>218.9</v>
      </c>
      <c r="CG15" s="52">
        <v>231.4</v>
      </c>
      <c r="CH15" s="52">
        <v>243.5</v>
      </c>
      <c r="CI15" s="52">
        <v>217.4</v>
      </c>
      <c r="CJ15" s="52"/>
      <c r="CK15" s="52"/>
      <c r="CL15" s="52"/>
      <c r="CM15" s="49"/>
      <c r="CN15" s="49"/>
      <c r="CO15" s="49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>
        <v>0</v>
      </c>
      <c r="DC15" s="51">
        <v>0</v>
      </c>
      <c r="DD15" s="51">
        <v>0</v>
      </c>
      <c r="DE15" s="51">
        <v>0</v>
      </c>
      <c r="DF15" s="51">
        <v>45.8</v>
      </c>
      <c r="DG15" s="49">
        <v>202.5</v>
      </c>
      <c r="DH15" s="49">
        <v>426.9</v>
      </c>
      <c r="DI15" s="49">
        <f t="shared" si="8"/>
        <v>638.9</v>
      </c>
      <c r="DJ15" s="49">
        <f t="shared" si="9"/>
        <v>1115.0999999999999</v>
      </c>
      <c r="DK15" s="49">
        <f t="shared" si="10"/>
        <v>830.5</v>
      </c>
      <c r="DL15" s="49">
        <f t="shared" si="11"/>
        <v>922.7</v>
      </c>
      <c r="DM15" s="49">
        <f>SUM(Model!CI15:CL15)</f>
        <v>217.4</v>
      </c>
      <c r="DN15" s="49">
        <f t="shared" ref="DN15:DR15" si="21">+DM15*1.01</f>
        <v>219.57400000000001</v>
      </c>
      <c r="DO15" s="49">
        <f t="shared" si="21"/>
        <v>221.76974000000001</v>
      </c>
      <c r="DP15" s="49">
        <f t="shared" si="21"/>
        <v>223.9874374</v>
      </c>
      <c r="DQ15" s="49">
        <f t="shared" si="21"/>
        <v>226.22731177400001</v>
      </c>
      <c r="DR15" s="49">
        <f t="shared" si="21"/>
        <v>228.48958489174001</v>
      </c>
      <c r="DS15" s="49">
        <f>+DR15*0.1</f>
        <v>22.848958489174002</v>
      </c>
    </row>
    <row r="16" spans="1:128" x14ac:dyDescent="0.15">
      <c r="B16" s="38" t="s">
        <v>371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>
        <v>13.7</v>
      </c>
      <c r="AW16" s="51">
        <v>28.4</v>
      </c>
      <c r="AX16" s="51">
        <v>33.6</v>
      </c>
      <c r="AY16" s="51">
        <v>67.5</v>
      </c>
      <c r="AZ16" s="51">
        <v>87.7</v>
      </c>
      <c r="BA16" s="51">
        <v>111.2</v>
      </c>
      <c r="BB16" s="51">
        <v>117.5</v>
      </c>
      <c r="BC16" s="51">
        <v>131</v>
      </c>
      <c r="BD16" s="51">
        <v>147</v>
      </c>
      <c r="BE16" s="51">
        <v>159</v>
      </c>
      <c r="BF16" s="51">
        <v>177.1</v>
      </c>
      <c r="BG16" s="51">
        <v>171.2</v>
      </c>
      <c r="BH16" s="51">
        <v>186.3</v>
      </c>
      <c r="BI16" s="51">
        <v>196</v>
      </c>
      <c r="BJ16" s="51">
        <v>204.8</v>
      </c>
      <c r="BK16" s="51">
        <v>183.6</v>
      </c>
      <c r="BL16" s="51">
        <v>218.8</v>
      </c>
      <c r="BM16" s="51">
        <v>198.4</v>
      </c>
      <c r="BN16" s="51">
        <v>220.6</v>
      </c>
      <c r="BO16" s="51">
        <v>198.3</v>
      </c>
      <c r="BP16" s="51">
        <v>241.8</v>
      </c>
      <c r="BQ16" s="51">
        <v>240</v>
      </c>
      <c r="BR16" s="51">
        <v>245.1</v>
      </c>
      <c r="BS16" s="51">
        <v>239</v>
      </c>
      <c r="BT16" s="51">
        <v>256.7</v>
      </c>
      <c r="BU16" s="51">
        <v>252.7</v>
      </c>
      <c r="BV16" s="51">
        <v>284.2</v>
      </c>
      <c r="BW16" s="51">
        <v>240.5</v>
      </c>
      <c r="BX16" s="51">
        <v>268.7</v>
      </c>
      <c r="BY16" s="51">
        <v>253.4</v>
      </c>
      <c r="BZ16" s="51">
        <v>270.39999999999998</v>
      </c>
      <c r="CA16" s="51">
        <v>230.3</v>
      </c>
      <c r="CB16" s="51">
        <v>231.3</v>
      </c>
      <c r="CC16" s="51">
        <v>232.1</v>
      </c>
      <c r="CD16" s="51">
        <v>277.8</v>
      </c>
      <c r="CE16" s="51">
        <v>236.8</v>
      </c>
      <c r="CF16" s="51">
        <v>260.3</v>
      </c>
      <c r="CG16" s="51">
        <v>224.1</v>
      </c>
      <c r="CH16" s="51">
        <v>253.6</v>
      </c>
      <c r="CI16" s="51">
        <v>229.9</v>
      </c>
      <c r="CJ16" s="51"/>
      <c r="CK16" s="51"/>
      <c r="CL16" s="51"/>
      <c r="CM16" s="49"/>
      <c r="CN16" s="49"/>
      <c r="CO16" s="49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>
        <v>0</v>
      </c>
      <c r="DC16" s="51">
        <v>75.599999999999994</v>
      </c>
      <c r="DD16" s="51">
        <v>383.8</v>
      </c>
      <c r="DE16" s="51">
        <v>614.1</v>
      </c>
      <c r="DF16" s="51">
        <v>758.3</v>
      </c>
      <c r="DG16" s="49">
        <v>821.4</v>
      </c>
      <c r="DH16" s="49">
        <v>925.1</v>
      </c>
      <c r="DI16" s="49">
        <f t="shared" si="8"/>
        <v>1032.5999999999999</v>
      </c>
      <c r="DJ16" s="49">
        <f t="shared" si="9"/>
        <v>1033</v>
      </c>
      <c r="DK16" s="49">
        <f t="shared" si="10"/>
        <v>971.5</v>
      </c>
      <c r="DL16" s="49">
        <f t="shared" si="11"/>
        <v>974.80000000000007</v>
      </c>
      <c r="DM16" s="49">
        <f>SUM(Model!CI16:CL16)</f>
        <v>229.9</v>
      </c>
      <c r="DN16" s="49">
        <f t="shared" ref="DN16:DS16" si="22">+DM16*0.95</f>
        <v>218.405</v>
      </c>
      <c r="DO16" s="49">
        <f t="shared" si="22"/>
        <v>207.48474999999999</v>
      </c>
      <c r="DP16" s="49">
        <f t="shared" si="22"/>
        <v>197.11051249999997</v>
      </c>
      <c r="DQ16" s="49">
        <f t="shared" si="22"/>
        <v>187.25498687499996</v>
      </c>
      <c r="DR16" s="49">
        <f t="shared" si="22"/>
        <v>177.89223753124995</v>
      </c>
      <c r="DS16" s="49">
        <f t="shared" si="22"/>
        <v>168.99762565468745</v>
      </c>
    </row>
    <row r="17" spans="2:123" x14ac:dyDescent="0.15">
      <c r="B17" t="s">
        <v>18</v>
      </c>
      <c r="C17" s="51">
        <v>21.5</v>
      </c>
      <c r="D17" s="51">
        <v>37.5</v>
      </c>
      <c r="E17" s="51">
        <v>50.2</v>
      </c>
      <c r="F17" s="51">
        <f>203.3-E17-D17-C17</f>
        <v>94.100000000000023</v>
      </c>
      <c r="G17" s="51">
        <v>108.3</v>
      </c>
      <c r="H17" s="51"/>
      <c r="I17" s="51">
        <v>154.1</v>
      </c>
      <c r="J17" s="51">
        <v>152.69999999999999</v>
      </c>
      <c r="K17" s="51">
        <v>150.1</v>
      </c>
      <c r="L17" s="51"/>
      <c r="M17" s="51"/>
      <c r="N17" s="51"/>
      <c r="O17" s="51"/>
      <c r="P17" s="51"/>
      <c r="Q17" s="51"/>
      <c r="R17" s="51">
        <v>268</v>
      </c>
      <c r="S17" s="51">
        <v>193.1</v>
      </c>
      <c r="T17" s="51">
        <v>293.10000000000002</v>
      </c>
      <c r="U17" s="51">
        <v>311</v>
      </c>
      <c r="V17" s="51">
        <v>346.2</v>
      </c>
      <c r="W17" s="51">
        <v>336.9</v>
      </c>
      <c r="X17" s="51">
        <v>362.2</v>
      </c>
      <c r="Y17" s="51">
        <v>376.6</v>
      </c>
      <c r="Z17" s="51">
        <v>368.8</v>
      </c>
      <c r="AA17" s="51">
        <v>358.8</v>
      </c>
      <c r="AB17" s="51">
        <v>363.6</v>
      </c>
      <c r="AC17" s="51">
        <v>397.2</v>
      </c>
      <c r="AD17" s="51">
        <v>439.5</v>
      </c>
      <c r="AE17" s="51">
        <v>408.3</v>
      </c>
      <c r="AF17" s="51">
        <v>418.7</v>
      </c>
      <c r="AG17" s="51">
        <v>406.5</v>
      </c>
      <c r="AH17" s="51">
        <v>465.9</v>
      </c>
      <c r="AI17" s="51">
        <v>434.4</v>
      </c>
      <c r="AJ17" s="51">
        <v>477.2</v>
      </c>
      <c r="AK17" s="51">
        <v>469.8</v>
      </c>
      <c r="AL17" s="51">
        <v>494.2</v>
      </c>
      <c r="AM17" s="51">
        <v>461.8</v>
      </c>
      <c r="AN17" s="51">
        <v>469.5</v>
      </c>
      <c r="AO17" s="51">
        <v>482.1</v>
      </c>
      <c r="AP17" s="51">
        <v>513.4</v>
      </c>
      <c r="AQ17" s="51">
        <v>515</v>
      </c>
      <c r="AR17" s="51">
        <v>529.4</v>
      </c>
      <c r="AS17" s="51">
        <v>526.70000000000005</v>
      </c>
      <c r="AT17" s="51">
        <v>588.29999999999995</v>
      </c>
      <c r="AU17" s="51">
        <v>532.4</v>
      </c>
      <c r="AV17" s="51">
        <v>567.79999999999995</v>
      </c>
      <c r="AW17" s="51">
        <v>568.4</v>
      </c>
      <c r="AX17" s="51">
        <v>622.4</v>
      </c>
      <c r="AY17" s="51">
        <v>538.29999999999995</v>
      </c>
      <c r="AZ17" s="51">
        <v>567.9</v>
      </c>
      <c r="BA17" s="51">
        <v>566.1</v>
      </c>
      <c r="BB17" s="51">
        <v>638.4</v>
      </c>
      <c r="BC17" s="51">
        <v>576.70000000000005</v>
      </c>
      <c r="BD17" s="51">
        <v>630.5</v>
      </c>
      <c r="BE17" s="51">
        <v>588.20000000000005</v>
      </c>
      <c r="BF17" s="51">
        <v>676.3</v>
      </c>
      <c r="BG17" s="51">
        <v>533.6</v>
      </c>
      <c r="BH17" s="51">
        <v>627.29999999999995</v>
      </c>
      <c r="BI17" s="51">
        <v>564.9</v>
      </c>
      <c r="BJ17" s="51">
        <v>597.4</v>
      </c>
      <c r="BK17" s="51">
        <v>495.4</v>
      </c>
      <c r="BL17" s="51">
        <v>538.70000000000005</v>
      </c>
      <c r="BM17" s="51">
        <v>467.1</v>
      </c>
      <c r="BN17" s="51">
        <v>350.7</v>
      </c>
      <c r="BO17" s="51">
        <v>0</v>
      </c>
      <c r="BP17" s="51">
        <v>0</v>
      </c>
      <c r="BQ17" s="51">
        <v>0</v>
      </c>
      <c r="BR17" s="51">
        <v>0</v>
      </c>
      <c r="BS17" s="51">
        <v>193</v>
      </c>
      <c r="BT17" s="51">
        <v>130.69999999999999</v>
      </c>
      <c r="BU17" s="52">
        <v>162.5</v>
      </c>
      <c r="BV17" s="51">
        <f>607.1-BU17-BT17-BS17</f>
        <v>120.90000000000003</v>
      </c>
      <c r="BW17" s="51">
        <v>126.8</v>
      </c>
      <c r="BX17" s="51">
        <v>281</v>
      </c>
      <c r="BY17" s="51">
        <v>130.9</v>
      </c>
      <c r="BZ17" s="51">
        <f>718.4-BY17-BX17-BW17</f>
        <v>179.7</v>
      </c>
      <c r="CA17" s="51">
        <v>217.7</v>
      </c>
      <c r="CB17" s="51">
        <v>147</v>
      </c>
      <c r="CC17" s="51">
        <v>0</v>
      </c>
      <c r="CD17" s="51">
        <v>0</v>
      </c>
      <c r="CE17" s="51">
        <v>100.3</v>
      </c>
      <c r="CF17" s="51"/>
      <c r="CG17" s="51"/>
      <c r="CH17" s="51"/>
      <c r="CI17" s="51">
        <v>139.30000000000001</v>
      </c>
      <c r="CJ17" s="51"/>
      <c r="CK17" s="51"/>
      <c r="CL17" s="51"/>
      <c r="CM17" s="49"/>
      <c r="CN17" s="49"/>
      <c r="CO17" s="49"/>
      <c r="CP17" s="51"/>
      <c r="CQ17" s="51"/>
      <c r="CR17" s="51">
        <v>74</v>
      </c>
      <c r="CS17" s="51">
        <v>130</v>
      </c>
      <c r="CT17" s="51">
        <v>170</v>
      </c>
      <c r="CU17" s="51">
        <v>212</v>
      </c>
      <c r="CV17" s="51">
        <f>SUM(S17:V17)</f>
        <v>1143.4000000000001</v>
      </c>
      <c r="CW17" s="51">
        <f>SUM(W17:Z17)</f>
        <v>1444.4999999999998</v>
      </c>
      <c r="CX17" s="51">
        <f>SUM(AA17:AD17)</f>
        <v>1559.1000000000001</v>
      </c>
      <c r="CY17" s="51">
        <f>SUM(AE17:AH17)</f>
        <v>1699.4</v>
      </c>
      <c r="CZ17" s="51">
        <f>SUM(AI17:AL17)</f>
        <v>1875.6</v>
      </c>
      <c r="DA17" s="51">
        <f>SUM(AM17:AP17)</f>
        <v>1926.8000000000002</v>
      </c>
      <c r="DB17" s="51">
        <v>2159.4</v>
      </c>
      <c r="DC17" s="51">
        <v>2291</v>
      </c>
      <c r="DD17" s="51">
        <v>2310.6999999999998</v>
      </c>
      <c r="DE17" s="51">
        <v>2471.6</v>
      </c>
      <c r="DF17" s="51">
        <v>2323.1</v>
      </c>
      <c r="DG17" s="49">
        <v>1851.8</v>
      </c>
      <c r="DH17" s="49">
        <v>890.5</v>
      </c>
      <c r="DI17" s="49">
        <f t="shared" si="8"/>
        <v>607.1</v>
      </c>
      <c r="DJ17" s="49">
        <f t="shared" si="9"/>
        <v>718.40000000000009</v>
      </c>
      <c r="DK17" s="49">
        <f t="shared" si="10"/>
        <v>364.7</v>
      </c>
      <c r="DL17" s="49">
        <f t="shared" si="11"/>
        <v>100.3</v>
      </c>
      <c r="DM17" s="49">
        <f>SUM(Model!CI17:CL17)</f>
        <v>139.30000000000001</v>
      </c>
      <c r="DN17" s="49">
        <f t="shared" ref="DN17:DS18" si="23">+DM17*0.9</f>
        <v>125.37000000000002</v>
      </c>
      <c r="DO17" s="49">
        <f t="shared" si="23"/>
        <v>112.83300000000001</v>
      </c>
      <c r="DP17" s="49">
        <f t="shared" si="23"/>
        <v>101.54970000000002</v>
      </c>
      <c r="DQ17" s="49">
        <f t="shared" si="23"/>
        <v>91.39473000000001</v>
      </c>
      <c r="DR17" s="49">
        <f t="shared" si="23"/>
        <v>82.255257000000015</v>
      </c>
      <c r="DS17" s="49">
        <f t="shared" si="23"/>
        <v>74.029731300000009</v>
      </c>
    </row>
    <row r="18" spans="2:123" x14ac:dyDescent="0.15">
      <c r="B18" s="38" t="s">
        <v>367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>
        <v>3.8</v>
      </c>
      <c r="BB18" s="51">
        <v>7.3</v>
      </c>
      <c r="BC18" s="51">
        <v>10.9</v>
      </c>
      <c r="BD18" s="51">
        <v>16.3</v>
      </c>
      <c r="BE18" s="51">
        <v>19.399999999999999</v>
      </c>
      <c r="BF18" s="51">
        <v>39.5</v>
      </c>
      <c r="BG18" s="51">
        <v>46</v>
      </c>
      <c r="BH18" s="51">
        <v>86.6</v>
      </c>
      <c r="BI18" s="51">
        <v>145.69999999999999</v>
      </c>
      <c r="BJ18" s="51">
        <v>153.80000000000001</v>
      </c>
      <c r="BK18" s="51">
        <v>166</v>
      </c>
      <c r="BL18" s="51">
        <v>201.8</v>
      </c>
      <c r="BM18" s="51">
        <v>201.2</v>
      </c>
      <c r="BN18" s="51">
        <v>232.2</v>
      </c>
      <c r="BO18" s="51">
        <v>251.4</v>
      </c>
      <c r="BP18" s="51">
        <v>290.7</v>
      </c>
      <c r="BQ18" s="51">
        <v>263.2</v>
      </c>
      <c r="BR18" s="51">
        <v>307.2</v>
      </c>
      <c r="BS18" s="51">
        <v>303.7</v>
      </c>
      <c r="BT18" s="51">
        <v>290.39999999999998</v>
      </c>
      <c r="BU18" s="51">
        <v>248.2</v>
      </c>
      <c r="BV18" s="51">
        <v>282.10000000000002</v>
      </c>
      <c r="BW18" s="51">
        <v>246.6</v>
      </c>
      <c r="BX18" s="51">
        <v>210.7</v>
      </c>
      <c r="BY18" s="51">
        <v>192.8</v>
      </c>
      <c r="BZ18" s="51">
        <v>242.4</v>
      </c>
      <c r="CA18" s="51">
        <v>191.5</v>
      </c>
      <c r="CB18" s="51">
        <v>174.2</v>
      </c>
      <c r="CC18" s="51">
        <v>193</v>
      </c>
      <c r="CD18" s="51">
        <v>201.7</v>
      </c>
      <c r="CE18" s="51">
        <v>209.3</v>
      </c>
      <c r="CF18" s="51"/>
      <c r="CG18" s="51"/>
      <c r="CH18" s="51"/>
      <c r="CI18" s="51">
        <v>157.6</v>
      </c>
      <c r="CJ18" s="51"/>
      <c r="CK18" s="51"/>
      <c r="CL18" s="51"/>
      <c r="CM18" s="49"/>
      <c r="CN18" s="49"/>
      <c r="CO18" s="49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>
        <v>0</v>
      </c>
      <c r="DC18" s="51">
        <v>0</v>
      </c>
      <c r="DD18" s="51">
        <v>0</v>
      </c>
      <c r="DE18" s="51">
        <v>0</v>
      </c>
      <c r="DF18" s="51">
        <v>432.1</v>
      </c>
      <c r="DG18" s="49">
        <v>801.2</v>
      </c>
      <c r="DH18" s="49">
        <v>1112.5999999999999</v>
      </c>
      <c r="DI18" s="49">
        <f t="shared" si="8"/>
        <v>1124.4000000000001</v>
      </c>
      <c r="DJ18" s="49">
        <f t="shared" si="9"/>
        <v>892.49999999999989</v>
      </c>
      <c r="DK18" s="49">
        <f t="shared" si="10"/>
        <v>760.40000000000009</v>
      </c>
      <c r="DL18" s="49">
        <f t="shared" si="11"/>
        <v>209.3</v>
      </c>
      <c r="DM18" s="49">
        <f>SUM(Model!CI18:CL18)</f>
        <v>157.6</v>
      </c>
      <c r="DN18" s="49">
        <f t="shared" si="23"/>
        <v>141.84</v>
      </c>
      <c r="DO18" s="49">
        <f t="shared" si="23"/>
        <v>127.65600000000001</v>
      </c>
      <c r="DP18" s="49">
        <f t="shared" si="23"/>
        <v>114.89040000000001</v>
      </c>
      <c r="DQ18" s="49">
        <f t="shared" si="23"/>
        <v>103.40136000000001</v>
      </c>
      <c r="DR18" s="49">
        <f t="shared" si="23"/>
        <v>93.06122400000001</v>
      </c>
      <c r="DS18" s="49">
        <f t="shared" si="23"/>
        <v>83.755101600000017</v>
      </c>
    </row>
    <row r="19" spans="2:123" x14ac:dyDescent="0.15">
      <c r="B19" s="38" t="s">
        <v>376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>
        <v>4.9000000000000004</v>
      </c>
      <c r="BO19" s="52">
        <v>14.2</v>
      </c>
      <c r="BP19" s="52">
        <v>34.299999999999997</v>
      </c>
      <c r="BQ19" s="52">
        <v>47.7</v>
      </c>
      <c r="BR19" s="52">
        <v>66.3</v>
      </c>
      <c r="BS19" s="52">
        <v>74</v>
      </c>
      <c r="BT19" s="52">
        <v>87.4</v>
      </c>
      <c r="BU19" s="52">
        <v>91.5</v>
      </c>
      <c r="BV19" s="52">
        <v>109.9</v>
      </c>
      <c r="BW19" s="52">
        <v>119.5</v>
      </c>
      <c r="BX19" s="52">
        <v>156.30000000000001</v>
      </c>
      <c r="BY19" s="52">
        <v>140</v>
      </c>
      <c r="BZ19" s="52">
        <v>161.5</v>
      </c>
      <c r="CA19" s="52">
        <v>149.30000000000001</v>
      </c>
      <c r="CB19" s="52">
        <v>157.5</v>
      </c>
      <c r="CC19" s="52">
        <v>168.5</v>
      </c>
      <c r="CD19" s="52">
        <v>175.6</v>
      </c>
      <c r="CE19" s="52">
        <v>154.30000000000001</v>
      </c>
      <c r="CF19" s="52">
        <v>169.3</v>
      </c>
      <c r="CG19" s="52">
        <v>168.5</v>
      </c>
      <c r="CH19" s="52">
        <v>186.1</v>
      </c>
      <c r="CI19" s="52">
        <v>225.7</v>
      </c>
      <c r="CJ19" s="52"/>
      <c r="CK19" s="52"/>
      <c r="CL19" s="52"/>
      <c r="CM19" s="49"/>
      <c r="CN19" s="49"/>
      <c r="CO19" s="49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>
        <v>0</v>
      </c>
      <c r="DC19" s="51">
        <v>0</v>
      </c>
      <c r="DD19" s="51">
        <v>0</v>
      </c>
      <c r="DE19" s="51">
        <v>0</v>
      </c>
      <c r="DF19" s="51">
        <v>0</v>
      </c>
      <c r="DG19" s="49">
        <v>4.9000000000000004</v>
      </c>
      <c r="DH19" s="49">
        <v>162.5</v>
      </c>
      <c r="DI19" s="49">
        <f t="shared" si="8"/>
        <v>362.8</v>
      </c>
      <c r="DJ19" s="49">
        <f t="shared" si="9"/>
        <v>577.29999999999995</v>
      </c>
      <c r="DK19" s="49">
        <f t="shared" si="10"/>
        <v>650.9</v>
      </c>
      <c r="DL19" s="49">
        <f t="shared" si="11"/>
        <v>678.2</v>
      </c>
      <c r="DM19" s="49">
        <f>SUM(Model!CI19:CL19)</f>
        <v>225.7</v>
      </c>
      <c r="DN19" s="49">
        <f t="shared" ref="DN19:DS19" si="24">+DM19*1.01</f>
        <v>227.95699999999999</v>
      </c>
      <c r="DO19" s="49">
        <f t="shared" si="24"/>
        <v>230.23657</v>
      </c>
      <c r="DP19" s="49">
        <f t="shared" si="24"/>
        <v>232.5389357</v>
      </c>
      <c r="DQ19" s="49">
        <f t="shared" si="24"/>
        <v>234.864325057</v>
      </c>
      <c r="DR19" s="49">
        <f t="shared" si="24"/>
        <v>237.21296830757001</v>
      </c>
      <c r="DS19" s="49">
        <f t="shared" si="24"/>
        <v>239.58509799064572</v>
      </c>
    </row>
    <row r="20" spans="2:123" x14ac:dyDescent="0.15">
      <c r="B20" s="38" t="s">
        <v>368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>
        <v>17.8</v>
      </c>
      <c r="BT20" s="51">
        <v>15</v>
      </c>
      <c r="BU20" s="51">
        <v>17.2</v>
      </c>
      <c r="BV20" s="51">
        <v>20</v>
      </c>
      <c r="BW20" s="51">
        <v>20.6</v>
      </c>
      <c r="BX20" s="51">
        <v>25.4</v>
      </c>
      <c r="BY20" s="51">
        <v>39</v>
      </c>
      <c r="BZ20" s="51">
        <v>36.6</v>
      </c>
      <c r="CA20" s="51">
        <v>144.6</v>
      </c>
      <c r="CB20" s="51">
        <f>170-CB6</f>
        <v>154</v>
      </c>
      <c r="CC20" s="51">
        <v>0</v>
      </c>
      <c r="CD20" s="51">
        <f t="shared" ref="CD20" si="25">+CC20</f>
        <v>0</v>
      </c>
      <c r="CE20" s="51">
        <v>145.1</v>
      </c>
      <c r="CF20" s="51"/>
      <c r="CG20" s="51"/>
      <c r="CH20" s="51"/>
      <c r="CI20" s="51">
        <v>123.8</v>
      </c>
      <c r="CJ20" s="51"/>
      <c r="CK20" s="51"/>
      <c r="CL20" s="51"/>
      <c r="CM20" s="49"/>
      <c r="CN20" s="49"/>
      <c r="CO20" s="49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>
        <v>0</v>
      </c>
      <c r="DC20" s="51">
        <v>0</v>
      </c>
      <c r="DD20" s="51">
        <v>0</v>
      </c>
      <c r="DE20" s="51">
        <v>0</v>
      </c>
      <c r="DF20" s="51">
        <f>380.9+307.7</f>
        <v>688.59999999999991</v>
      </c>
      <c r="DG20" s="49">
        <f>292.7+272.5</f>
        <v>565.20000000000005</v>
      </c>
      <c r="DH20" s="49">
        <f>293.7+230.1</f>
        <v>523.79999999999995</v>
      </c>
      <c r="DI20" s="49">
        <f t="shared" si="8"/>
        <v>70</v>
      </c>
      <c r="DJ20" s="49">
        <f t="shared" si="9"/>
        <v>121.6</v>
      </c>
      <c r="DK20" s="49">
        <f t="shared" si="10"/>
        <v>298.60000000000002</v>
      </c>
      <c r="DL20" s="49">
        <f t="shared" si="11"/>
        <v>145.1</v>
      </c>
      <c r="DM20" s="49">
        <f>SUM(Model!CI20:CL20)</f>
        <v>123.8</v>
      </c>
      <c r="DN20" s="49">
        <f t="shared" ref="DN20:DS20" si="26">+DM20*0.9</f>
        <v>111.42</v>
      </c>
      <c r="DO20" s="49">
        <f t="shared" si="26"/>
        <v>100.27800000000001</v>
      </c>
      <c r="DP20" s="49">
        <f t="shared" si="26"/>
        <v>90.250200000000007</v>
      </c>
      <c r="DQ20" s="49">
        <f t="shared" si="26"/>
        <v>81.225180000000009</v>
      </c>
      <c r="DR20" s="49">
        <f t="shared" si="26"/>
        <v>73.102662000000009</v>
      </c>
      <c r="DS20" s="49">
        <f t="shared" si="26"/>
        <v>65.792395800000008</v>
      </c>
    </row>
    <row r="21" spans="2:123" x14ac:dyDescent="0.15">
      <c r="B21" s="38" t="s">
        <v>256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>
        <v>99.7</v>
      </c>
      <c r="AC21" s="51">
        <v>101.9</v>
      </c>
      <c r="AD21" s="51">
        <v>95</v>
      </c>
      <c r="AE21" s="51">
        <v>92.4</v>
      </c>
      <c r="AF21" s="51">
        <v>103.8</v>
      </c>
      <c r="AG21" s="51">
        <v>95.4</v>
      </c>
      <c r="AH21" s="51">
        <v>94.5</v>
      </c>
      <c r="AI21" s="51">
        <v>104</v>
      </c>
      <c r="AJ21" s="51">
        <v>100.1</v>
      </c>
      <c r="AK21" s="51">
        <v>97.2</v>
      </c>
      <c r="AL21" s="51">
        <v>107.9</v>
      </c>
      <c r="AM21" s="51">
        <v>113.3</v>
      </c>
      <c r="AN21" s="51">
        <v>110</v>
      </c>
      <c r="AO21" s="51">
        <v>86.6</v>
      </c>
      <c r="AP21" s="52"/>
      <c r="AQ21" s="52"/>
      <c r="AR21" s="52"/>
      <c r="AS21" s="52"/>
      <c r="AT21" s="52"/>
      <c r="AU21" s="52"/>
      <c r="AV21" s="52"/>
      <c r="AW21" s="52"/>
      <c r="AX21" s="52">
        <v>96</v>
      </c>
      <c r="AY21" s="52">
        <v>88.2</v>
      </c>
      <c r="AZ21" s="52">
        <v>134.6</v>
      </c>
      <c r="BA21" s="52">
        <v>85.9</v>
      </c>
      <c r="BB21" s="52">
        <v>176.2</v>
      </c>
      <c r="BC21" s="52">
        <v>168.1</v>
      </c>
      <c r="BD21" s="52">
        <v>180.6</v>
      </c>
      <c r="BE21" s="52">
        <v>184.6</v>
      </c>
      <c r="BF21" s="52">
        <v>153.69999999999999</v>
      </c>
      <c r="BG21" s="52">
        <v>154.4</v>
      </c>
      <c r="BH21" s="52">
        <v>159.1</v>
      </c>
      <c r="BI21" s="52">
        <v>163.5</v>
      </c>
      <c r="BJ21" s="52">
        <v>168.9</v>
      </c>
      <c r="BK21" s="52">
        <v>149.6</v>
      </c>
      <c r="BL21" s="52">
        <v>166.4</v>
      </c>
      <c r="BM21" s="52">
        <v>159.5</v>
      </c>
      <c r="BN21" s="52">
        <v>159.80000000000001</v>
      </c>
      <c r="BO21" s="52"/>
      <c r="BP21" s="52"/>
      <c r="BQ21" s="52"/>
      <c r="BR21" s="52"/>
      <c r="BS21" s="52">
        <v>130.80000000000001</v>
      </c>
      <c r="BT21" s="52">
        <v>129.5</v>
      </c>
      <c r="BU21" s="52">
        <v>136.4</v>
      </c>
      <c r="BV21" s="52">
        <f>480.1+56.3-BU21-BT21-BS21</f>
        <v>139.69999999999999</v>
      </c>
      <c r="BW21" s="52">
        <v>122.4</v>
      </c>
      <c r="BX21" s="52">
        <v>147</v>
      </c>
      <c r="BY21" s="52">
        <v>134.30000000000001</v>
      </c>
      <c r="BZ21" s="52">
        <f>548.3-BY21-BX21-BW21</f>
        <v>144.59999999999994</v>
      </c>
      <c r="CA21" s="52">
        <v>122.7</v>
      </c>
      <c r="CB21" s="52">
        <v>140.80000000000001</v>
      </c>
      <c r="CC21" s="52">
        <v>0</v>
      </c>
      <c r="CD21" s="52">
        <f t="shared" ref="CD21" si="27">+CC21</f>
        <v>0</v>
      </c>
      <c r="CE21" s="52">
        <v>129.9</v>
      </c>
      <c r="CF21" s="52"/>
      <c r="CG21" s="52"/>
      <c r="CH21" s="52"/>
      <c r="CI21" s="52">
        <v>144.6</v>
      </c>
      <c r="CJ21" s="52"/>
      <c r="CK21" s="52"/>
      <c r="CL21" s="52"/>
      <c r="CM21" s="49"/>
      <c r="CN21" s="49"/>
      <c r="CO21" s="49"/>
      <c r="CP21" s="51"/>
      <c r="CQ21" s="51"/>
      <c r="CR21" s="51"/>
      <c r="CS21" s="51"/>
      <c r="CT21" s="51"/>
      <c r="CU21" s="51"/>
      <c r="CV21" s="51"/>
      <c r="CW21" s="51"/>
      <c r="CX21" s="51">
        <f>SUM(AA21:AD21)</f>
        <v>296.60000000000002</v>
      </c>
      <c r="CY21" s="51">
        <f>SUM(AE21:AH21)</f>
        <v>386.1</v>
      </c>
      <c r="CZ21" s="51">
        <f>SUM(AI21:AL21)</f>
        <v>409.20000000000005</v>
      </c>
      <c r="DA21" s="51">
        <f>SUM(AM21:AP21)</f>
        <v>309.89999999999998</v>
      </c>
      <c r="DB21" s="51">
        <v>373.7</v>
      </c>
      <c r="DC21" s="51">
        <v>373.3</v>
      </c>
      <c r="DD21" s="51">
        <v>485</v>
      </c>
      <c r="DE21" s="51">
        <v>687</v>
      </c>
      <c r="DF21" s="51">
        <v>645.9</v>
      </c>
      <c r="DG21" s="49">
        <v>635.29999999999995</v>
      </c>
      <c r="DH21" s="49">
        <v>543.4</v>
      </c>
      <c r="DI21" s="49">
        <f t="shared" si="8"/>
        <v>536.40000000000009</v>
      </c>
      <c r="DJ21" s="49">
        <f t="shared" si="9"/>
        <v>548.29999999999995</v>
      </c>
      <c r="DK21" s="49">
        <f t="shared" si="10"/>
        <v>263.5</v>
      </c>
      <c r="DL21" s="49">
        <f t="shared" si="11"/>
        <v>129.9</v>
      </c>
      <c r="DM21" s="49">
        <f>SUM(Model!CI21:CL21)</f>
        <v>144.6</v>
      </c>
      <c r="DN21" s="49">
        <f t="shared" ref="DN21:DS21" si="28">+DM21*0.9</f>
        <v>130.13999999999999</v>
      </c>
      <c r="DO21" s="49">
        <f t="shared" si="28"/>
        <v>117.12599999999999</v>
      </c>
      <c r="DP21" s="49">
        <f t="shared" si="28"/>
        <v>105.4134</v>
      </c>
      <c r="DQ21" s="49">
        <f t="shared" si="28"/>
        <v>94.872060000000005</v>
      </c>
      <c r="DR21" s="49">
        <f t="shared" si="28"/>
        <v>85.384854000000004</v>
      </c>
      <c r="DS21" s="49">
        <f t="shared" si="28"/>
        <v>76.846368600000005</v>
      </c>
    </row>
    <row r="22" spans="2:123" x14ac:dyDescent="0.15">
      <c r="B22" t="s">
        <v>77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>
        <v>26.2</v>
      </c>
      <c r="BT22" s="51">
        <v>64.3</v>
      </c>
      <c r="BU22" s="51">
        <v>35.9</v>
      </c>
      <c r="BV22" s="51">
        <v>36.200000000000003</v>
      </c>
      <c r="BW22" s="51">
        <v>54.8</v>
      </c>
      <c r="BX22" s="51">
        <v>55.7</v>
      </c>
      <c r="BY22" s="51">
        <v>66.7</v>
      </c>
      <c r="BZ22" s="51">
        <v>38.5</v>
      </c>
      <c r="CA22" s="51">
        <f>101.2-CA30</f>
        <v>59.400000000000006</v>
      </c>
      <c r="CB22" s="51">
        <f>106.8-CB30</f>
        <v>61.8</v>
      </c>
      <c r="CC22" s="51">
        <v>0</v>
      </c>
      <c r="CD22" s="51">
        <f t="shared" ref="CD22" si="29">+CC22</f>
        <v>0</v>
      </c>
      <c r="CE22" s="51">
        <f>180.2-CE30-CE26</f>
        <v>67.799999999999983</v>
      </c>
      <c r="CF22" s="51"/>
      <c r="CG22" s="51"/>
      <c r="CH22" s="51"/>
      <c r="CI22" s="51">
        <v>268.5</v>
      </c>
      <c r="CJ22" s="51"/>
      <c r="CK22" s="51"/>
      <c r="CL22" s="51"/>
      <c r="CM22" s="49"/>
      <c r="CN22" s="49"/>
      <c r="CO22" s="49"/>
      <c r="CP22" s="51"/>
      <c r="CQ22" s="51">
        <v>19</v>
      </c>
      <c r="CR22" s="51">
        <v>19</v>
      </c>
      <c r="CS22" s="51">
        <v>9</v>
      </c>
      <c r="CT22" s="51">
        <v>3</v>
      </c>
      <c r="CU22" s="51"/>
      <c r="CV22" s="51"/>
      <c r="CW22" s="51"/>
      <c r="CX22" s="51"/>
      <c r="CY22" s="51"/>
      <c r="CZ22" s="51"/>
      <c r="DF22" s="51">
        <f>174.6+149.6</f>
        <v>324.2</v>
      </c>
      <c r="DG22" s="49">
        <f>215.1+200.6</f>
        <v>415.7</v>
      </c>
      <c r="DH22" s="49">
        <f>111+339.3</f>
        <v>450.3</v>
      </c>
      <c r="DI22" s="49">
        <f t="shared" si="8"/>
        <v>162.60000000000002</v>
      </c>
      <c r="DJ22" s="49">
        <f t="shared" si="9"/>
        <v>215.7</v>
      </c>
      <c r="DK22" s="49">
        <f t="shared" si="10"/>
        <v>121.2</v>
      </c>
      <c r="DL22" s="49">
        <f t="shared" si="11"/>
        <v>67.799999999999983</v>
      </c>
      <c r="DM22" s="49">
        <f>SUM(Model!CI22:CL22)</f>
        <v>268.5</v>
      </c>
      <c r="DN22" s="49">
        <f t="shared" ref="DN22:DS22" si="30">+DM22*0.9</f>
        <v>241.65</v>
      </c>
      <c r="DO22" s="49">
        <f t="shared" si="30"/>
        <v>217.48500000000001</v>
      </c>
      <c r="DP22" s="49">
        <f t="shared" si="30"/>
        <v>195.73650000000001</v>
      </c>
      <c r="DQ22" s="49">
        <f t="shared" si="30"/>
        <v>176.16285000000002</v>
      </c>
      <c r="DR22" s="49">
        <f t="shared" si="30"/>
        <v>158.54656500000002</v>
      </c>
      <c r="DS22" s="49">
        <f t="shared" si="30"/>
        <v>142.69190850000001</v>
      </c>
    </row>
    <row r="23" spans="2:123" x14ac:dyDescent="0.15">
      <c r="B23" t="s">
        <v>16</v>
      </c>
      <c r="C23" s="51">
        <v>4.0999999999999996</v>
      </c>
      <c r="D23" s="51">
        <v>13.7</v>
      </c>
      <c r="E23" s="51">
        <v>21.6</v>
      </c>
      <c r="F23" s="51">
        <f>65.3-E23-D23-C23</f>
        <v>25.9</v>
      </c>
      <c r="G23" s="51">
        <v>40.799999999999997</v>
      </c>
      <c r="H23" s="51">
        <v>65.3</v>
      </c>
      <c r="I23" s="51">
        <v>58.1</v>
      </c>
      <c r="J23" s="51">
        <v>74.3</v>
      </c>
      <c r="K23" s="51">
        <v>67</v>
      </c>
      <c r="L23" s="51">
        <v>101.9</v>
      </c>
      <c r="M23" s="51">
        <v>102.6</v>
      </c>
      <c r="N23" s="51">
        <v>118</v>
      </c>
      <c r="O23" s="51">
        <v>127</v>
      </c>
      <c r="P23" s="51">
        <v>146</v>
      </c>
      <c r="Q23" s="51">
        <v>149</v>
      </c>
      <c r="R23" s="51">
        <v>172.1</v>
      </c>
      <c r="S23" s="51">
        <v>153.4</v>
      </c>
      <c r="T23" s="51">
        <v>177.2</v>
      </c>
      <c r="U23" s="51">
        <v>180.5</v>
      </c>
      <c r="V23" s="51">
        <v>198.2</v>
      </c>
      <c r="W23" s="51">
        <v>185</v>
      </c>
      <c r="X23" s="51">
        <v>206.6</v>
      </c>
      <c r="Y23" s="51">
        <v>192.7</v>
      </c>
      <c r="Z23" s="51">
        <v>194.5</v>
      </c>
      <c r="AA23" s="51">
        <v>187.5</v>
      </c>
      <c r="AB23" s="51">
        <v>203.3</v>
      </c>
      <c r="AC23" s="51">
        <v>213.1</v>
      </c>
      <c r="AD23" s="51">
        <v>212.8</v>
      </c>
      <c r="AE23" s="51">
        <v>194.5</v>
      </c>
      <c r="AF23" s="51">
        <v>209.6</v>
      </c>
      <c r="AG23" s="51">
        <v>199.7</v>
      </c>
      <c r="AH23" s="51">
        <v>226.3</v>
      </c>
      <c r="AI23" s="51">
        <v>216.1</v>
      </c>
      <c r="AJ23" s="51">
        <v>231</v>
      </c>
      <c r="AK23" s="51">
        <v>240.3</v>
      </c>
      <c r="AL23" s="51">
        <v>262.5</v>
      </c>
      <c r="AM23" s="51">
        <v>271.3</v>
      </c>
      <c r="AN23" s="51">
        <v>276.39999999999998</v>
      </c>
      <c r="AO23" s="51">
        <v>288.7</v>
      </c>
      <c r="AP23" s="51">
        <v>314.60000000000002</v>
      </c>
      <c r="AQ23" s="51">
        <v>281.5</v>
      </c>
      <c r="AR23" s="51">
        <v>296.89999999999998</v>
      </c>
      <c r="AS23" s="51">
        <v>306.7</v>
      </c>
      <c r="AT23" s="51">
        <v>359.8</v>
      </c>
      <c r="AU23" s="51">
        <v>300.39999999999998</v>
      </c>
      <c r="AV23" s="51">
        <v>308.60000000000002</v>
      </c>
      <c r="AW23" s="51">
        <v>332.2</v>
      </c>
      <c r="AX23" s="51">
        <v>380.8</v>
      </c>
      <c r="AY23" s="51">
        <v>293</v>
      </c>
      <c r="AZ23" s="51">
        <v>328.4</v>
      </c>
      <c r="BA23" s="51">
        <v>348.9</v>
      </c>
      <c r="BB23" s="51">
        <v>377.9</v>
      </c>
      <c r="BC23" s="51">
        <v>318.60000000000002</v>
      </c>
      <c r="BD23" s="51">
        <v>367.6</v>
      </c>
      <c r="BE23" s="51">
        <v>391.2</v>
      </c>
      <c r="BF23" s="51">
        <v>422.5</v>
      </c>
      <c r="BG23" s="51">
        <v>347.5</v>
      </c>
      <c r="BH23" s="51">
        <v>446.7</v>
      </c>
      <c r="BI23" s="51">
        <v>441.7</v>
      </c>
      <c r="BJ23" s="51">
        <v>513.20000000000005</v>
      </c>
      <c r="BK23" s="51">
        <v>313.2</v>
      </c>
      <c r="BL23" s="51">
        <v>434.5</v>
      </c>
      <c r="BM23" s="51">
        <v>390.8</v>
      </c>
      <c r="BN23" s="51">
        <v>437.1</v>
      </c>
      <c r="BO23" s="51">
        <v>312.89999999999998</v>
      </c>
      <c r="BP23" s="51">
        <v>360.8</v>
      </c>
      <c r="BQ23" s="51">
        <v>370.7</v>
      </c>
      <c r="BR23" s="51">
        <v>360.2</v>
      </c>
      <c r="BS23" s="51">
        <v>272.39999999999998</v>
      </c>
      <c r="BT23" s="51">
        <v>252.7</v>
      </c>
      <c r="BU23" s="51">
        <v>266.89999999999998</v>
      </c>
      <c r="BV23" s="51">
        <v>254.4</v>
      </c>
      <c r="BW23" s="51">
        <v>198.5</v>
      </c>
      <c r="BX23" s="51">
        <v>218.4</v>
      </c>
      <c r="BY23" s="51">
        <v>200.9</v>
      </c>
      <c r="BZ23" s="51">
        <v>184</v>
      </c>
      <c r="CA23" s="51">
        <v>137.4</v>
      </c>
      <c r="CB23" s="51">
        <v>138.5</v>
      </c>
      <c r="CC23" s="51">
        <v>177.1</v>
      </c>
      <c r="CD23" s="51">
        <v>160</v>
      </c>
      <c r="CE23" s="51">
        <v>122.3</v>
      </c>
      <c r="CF23" s="51"/>
      <c r="CG23" s="51"/>
      <c r="CH23" s="51"/>
      <c r="CI23" s="51">
        <v>61.3</v>
      </c>
      <c r="CJ23" s="51"/>
      <c r="CK23" s="51"/>
      <c r="CL23" s="51"/>
      <c r="CM23" s="49"/>
      <c r="CN23" s="49"/>
      <c r="CO23" s="49"/>
      <c r="CP23" s="51"/>
      <c r="CQ23" s="51">
        <v>6</v>
      </c>
      <c r="CR23" s="51">
        <v>65</v>
      </c>
      <c r="CS23" s="51">
        <v>237</v>
      </c>
      <c r="CT23" s="51">
        <v>389</v>
      </c>
      <c r="CU23" s="51">
        <v>581</v>
      </c>
      <c r="CV23" s="51">
        <f>CU23*1.05</f>
        <v>610.05000000000007</v>
      </c>
      <c r="CW23" s="51">
        <f>SUM(W23:Z23)</f>
        <v>778.8</v>
      </c>
      <c r="CX23" s="51">
        <f>SUM(AA23:AD23)</f>
        <v>816.7</v>
      </c>
      <c r="CY23" s="51">
        <f>SUM(AE23:AH23)</f>
        <v>830.09999999999991</v>
      </c>
      <c r="CZ23" s="51">
        <f>SUM(AI23:AL23)</f>
        <v>949.90000000000009</v>
      </c>
      <c r="DA23" s="51">
        <f>SUM(AM23:AP23)</f>
        <v>1151</v>
      </c>
      <c r="DB23" s="51">
        <v>1244.9000000000001</v>
      </c>
      <c r="DC23" s="51">
        <v>1322</v>
      </c>
      <c r="DD23" s="51">
        <v>1348.3</v>
      </c>
      <c r="DE23" s="51">
        <v>1500</v>
      </c>
      <c r="DF23" s="51">
        <v>1749</v>
      </c>
      <c r="DG23" s="49">
        <v>1575.6</v>
      </c>
      <c r="DH23" s="49">
        <v>1404.7</v>
      </c>
      <c r="DI23" s="49">
        <f t="shared" si="8"/>
        <v>1046.3999999999999</v>
      </c>
      <c r="DJ23" s="49">
        <f t="shared" si="9"/>
        <v>801.8</v>
      </c>
      <c r="DK23" s="49">
        <f t="shared" si="10"/>
        <v>613</v>
      </c>
      <c r="DL23" s="49">
        <f t="shared" si="11"/>
        <v>122.3</v>
      </c>
      <c r="DM23" s="49">
        <f>SUM(Model!CI23:CL23)</f>
        <v>61.3</v>
      </c>
      <c r="DN23" s="49">
        <f t="shared" ref="DN23:DS23" si="31">+DM23*0.9</f>
        <v>55.17</v>
      </c>
      <c r="DO23" s="49">
        <f t="shared" si="31"/>
        <v>49.653000000000006</v>
      </c>
      <c r="DP23" s="49">
        <f t="shared" si="31"/>
        <v>44.687700000000007</v>
      </c>
      <c r="DQ23" s="49">
        <f t="shared" si="31"/>
        <v>40.218930000000007</v>
      </c>
      <c r="DR23" s="49">
        <f t="shared" si="31"/>
        <v>36.197037000000009</v>
      </c>
      <c r="DS23" s="49">
        <f t="shared" si="31"/>
        <v>32.577333300000006</v>
      </c>
    </row>
    <row r="24" spans="2:123" x14ac:dyDescent="0.15">
      <c r="B24" t="s">
        <v>78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>
        <f>4459.9-SUM(R25:R59)</f>
        <v>1686.4532721010328</v>
      </c>
      <c r="S24" s="51">
        <v>406</v>
      </c>
      <c r="T24" s="51"/>
      <c r="U24" s="51">
        <f>4587-(SUM(U25:U59))</f>
        <v>1697.9</v>
      </c>
      <c r="V24" s="51">
        <f>5189.6-(SUM(V25:V59))</f>
        <v>1904.6000000000004</v>
      </c>
      <c r="W24" s="51">
        <f>4807.6-(SUM(W25:W59))</f>
        <v>2080.2000000000007</v>
      </c>
      <c r="X24" s="51">
        <f>5150.4-(SUM(X25:X59))</f>
        <v>2045.4999999999995</v>
      </c>
      <c r="Y24" s="51">
        <f>5209.5-(SUM(Y25:Y59))</f>
        <v>2061.9000000000005</v>
      </c>
      <c r="AH24" s="51">
        <v>432</v>
      </c>
      <c r="AJ24" s="51">
        <v>422</v>
      </c>
      <c r="AK24" s="51">
        <v>410</v>
      </c>
      <c r="AL24" s="51">
        <v>407</v>
      </c>
      <c r="AM24" s="51">
        <v>552</v>
      </c>
      <c r="AN24" s="51">
        <v>524</v>
      </c>
      <c r="AO24" s="51">
        <f>5443.3-4955</f>
        <v>488.30000000000018</v>
      </c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>
        <v>1966</v>
      </c>
      <c r="BP24" s="51">
        <v>2269</v>
      </c>
      <c r="BQ24" s="51">
        <v>2171</v>
      </c>
      <c r="BR24" s="51">
        <v>2461</v>
      </c>
      <c r="BS24" s="51">
        <v>86</v>
      </c>
      <c r="BT24" s="51">
        <v>51.4</v>
      </c>
      <c r="BU24" s="51">
        <v>46.3</v>
      </c>
      <c r="BV24" s="51">
        <v>88</v>
      </c>
      <c r="BW24" s="51">
        <v>42.6</v>
      </c>
      <c r="BX24" s="51">
        <v>42.2</v>
      </c>
      <c r="BY24" s="51">
        <v>38.6</v>
      </c>
      <c r="BZ24" s="51">
        <v>58.1</v>
      </c>
      <c r="CA24" s="51">
        <v>98.1</v>
      </c>
      <c r="CB24" s="51">
        <v>80.099999999999994</v>
      </c>
      <c r="CC24" s="51">
        <v>0</v>
      </c>
      <c r="CD24" s="51">
        <f t="shared" ref="CD24" si="32">+CC24</f>
        <v>0</v>
      </c>
      <c r="CE24" s="51"/>
      <c r="CF24" s="51"/>
      <c r="CG24" s="51"/>
      <c r="CH24" s="51"/>
      <c r="CI24" s="51">
        <v>41.3</v>
      </c>
      <c r="CJ24" s="51"/>
      <c r="CK24" s="51"/>
      <c r="CL24" s="51"/>
      <c r="CM24" s="49"/>
      <c r="CN24" s="49"/>
      <c r="CO24" s="49"/>
      <c r="CP24" s="51"/>
      <c r="CQ24" s="52">
        <f>176+152</f>
        <v>328</v>
      </c>
      <c r="CR24" s="51">
        <f>165+100</f>
        <v>265</v>
      </c>
      <c r="CS24" s="51">
        <f>83+70+4+154</f>
        <v>311</v>
      </c>
      <c r="CT24" s="51">
        <f>41+54+18+117</f>
        <v>230</v>
      </c>
      <c r="CU24" s="51">
        <f>56+54+25+91</f>
        <v>226</v>
      </c>
      <c r="CV24" s="51">
        <f>50+54+50+87</f>
        <v>241</v>
      </c>
      <c r="CW24" s="51">
        <v>54</v>
      </c>
      <c r="CX24" s="51">
        <v>54</v>
      </c>
      <c r="CY24" s="51">
        <f>SUM(AE24:AH24)</f>
        <v>432</v>
      </c>
      <c r="CZ24" s="51">
        <f>SUM(AI24:AL24)</f>
        <v>1239</v>
      </c>
      <c r="DA24" s="51">
        <f>SUM(AM24:AP24)</f>
        <v>1564.3000000000002</v>
      </c>
      <c r="DB24" s="51">
        <f>1672.3-DB21</f>
        <v>1298.5999999999999</v>
      </c>
      <c r="DC24" s="51">
        <v>1887.1</v>
      </c>
      <c r="DD24" s="51">
        <f>1727.1-DD55</f>
        <v>1489.8</v>
      </c>
      <c r="DE24" s="51">
        <v>1965.4</v>
      </c>
      <c r="DF24" s="51">
        <f>555.4+422</f>
        <v>977.4</v>
      </c>
      <c r="DG24" s="49">
        <f>393+325.1</f>
        <v>718.1</v>
      </c>
      <c r="DH24" s="49">
        <f>327.7+156.2</f>
        <v>483.9</v>
      </c>
      <c r="DI24" s="49">
        <f t="shared" si="8"/>
        <v>271.7</v>
      </c>
      <c r="DJ24" s="49">
        <f t="shared" si="9"/>
        <v>181.5</v>
      </c>
      <c r="DK24" s="49">
        <f t="shared" si="10"/>
        <v>178.2</v>
      </c>
      <c r="DL24" s="49">
        <f t="shared" si="11"/>
        <v>0</v>
      </c>
      <c r="DM24" s="49">
        <f>SUM(Model!CI24:CL24)</f>
        <v>41.3</v>
      </c>
      <c r="DN24" s="49">
        <f t="shared" ref="DN24:DS24" si="33">+DM24*0.9</f>
        <v>37.17</v>
      </c>
      <c r="DO24" s="49">
        <f t="shared" si="33"/>
        <v>33.453000000000003</v>
      </c>
      <c r="DP24" s="49">
        <f t="shared" si="33"/>
        <v>30.107700000000005</v>
      </c>
      <c r="DQ24" s="49">
        <f t="shared" si="33"/>
        <v>27.096930000000004</v>
      </c>
      <c r="DR24" s="49">
        <f t="shared" si="33"/>
        <v>24.387237000000002</v>
      </c>
      <c r="DS24" s="49">
        <f t="shared" si="33"/>
        <v>21.948513300000002</v>
      </c>
    </row>
    <row r="25" spans="2:123" x14ac:dyDescent="0.15">
      <c r="B25" t="s">
        <v>7</v>
      </c>
      <c r="C25" s="51">
        <v>958.3</v>
      </c>
      <c r="D25" s="51">
        <v>1050</v>
      </c>
      <c r="E25" s="51">
        <v>1130</v>
      </c>
      <c r="F25" s="51">
        <v>1145.5</v>
      </c>
      <c r="G25" s="51">
        <v>1098.3</v>
      </c>
      <c r="H25" s="51">
        <v>1212.3</v>
      </c>
      <c r="I25" s="51">
        <v>1023.7</v>
      </c>
      <c r="J25" s="51">
        <v>1085.5</v>
      </c>
      <c r="K25" s="51">
        <v>1038.2</v>
      </c>
      <c r="L25" s="51">
        <v>1096.8</v>
      </c>
      <c r="M25" s="51">
        <v>1035.0999999999999</v>
      </c>
      <c r="N25" s="51">
        <v>1032.2</v>
      </c>
      <c r="O25" s="51">
        <v>1007.4</v>
      </c>
      <c r="P25" s="51">
        <v>1115</v>
      </c>
      <c r="Q25" s="51">
        <v>1084.7</v>
      </c>
      <c r="R25" s="51">
        <v>1156.5</v>
      </c>
      <c r="S25" s="51">
        <v>1108</v>
      </c>
      <c r="T25" s="51">
        <v>1213</v>
      </c>
      <c r="U25" s="51">
        <v>1166.0999999999999</v>
      </c>
      <c r="V25" s="51">
        <v>1273.9000000000001</v>
      </c>
      <c r="W25" s="51">
        <v>1120.2</v>
      </c>
      <c r="X25" s="51">
        <v>1239.7</v>
      </c>
      <c r="Y25" s="51">
        <v>1189.5</v>
      </c>
      <c r="Z25" s="51">
        <v>1146.7</v>
      </c>
      <c r="AA25" s="51">
        <v>1123</v>
      </c>
      <c r="AB25" s="51">
        <v>1203.2</v>
      </c>
      <c r="AC25" s="51">
        <v>1223</v>
      </c>
      <c r="AD25" s="51">
        <v>1366.5</v>
      </c>
      <c r="AE25" s="51">
        <v>1215</v>
      </c>
      <c r="AF25" s="51">
        <v>1262.9000000000001</v>
      </c>
      <c r="AG25" s="51">
        <v>1212.7</v>
      </c>
      <c r="AH25" s="51">
        <v>1335.8</v>
      </c>
      <c r="AI25" s="51">
        <v>1281.9000000000001</v>
      </c>
      <c r="AJ25" s="51">
        <v>1408.3</v>
      </c>
      <c r="AK25" s="51">
        <v>1182.3</v>
      </c>
      <c r="AL25" s="51">
        <v>749.6</v>
      </c>
      <c r="AM25" s="51">
        <v>562.70000000000005</v>
      </c>
      <c r="AN25" s="51">
        <v>379.5</v>
      </c>
      <c r="AO25" s="51">
        <v>374.5</v>
      </c>
      <c r="AP25" s="51">
        <v>384.8</v>
      </c>
      <c r="AQ25" s="51">
        <v>284.8</v>
      </c>
      <c r="AR25" s="51">
        <v>283.2</v>
      </c>
      <c r="AS25" s="51">
        <v>278.7</v>
      </c>
      <c r="AT25" s="51">
        <v>348.2</v>
      </c>
      <c r="AU25" s="51">
        <v>283.10000000000002</v>
      </c>
      <c r="AV25" s="51">
        <v>243.8</v>
      </c>
      <c r="AW25" s="51">
        <v>257.39999999999998</v>
      </c>
      <c r="AX25" s="51">
        <v>253.1</v>
      </c>
      <c r="AY25" s="51">
        <v>219.5</v>
      </c>
      <c r="AZ25" s="51">
        <v>253.7</v>
      </c>
      <c r="BA25" s="51">
        <v>237.9</v>
      </c>
      <c r="BB25" s="51">
        <v>229.1</v>
      </c>
      <c r="BC25" s="51">
        <v>212.8</v>
      </c>
      <c r="BD25" s="51">
        <v>210.7</v>
      </c>
      <c r="BE25" s="51">
        <v>148.9</v>
      </c>
      <c r="BF25" s="51">
        <v>153</v>
      </c>
      <c r="BG25" s="51">
        <v>147.5</v>
      </c>
      <c r="BH25" s="51">
        <v>140.80000000000001</v>
      </c>
      <c r="BI25" s="51">
        <v>140.6</v>
      </c>
      <c r="BJ25" s="51">
        <v>152.19999999999999</v>
      </c>
      <c r="BK25" s="51">
        <v>122.6</v>
      </c>
      <c r="BL25" s="51">
        <v>128</v>
      </c>
      <c r="BM25" s="51">
        <v>109.9</v>
      </c>
      <c r="BN25" s="51">
        <v>110.8</v>
      </c>
      <c r="BO25" s="51"/>
      <c r="BP25" s="51"/>
      <c r="BQ25" s="51"/>
      <c r="BR25" s="51"/>
      <c r="BS25" s="51">
        <v>98.4</v>
      </c>
      <c r="BT25" s="51">
        <v>96.6</v>
      </c>
      <c r="BU25" s="51">
        <v>112.7</v>
      </c>
      <c r="BV25" s="51">
        <f>46.1+360.5-BU25-BT25-BS25</f>
        <v>98.900000000000034</v>
      </c>
      <c r="BW25" s="51">
        <v>95.8</v>
      </c>
      <c r="BX25" s="51">
        <v>95.4</v>
      </c>
      <c r="BY25" s="51">
        <v>101.7</v>
      </c>
      <c r="BZ25" s="51">
        <f>430.3-BY25-BX25-BW25</f>
        <v>137.40000000000003</v>
      </c>
      <c r="CA25" s="51">
        <v>93.1</v>
      </c>
      <c r="CB25" s="51">
        <v>87.3</v>
      </c>
      <c r="CC25" s="51">
        <v>0</v>
      </c>
      <c r="CD25" s="51">
        <f t="shared" ref="CD25" si="34">+CC25</f>
        <v>0</v>
      </c>
      <c r="CE25" s="51"/>
      <c r="CF25" s="51"/>
      <c r="CG25" s="51"/>
      <c r="CH25" s="51"/>
      <c r="CI25" s="51"/>
      <c r="CJ25" s="51"/>
      <c r="CK25" s="51"/>
      <c r="CL25" s="51"/>
      <c r="CM25" s="49"/>
      <c r="CN25" s="49"/>
      <c r="CO25" s="49"/>
      <c r="CP25" s="51"/>
      <c r="CQ25" s="51">
        <v>3689</v>
      </c>
      <c r="CR25" s="51">
        <v>4277</v>
      </c>
      <c r="CS25" s="51">
        <v>4419</v>
      </c>
      <c r="CT25" s="51">
        <v>4200</v>
      </c>
      <c r="CU25" s="51">
        <f>SUM(O25:R25)</f>
        <v>4363.6000000000004</v>
      </c>
      <c r="CV25" s="51">
        <f>SUM(S25:V25)</f>
        <v>4761</v>
      </c>
      <c r="CW25" s="51">
        <f>SUM(W25:Z25)</f>
        <v>4696.1000000000004</v>
      </c>
      <c r="CX25" s="51">
        <f>SUM(AA25:AD25)</f>
        <v>4915.7</v>
      </c>
      <c r="CY25" s="51">
        <f>SUM(AE25:AH25)</f>
        <v>5026.4000000000005</v>
      </c>
      <c r="CZ25" s="51">
        <f>SUM(AI25:AL25)</f>
        <v>4622.1000000000004</v>
      </c>
      <c r="DA25" s="51">
        <f>SUM(AM25:AP25)</f>
        <v>1701.5</v>
      </c>
      <c r="DB25" s="51">
        <v>1194.8</v>
      </c>
      <c r="DC25" s="51">
        <v>1037.3</v>
      </c>
      <c r="DD25" s="51">
        <v>940.3</v>
      </c>
      <c r="DE25" s="51">
        <v>725.3</v>
      </c>
      <c r="DF25" s="51">
        <v>581.20000000000005</v>
      </c>
      <c r="DG25" s="49">
        <v>471.3</v>
      </c>
      <c r="DH25" s="49">
        <v>418.7</v>
      </c>
      <c r="DI25" s="49">
        <f t="shared" si="8"/>
        <v>406.6</v>
      </c>
      <c r="DJ25" s="49">
        <f t="shared" si="9"/>
        <v>430.3</v>
      </c>
      <c r="DK25" s="49">
        <f t="shared" si="10"/>
        <v>180.39999999999998</v>
      </c>
      <c r="DL25" s="49">
        <f t="shared" si="11"/>
        <v>0</v>
      </c>
      <c r="DM25" s="49">
        <f>SUM(Model!CI25:CL25)</f>
        <v>0</v>
      </c>
      <c r="DN25" s="49">
        <f t="shared" ref="DN25:DS25" si="35">+DM25*0.9</f>
        <v>0</v>
      </c>
      <c r="DO25" s="49">
        <f t="shared" si="35"/>
        <v>0</v>
      </c>
      <c r="DP25" s="49">
        <f t="shared" si="35"/>
        <v>0</v>
      </c>
      <c r="DQ25" s="49">
        <f t="shared" si="35"/>
        <v>0</v>
      </c>
      <c r="DR25" s="49">
        <f t="shared" si="35"/>
        <v>0</v>
      </c>
      <c r="DS25" s="49">
        <f t="shared" si="35"/>
        <v>0</v>
      </c>
    </row>
    <row r="26" spans="2:123" x14ac:dyDescent="0.15">
      <c r="B26" s="38" t="s">
        <v>372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>
        <v>9.9</v>
      </c>
      <c r="BP26" s="52">
        <v>40.1</v>
      </c>
      <c r="BQ26" s="52">
        <v>46.6</v>
      </c>
      <c r="BR26" s="52">
        <v>37.4</v>
      </c>
      <c r="BS26" s="52">
        <v>57.4</v>
      </c>
      <c r="BT26" s="52">
        <v>64.099999999999994</v>
      </c>
      <c r="BU26" s="52">
        <v>84.4</v>
      </c>
      <c r="BV26" s="52">
        <v>102.8</v>
      </c>
      <c r="BW26" s="52">
        <v>109.7</v>
      </c>
      <c r="BX26" s="52">
        <v>105</v>
      </c>
      <c r="BY26" s="52">
        <v>125.6</v>
      </c>
      <c r="BZ26" s="52">
        <v>77.8</v>
      </c>
      <c r="CA26" s="52">
        <v>85.5</v>
      </c>
      <c r="CB26" s="52">
        <v>73.599999999999994</v>
      </c>
      <c r="CC26" s="52">
        <v>76.8</v>
      </c>
      <c r="CD26" s="52">
        <v>57.5</v>
      </c>
      <c r="CE26" s="52">
        <v>61</v>
      </c>
      <c r="CF26" s="52">
        <v>103.6</v>
      </c>
      <c r="CG26" s="52">
        <v>115.1</v>
      </c>
      <c r="CH26" s="52">
        <v>113.6</v>
      </c>
      <c r="CI26" s="52">
        <v>116.7</v>
      </c>
      <c r="CJ26" s="52"/>
      <c r="CK26" s="52"/>
      <c r="CL26" s="52"/>
      <c r="CM26" s="49"/>
      <c r="CN26" s="49"/>
      <c r="CO26" s="49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>
        <v>0</v>
      </c>
      <c r="DE26" s="51">
        <v>0</v>
      </c>
      <c r="DF26" s="51">
        <v>0</v>
      </c>
      <c r="DG26" s="49">
        <v>0</v>
      </c>
      <c r="DH26" s="49">
        <v>0</v>
      </c>
      <c r="DI26" s="49">
        <f t="shared" si="8"/>
        <v>308.7</v>
      </c>
      <c r="DJ26" s="49">
        <f t="shared" si="9"/>
        <v>418.09999999999997</v>
      </c>
      <c r="DK26" s="49">
        <f t="shared" si="10"/>
        <v>293.39999999999998</v>
      </c>
      <c r="DL26" s="49">
        <f t="shared" si="11"/>
        <v>393.29999999999995</v>
      </c>
      <c r="DM26" s="49">
        <f>SUM(Model!CI26:CL26)</f>
        <v>116.7</v>
      </c>
      <c r="DN26" s="49">
        <f t="shared" ref="DN26:DS26" si="36">+DM26*0.9</f>
        <v>105.03</v>
      </c>
      <c r="DO26" s="49">
        <f t="shared" si="36"/>
        <v>94.527000000000001</v>
      </c>
      <c r="DP26" s="49">
        <f t="shared" si="36"/>
        <v>85.074300000000008</v>
      </c>
      <c r="DQ26" s="49">
        <f t="shared" si="36"/>
        <v>76.566870000000009</v>
      </c>
      <c r="DR26" s="49">
        <f t="shared" si="36"/>
        <v>68.910183000000004</v>
      </c>
      <c r="DS26" s="49">
        <f t="shared" si="36"/>
        <v>62.019164700000005</v>
      </c>
    </row>
    <row r="27" spans="2:123" x14ac:dyDescent="0.15">
      <c r="B27" t="s">
        <v>14</v>
      </c>
      <c r="C27" s="51"/>
      <c r="D27" s="51"/>
      <c r="E27" s="51"/>
      <c r="F27" s="51"/>
      <c r="G27" s="51"/>
      <c r="H27" s="51"/>
      <c r="I27" s="51">
        <v>32.5</v>
      </c>
      <c r="J27" s="51">
        <v>61.3</v>
      </c>
      <c r="K27" s="51">
        <v>106.8</v>
      </c>
      <c r="L27" s="51">
        <v>161.4</v>
      </c>
      <c r="M27" s="51">
        <v>182.8</v>
      </c>
      <c r="N27" s="51">
        <v>228.8</v>
      </c>
      <c r="O27" s="51">
        <v>233</v>
      </c>
      <c r="P27" s="51">
        <v>310</v>
      </c>
      <c r="Q27" s="51">
        <v>349</v>
      </c>
      <c r="R27" s="51">
        <v>424.1</v>
      </c>
      <c r="S27" s="51">
        <v>441.8</v>
      </c>
      <c r="T27" s="51">
        <v>519.5</v>
      </c>
      <c r="U27" s="51">
        <v>513.20000000000005</v>
      </c>
      <c r="V27" s="51">
        <v>628.29999999999995</v>
      </c>
      <c r="W27" s="51">
        <v>605.1</v>
      </c>
      <c r="X27" s="51">
        <v>654.4</v>
      </c>
      <c r="Y27" s="51">
        <v>716.4</v>
      </c>
      <c r="Z27" s="51">
        <v>721.2</v>
      </c>
      <c r="AA27" s="51">
        <v>709.3</v>
      </c>
      <c r="AB27" s="51">
        <v>744.4</v>
      </c>
      <c r="AC27" s="51">
        <v>790.2</v>
      </c>
      <c r="AD27" s="51">
        <v>830.8</v>
      </c>
      <c r="AE27" s="51">
        <v>803.2</v>
      </c>
      <c r="AF27" s="51">
        <v>867.7</v>
      </c>
      <c r="AG27" s="51">
        <v>825.3</v>
      </c>
      <c r="AH27" s="51">
        <v>984.6</v>
      </c>
      <c r="AI27" s="51">
        <v>908.8</v>
      </c>
      <c r="AJ27" s="51">
        <v>1003.4</v>
      </c>
      <c r="AK27" s="51">
        <v>1068.5999999999999</v>
      </c>
      <c r="AL27" s="51">
        <v>1180.7</v>
      </c>
      <c r="AM27" s="51">
        <v>1114.9000000000001</v>
      </c>
      <c r="AN27" s="51">
        <v>1223.0999999999999</v>
      </c>
      <c r="AO27" s="51">
        <v>1235.8</v>
      </c>
      <c r="AP27" s="51">
        <v>1420.4</v>
      </c>
      <c r="AQ27" s="51">
        <v>1328.2</v>
      </c>
      <c r="AR27" s="51">
        <v>1497.2</v>
      </c>
      <c r="AS27" s="51">
        <v>1375.8</v>
      </c>
      <c r="AT27" s="51">
        <v>883.2</v>
      </c>
      <c r="AU27" s="51">
        <v>478.2</v>
      </c>
      <c r="AV27" s="51">
        <v>401.3</v>
      </c>
      <c r="AW27" s="51">
        <v>368</v>
      </c>
      <c r="AX27" s="51">
        <v>367.3</v>
      </c>
      <c r="AY27" s="51">
        <v>287</v>
      </c>
      <c r="AZ27" s="51">
        <v>274.10000000000002</v>
      </c>
      <c r="BA27" s="51">
        <v>242.9</v>
      </c>
      <c r="BB27" s="51">
        <v>223.6</v>
      </c>
      <c r="BC27" s="51">
        <v>198.7</v>
      </c>
      <c r="BD27" s="51">
        <v>236.5</v>
      </c>
      <c r="BE27" s="51">
        <v>313.5</v>
      </c>
      <c r="BF27" s="51">
        <v>181.8</v>
      </c>
      <c r="BG27" s="51">
        <v>174.6</v>
      </c>
      <c r="BH27" s="51">
        <v>206.6</v>
      </c>
      <c r="BI27" s="51">
        <v>183.2</v>
      </c>
      <c r="BJ27" s="51">
        <v>192.8</v>
      </c>
      <c r="BK27" s="51">
        <v>169.6</v>
      </c>
      <c r="BL27" s="51">
        <v>181.9</v>
      </c>
      <c r="BM27" s="51">
        <v>172</v>
      </c>
      <c r="BN27" s="51">
        <v>184.5</v>
      </c>
      <c r="BO27" s="51">
        <v>164.1</v>
      </c>
      <c r="BP27" s="51"/>
      <c r="BQ27" s="51"/>
      <c r="BR27" s="51"/>
      <c r="BS27" s="51">
        <v>210.4</v>
      </c>
      <c r="BT27" s="51">
        <v>179.9</v>
      </c>
      <c r="BU27" s="51">
        <v>186.6</v>
      </c>
      <c r="BV27" s="51">
        <f>42.1+725.6-BU27-BT27-BS27</f>
        <v>190.80000000000004</v>
      </c>
      <c r="BW27" s="51">
        <v>176.6</v>
      </c>
      <c r="BX27" s="51">
        <v>175.6</v>
      </c>
      <c r="BY27" s="51">
        <v>132</v>
      </c>
      <c r="BZ27" s="51">
        <f>581.5-BY27-BX27-BW27</f>
        <v>97.299999999999983</v>
      </c>
      <c r="CA27" s="51">
        <v>81.099999999999994</v>
      </c>
      <c r="CB27" s="51">
        <v>75.5</v>
      </c>
      <c r="CC27" s="51">
        <v>0</v>
      </c>
      <c r="CD27" s="51">
        <f t="shared" ref="CC27:CD28" si="37">+CC27</f>
        <v>0</v>
      </c>
      <c r="CE27" s="51"/>
      <c r="CF27" s="51"/>
      <c r="CG27" s="51"/>
      <c r="CH27" s="51"/>
      <c r="CI27" s="51"/>
      <c r="CJ27" s="51"/>
      <c r="CK27" s="51"/>
      <c r="CL27" s="51"/>
      <c r="CM27" s="49"/>
      <c r="CN27" s="49"/>
      <c r="CO27" s="49"/>
      <c r="CP27" s="51"/>
      <c r="CQ27" s="51"/>
      <c r="CR27" s="51"/>
      <c r="CS27" s="51">
        <v>92</v>
      </c>
      <c r="CT27" s="51">
        <v>680</v>
      </c>
      <c r="CU27" s="51">
        <f>SUM(O27:R27)</f>
        <v>1316.1</v>
      </c>
      <c r="CV27" s="51">
        <f>SUM(S27:V27)</f>
        <v>2102.8000000000002</v>
      </c>
      <c r="CW27" s="51">
        <f>SUM(W27:Z27)</f>
        <v>2697.1000000000004</v>
      </c>
      <c r="CX27" s="51">
        <f>SUM(AA27:AD27)</f>
        <v>3074.7</v>
      </c>
      <c r="CY27" s="51">
        <f>SUM(AE27:AH27)</f>
        <v>3480.7999999999997</v>
      </c>
      <c r="CZ27" s="51">
        <f>SUM(AI27:AL27)</f>
        <v>4161.5</v>
      </c>
      <c r="DA27" s="51">
        <f>SUM(AM27:AP27)</f>
        <v>4994.2000000000007</v>
      </c>
      <c r="DB27" s="51">
        <v>5084.3999999999996</v>
      </c>
      <c r="DC27" s="51">
        <v>1614.7</v>
      </c>
      <c r="DD27" s="51">
        <v>1027.5999999999999</v>
      </c>
      <c r="DE27" s="51">
        <v>930.5</v>
      </c>
      <c r="DF27" s="51">
        <v>757.2</v>
      </c>
      <c r="DG27" s="51">
        <v>708</v>
      </c>
      <c r="DH27" s="51">
        <v>725.4</v>
      </c>
      <c r="DI27" s="49">
        <f t="shared" si="8"/>
        <v>767.7</v>
      </c>
      <c r="DJ27" s="49">
        <f t="shared" si="9"/>
        <v>581.5</v>
      </c>
      <c r="DK27" s="49">
        <f t="shared" si="10"/>
        <v>156.6</v>
      </c>
      <c r="DL27" s="49">
        <f t="shared" si="11"/>
        <v>0</v>
      </c>
      <c r="DM27" s="49">
        <f>SUM(Model!CI27:CL27)</f>
        <v>0</v>
      </c>
      <c r="DN27" s="49">
        <f t="shared" ref="DN27:DS27" si="38">+DM27*0.9</f>
        <v>0</v>
      </c>
      <c r="DO27" s="49">
        <f t="shared" si="38"/>
        <v>0</v>
      </c>
      <c r="DP27" s="49">
        <f t="shared" si="38"/>
        <v>0</v>
      </c>
      <c r="DQ27" s="49">
        <f t="shared" si="38"/>
        <v>0</v>
      </c>
      <c r="DR27" s="49">
        <f t="shared" si="38"/>
        <v>0</v>
      </c>
      <c r="DS27" s="49">
        <f t="shared" si="38"/>
        <v>0</v>
      </c>
    </row>
    <row r="28" spans="2:123" x14ac:dyDescent="0.15">
      <c r="B28" t="s">
        <v>495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>
        <v>76.900000000000006</v>
      </c>
      <c r="AV28" s="51">
        <v>90.3</v>
      </c>
      <c r="AW28" s="51">
        <v>78.900000000000006</v>
      </c>
      <c r="AX28" s="51">
        <v>82.7</v>
      </c>
      <c r="AY28" s="51">
        <v>82.3</v>
      </c>
      <c r="AZ28" s="51">
        <v>80</v>
      </c>
      <c r="BA28" s="51">
        <v>92.7</v>
      </c>
      <c r="BB28" s="51">
        <v>101.7</v>
      </c>
      <c r="BC28" s="51"/>
      <c r="BD28" s="51"/>
      <c r="BE28" s="51"/>
      <c r="BF28" s="51"/>
      <c r="BG28" s="51">
        <v>113</v>
      </c>
      <c r="BH28" s="51">
        <v>141.9</v>
      </c>
      <c r="BI28" s="51">
        <v>153.30000000000001</v>
      </c>
      <c r="BJ28" s="51">
        <v>129.69999999999999</v>
      </c>
      <c r="BK28" s="51">
        <v>141.1</v>
      </c>
      <c r="BL28" s="51">
        <v>141.69999999999999</v>
      </c>
      <c r="BM28" s="51">
        <v>135.69999999999999</v>
      </c>
      <c r="BN28" s="51">
        <v>156.19999999999999</v>
      </c>
      <c r="BO28" s="51"/>
      <c r="BP28" s="51"/>
      <c r="BQ28" s="51"/>
      <c r="BR28" s="51"/>
      <c r="BS28" s="51">
        <v>93.2</v>
      </c>
      <c r="BT28" s="51">
        <v>76.8</v>
      </c>
      <c r="BU28" s="51">
        <v>91.7</v>
      </c>
      <c r="BV28" s="51">
        <v>96.8</v>
      </c>
      <c r="BW28" s="51">
        <v>94.6</v>
      </c>
      <c r="BX28" s="51">
        <v>89.2</v>
      </c>
      <c r="BY28" s="51">
        <v>96.1</v>
      </c>
      <c r="BZ28" s="51">
        <v>92.6</v>
      </c>
      <c r="CA28" s="51">
        <v>0</v>
      </c>
      <c r="CB28" s="51">
        <v>0</v>
      </c>
      <c r="CC28" s="51">
        <f t="shared" si="37"/>
        <v>0</v>
      </c>
      <c r="CD28" s="51">
        <f t="shared" si="37"/>
        <v>0</v>
      </c>
      <c r="CE28" s="51"/>
      <c r="CF28" s="51"/>
      <c r="CG28" s="51"/>
      <c r="CH28" s="51"/>
      <c r="CI28" s="51"/>
      <c r="CJ28" s="51"/>
      <c r="CK28" s="51"/>
      <c r="CL28" s="51"/>
      <c r="CM28" s="49"/>
      <c r="CN28" s="49"/>
      <c r="CO28" s="49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>
        <v>356.8</v>
      </c>
      <c r="DE28" s="51">
        <v>436.6</v>
      </c>
      <c r="DF28" s="51">
        <v>537.9</v>
      </c>
      <c r="DG28" s="51">
        <v>574.70000000000005</v>
      </c>
      <c r="DH28" s="51">
        <v>590.6</v>
      </c>
      <c r="DI28" s="49">
        <f t="shared" si="8"/>
        <v>358.5</v>
      </c>
      <c r="DJ28" s="49">
        <f t="shared" si="9"/>
        <v>372.5</v>
      </c>
      <c r="DK28" s="49">
        <f t="shared" si="10"/>
        <v>0</v>
      </c>
      <c r="DL28" s="49">
        <f t="shared" si="11"/>
        <v>0</v>
      </c>
      <c r="DM28" s="49">
        <f>SUM(Model!CI28:CL28)</f>
        <v>0</v>
      </c>
      <c r="DN28" s="49">
        <f t="shared" ref="DN28:DS28" si="39">+DM28*0.9</f>
        <v>0</v>
      </c>
      <c r="DO28" s="49">
        <f t="shared" si="39"/>
        <v>0</v>
      </c>
      <c r="DP28" s="49">
        <f t="shared" si="39"/>
        <v>0</v>
      </c>
      <c r="DQ28" s="49">
        <f t="shared" si="39"/>
        <v>0</v>
      </c>
      <c r="DR28" s="49">
        <f t="shared" si="39"/>
        <v>0</v>
      </c>
      <c r="DS28" s="49">
        <f t="shared" si="39"/>
        <v>0</v>
      </c>
    </row>
    <row r="29" spans="2:123" x14ac:dyDescent="0.15">
      <c r="B29" t="s">
        <v>62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>
        <v>41.1</v>
      </c>
      <c r="BT29" s="51">
        <v>33.200000000000003</v>
      </c>
      <c r="BU29" s="51">
        <v>43.2</v>
      </c>
      <c r="BV29" s="51">
        <v>35.6</v>
      </c>
      <c r="BW29" s="51">
        <v>32.4</v>
      </c>
      <c r="BX29" s="51">
        <v>35</v>
      </c>
      <c r="BY29" s="51">
        <v>36</v>
      </c>
      <c r="BZ29" s="51">
        <v>31.4</v>
      </c>
      <c r="CA29" s="51">
        <v>74.2</v>
      </c>
      <c r="CB29" s="51">
        <v>69.599999999999994</v>
      </c>
      <c r="CC29" s="51">
        <v>0</v>
      </c>
      <c r="CD29" s="51">
        <f t="shared" ref="CD29" si="40">+CC29</f>
        <v>0</v>
      </c>
      <c r="CE29" s="51">
        <v>206.2</v>
      </c>
      <c r="CF29" s="51"/>
      <c r="CG29" s="51"/>
      <c r="CH29" s="51"/>
      <c r="CI29" s="51">
        <v>163.4</v>
      </c>
      <c r="CJ29" s="51"/>
      <c r="CK29" s="51"/>
      <c r="CL29" s="51"/>
      <c r="CM29" s="49"/>
      <c r="CN29" s="49"/>
      <c r="CO29" s="49"/>
      <c r="CP29" s="51"/>
      <c r="CQ29" s="51">
        <v>168</v>
      </c>
      <c r="CR29" s="51">
        <v>98</v>
      </c>
      <c r="CS29" s="51">
        <v>89</v>
      </c>
      <c r="CT29" s="51">
        <v>4</v>
      </c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>
        <f>98.9+115.7</f>
        <v>214.60000000000002</v>
      </c>
      <c r="DG29" s="51">
        <f>93.4+92.3</f>
        <v>185.7</v>
      </c>
      <c r="DH29" s="51">
        <f>80.2+93.6</f>
        <v>173.8</v>
      </c>
      <c r="DI29" s="49">
        <f t="shared" si="8"/>
        <v>153.10000000000002</v>
      </c>
      <c r="DJ29" s="49">
        <f t="shared" si="9"/>
        <v>134.80000000000001</v>
      </c>
      <c r="DK29" s="49">
        <f t="shared" si="10"/>
        <v>143.80000000000001</v>
      </c>
      <c r="DL29" s="49">
        <f t="shared" si="11"/>
        <v>206.2</v>
      </c>
      <c r="DM29" s="49">
        <f>SUM(Model!CI29:CL29)</f>
        <v>163.4</v>
      </c>
      <c r="DN29" s="49">
        <f t="shared" ref="DN29:DS29" si="41">+DM29*0.9</f>
        <v>147.06</v>
      </c>
      <c r="DO29" s="49">
        <f t="shared" si="41"/>
        <v>132.35400000000001</v>
      </c>
      <c r="DP29" s="49">
        <f t="shared" si="41"/>
        <v>119.11860000000001</v>
      </c>
      <c r="DQ29" s="49">
        <f t="shared" si="41"/>
        <v>107.20674000000001</v>
      </c>
      <c r="DR29" s="49">
        <f t="shared" si="41"/>
        <v>96.486066000000008</v>
      </c>
      <c r="DS29" s="49">
        <f t="shared" si="41"/>
        <v>86.837459400000014</v>
      </c>
    </row>
    <row r="30" spans="2:123" x14ac:dyDescent="0.15">
      <c r="B30" s="38" t="s">
        <v>378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>
        <v>6.3</v>
      </c>
      <c r="BU30" s="51">
        <v>11.6</v>
      </c>
      <c r="BV30" s="51">
        <v>18.7</v>
      </c>
      <c r="BW30" s="51">
        <v>16.8</v>
      </c>
      <c r="BX30" s="51">
        <v>25.7</v>
      </c>
      <c r="BY30" s="51">
        <v>33.6</v>
      </c>
      <c r="BZ30" s="51">
        <v>38.6</v>
      </c>
      <c r="CA30" s="51">
        <v>41.8</v>
      </c>
      <c r="CB30" s="51">
        <v>45</v>
      </c>
      <c r="CC30" s="51">
        <v>40.5</v>
      </c>
      <c r="CD30" s="51">
        <v>64.599999999999994</v>
      </c>
      <c r="CE30" s="51">
        <v>51.4</v>
      </c>
      <c r="CF30" s="51">
        <v>65.400000000000006</v>
      </c>
      <c r="CG30" s="51">
        <v>63.4</v>
      </c>
      <c r="CH30" s="51">
        <v>73.400000000000006</v>
      </c>
      <c r="CI30" s="51"/>
      <c r="CJ30" s="51"/>
      <c r="CK30" s="51"/>
      <c r="CL30" s="51"/>
      <c r="CM30" s="49"/>
      <c r="CN30" s="49"/>
      <c r="CO30" s="49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49">
        <f t="shared" si="8"/>
        <v>36.599999999999994</v>
      </c>
      <c r="DJ30" s="49">
        <f t="shared" si="9"/>
        <v>114.69999999999999</v>
      </c>
      <c r="DK30" s="49">
        <f t="shared" si="10"/>
        <v>191.89999999999998</v>
      </c>
      <c r="DL30" s="49">
        <f t="shared" si="11"/>
        <v>253.60000000000002</v>
      </c>
      <c r="DM30" s="49">
        <f>SUM(Model!CI30:CL30)</f>
        <v>0</v>
      </c>
      <c r="DN30" s="49">
        <f t="shared" ref="DN30:DR30" si="42">+DM30*1.3</f>
        <v>0</v>
      </c>
      <c r="DO30" s="49">
        <f t="shared" si="42"/>
        <v>0</v>
      </c>
      <c r="DP30" s="49">
        <f t="shared" si="42"/>
        <v>0</v>
      </c>
      <c r="DQ30" s="49">
        <f t="shared" si="42"/>
        <v>0</v>
      </c>
      <c r="DR30" s="49">
        <f t="shared" si="42"/>
        <v>0</v>
      </c>
      <c r="DS30" s="49">
        <f>+DR30*0.1</f>
        <v>0</v>
      </c>
    </row>
    <row r="31" spans="2:123" x14ac:dyDescent="0.15">
      <c r="B31" s="38" t="s">
        <v>455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>
        <v>6.2</v>
      </c>
      <c r="BR31" s="51">
        <v>0</v>
      </c>
      <c r="BS31" s="51">
        <v>17.8</v>
      </c>
      <c r="BT31" s="51">
        <v>13.6</v>
      </c>
      <c r="BU31" s="51">
        <v>20.9</v>
      </c>
      <c r="BV31" s="51">
        <v>23.8</v>
      </c>
      <c r="BW31" s="51">
        <v>24.4</v>
      </c>
      <c r="BX31" s="51">
        <v>25.9</v>
      </c>
      <c r="BY31" s="51">
        <v>31.9</v>
      </c>
      <c r="BZ31" s="51">
        <v>31</v>
      </c>
      <c r="CA31" s="51">
        <v>0</v>
      </c>
      <c r="CB31" s="51">
        <f>+CA31</f>
        <v>0</v>
      </c>
      <c r="CC31" s="51">
        <v>0</v>
      </c>
      <c r="CD31" s="51">
        <f t="shared" ref="CD31" si="43">+CC31</f>
        <v>0</v>
      </c>
      <c r="CE31" s="51"/>
      <c r="CF31" s="51"/>
      <c r="CG31" s="51"/>
      <c r="CH31" s="51"/>
      <c r="CI31" s="51"/>
      <c r="CJ31" s="51"/>
      <c r="CK31" s="51"/>
      <c r="CL31" s="51"/>
      <c r="CM31" s="49"/>
      <c r="CN31" s="49"/>
      <c r="CO31" s="49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49">
        <f t="shared" si="8"/>
        <v>76.099999999999994</v>
      </c>
      <c r="DJ31" s="49">
        <f t="shared" si="9"/>
        <v>113.19999999999999</v>
      </c>
      <c r="DK31" s="49">
        <f t="shared" si="10"/>
        <v>0</v>
      </c>
      <c r="DL31" s="49">
        <f t="shared" si="11"/>
        <v>0</v>
      </c>
      <c r="DM31" s="49">
        <f>SUM(Model!CI31:CL31)</f>
        <v>0</v>
      </c>
      <c r="DN31" s="49"/>
      <c r="DO31" s="49"/>
      <c r="DP31" s="49"/>
      <c r="DQ31" s="49"/>
      <c r="DR31" s="49"/>
      <c r="DS31" s="49"/>
    </row>
    <row r="32" spans="2:123" x14ac:dyDescent="0.15">
      <c r="B32" s="38" t="s">
        <v>375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>
        <v>2.6</v>
      </c>
      <c r="BT32" s="52">
        <v>8.1</v>
      </c>
      <c r="BU32" s="52">
        <v>10.6</v>
      </c>
      <c r="BV32" s="52">
        <v>13.2</v>
      </c>
      <c r="BW32" s="52">
        <v>16.899999999999999</v>
      </c>
      <c r="BX32" s="52">
        <v>7.9</v>
      </c>
      <c r="BY32" s="52">
        <v>4.9000000000000004</v>
      </c>
      <c r="BZ32" s="52">
        <f>15.3+17.6-BY32-BX32-BW32</f>
        <v>3.2000000000000099</v>
      </c>
      <c r="CA32" s="52">
        <v>4.5</v>
      </c>
      <c r="CB32" s="52">
        <v>4</v>
      </c>
      <c r="CC32" s="52">
        <v>771</v>
      </c>
      <c r="CD32" s="52">
        <v>759</v>
      </c>
      <c r="CE32" s="52">
        <f>52.8+22</f>
        <v>74.8</v>
      </c>
      <c r="CF32" s="52">
        <f>1902.1-579</f>
        <v>1323.1</v>
      </c>
      <c r="CG32" s="52">
        <f>9498.6-SUM(CG5:CG31)</f>
        <v>2679.1000000000013</v>
      </c>
      <c r="CH32" s="52">
        <f>9353.4-SUM(CH5:CH31)</f>
        <v>1292.8999999999978</v>
      </c>
      <c r="CI32" s="52">
        <v>12.5</v>
      </c>
      <c r="CJ32" s="52">
        <f>+CI32</f>
        <v>12.5</v>
      </c>
      <c r="CK32" s="52">
        <f t="shared" ref="CK32:CL32" si="44">+CJ32</f>
        <v>12.5</v>
      </c>
      <c r="CL32" s="52">
        <f t="shared" si="44"/>
        <v>12.5</v>
      </c>
      <c r="CM32" s="49"/>
      <c r="CN32" s="49"/>
      <c r="CO32" s="49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49">
        <f t="shared" si="8"/>
        <v>34.5</v>
      </c>
      <c r="DJ32" s="49">
        <f t="shared" si="9"/>
        <v>32.900000000000006</v>
      </c>
      <c r="DK32" s="49">
        <f t="shared" si="10"/>
        <v>1538.5</v>
      </c>
      <c r="DL32" s="49">
        <f>SUM(CE32:CH32)</f>
        <v>5369.8999999999987</v>
      </c>
      <c r="DM32" s="49">
        <f>SUM(Model!CI32:CL32)</f>
        <v>50</v>
      </c>
      <c r="DN32" s="49">
        <f>+DM32*0.95</f>
        <v>47.5</v>
      </c>
      <c r="DO32" s="49">
        <f t="shared" ref="DO32:DS32" si="45">+DN32*0.95</f>
        <v>45.125</v>
      </c>
      <c r="DP32" s="49">
        <f t="shared" si="45"/>
        <v>42.868749999999999</v>
      </c>
      <c r="DQ32" s="49">
        <f t="shared" si="45"/>
        <v>40.725312499999994</v>
      </c>
      <c r="DR32" s="49">
        <f t="shared" si="45"/>
        <v>38.689046874999995</v>
      </c>
      <c r="DS32" s="49">
        <f t="shared" si="45"/>
        <v>36.754594531249992</v>
      </c>
    </row>
    <row r="33" spans="2:123" x14ac:dyDescent="0.15">
      <c r="B33" s="38" t="s">
        <v>497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>
        <v>28</v>
      </c>
      <c r="BT33" s="52">
        <v>22.7</v>
      </c>
      <c r="BU33" s="52">
        <v>24.8</v>
      </c>
      <c r="BV33" s="52">
        <v>22.3</v>
      </c>
      <c r="BW33" s="52">
        <v>21.8</v>
      </c>
      <c r="BX33" s="52">
        <v>9.3000000000000007</v>
      </c>
      <c r="BY33" s="52">
        <v>10.4</v>
      </c>
      <c r="BZ33" s="52">
        <v>8.8000000000000007</v>
      </c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49"/>
      <c r="CN33" s="49"/>
      <c r="CO33" s="49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49">
        <f t="shared" si="8"/>
        <v>97.8</v>
      </c>
      <c r="DJ33" s="49">
        <f t="shared" si="9"/>
        <v>50.3</v>
      </c>
      <c r="DK33" s="49">
        <f t="shared" si="10"/>
        <v>0</v>
      </c>
      <c r="DL33" s="49">
        <f t="shared" si="11"/>
        <v>0</v>
      </c>
      <c r="DM33" s="49"/>
      <c r="DN33" s="49"/>
      <c r="DO33" s="49"/>
      <c r="DP33" s="49"/>
      <c r="DQ33" s="49"/>
      <c r="DR33" s="49"/>
      <c r="DS33" s="49"/>
    </row>
    <row r="34" spans="2:123" x14ac:dyDescent="0.15">
      <c r="B34" s="38" t="s">
        <v>456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>
        <v>1.4</v>
      </c>
      <c r="BT34" s="52">
        <v>2.9</v>
      </c>
      <c r="BU34" s="52">
        <v>4</v>
      </c>
      <c r="BV34" s="52">
        <v>4.4000000000000004</v>
      </c>
      <c r="BW34" s="52">
        <v>2.5</v>
      </c>
      <c r="BX34" s="52">
        <v>9.4</v>
      </c>
      <c r="BY34" s="52">
        <v>5.3</v>
      </c>
      <c r="BZ34" s="52">
        <v>6.9</v>
      </c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49"/>
      <c r="CN34" s="49"/>
      <c r="CO34" s="49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49">
        <f t="shared" si="8"/>
        <v>12.700000000000001</v>
      </c>
      <c r="DJ34" s="49">
        <f t="shared" si="9"/>
        <v>24.1</v>
      </c>
      <c r="DK34" s="49">
        <f t="shared" si="10"/>
        <v>0</v>
      </c>
      <c r="DL34" s="49">
        <f t="shared" si="11"/>
        <v>0</v>
      </c>
      <c r="DM34" s="49"/>
      <c r="DN34" s="49"/>
      <c r="DO34" s="49"/>
      <c r="DP34" s="49"/>
      <c r="DQ34" s="49"/>
      <c r="DR34" s="49"/>
      <c r="DS34" s="49"/>
    </row>
    <row r="35" spans="2:123" x14ac:dyDescent="0.15">
      <c r="B35" t="s">
        <v>15</v>
      </c>
      <c r="C35" s="51">
        <v>55</v>
      </c>
      <c r="D35" s="51">
        <v>74.8</v>
      </c>
      <c r="E35" s="51">
        <v>108</v>
      </c>
      <c r="F35" s="51">
        <v>132.6</v>
      </c>
      <c r="G35" s="51">
        <v>141.1</v>
      </c>
      <c r="H35" s="51">
        <v>178.6</v>
      </c>
      <c r="I35" s="51">
        <v>163.6</v>
      </c>
      <c r="J35" s="51">
        <v>183.4</v>
      </c>
      <c r="K35" s="51">
        <v>119.8</v>
      </c>
      <c r="L35" s="51">
        <v>123.5</v>
      </c>
      <c r="M35" s="51">
        <v>140.9</v>
      </c>
      <c r="N35" s="51">
        <v>168</v>
      </c>
      <c r="O35" s="51">
        <v>152</v>
      </c>
      <c r="P35" s="51">
        <v>144</v>
      </c>
      <c r="Q35" s="51">
        <v>126</v>
      </c>
      <c r="R35" s="51">
        <v>156.30000000000001</v>
      </c>
      <c r="S35" s="51">
        <v>139.9</v>
      </c>
      <c r="T35" s="51">
        <v>142.30000000000001</v>
      </c>
      <c r="U35" s="51">
        <v>130.5</v>
      </c>
      <c r="V35" s="51">
        <v>156.80000000000001</v>
      </c>
      <c r="W35" s="51">
        <v>148</v>
      </c>
      <c r="X35" s="51">
        <v>135.19999999999999</v>
      </c>
      <c r="Y35" s="51">
        <v>149.5</v>
      </c>
      <c r="Z35" s="51">
        <v>146.80000000000001</v>
      </c>
      <c r="AA35" s="51">
        <v>158.9</v>
      </c>
      <c r="AB35" s="51">
        <v>142.80000000000001</v>
      </c>
      <c r="AC35" s="51">
        <v>145.5</v>
      </c>
      <c r="AD35" s="51">
        <v>162.19999999999999</v>
      </c>
      <c r="AE35" s="51">
        <v>146.4</v>
      </c>
      <c r="AF35" s="51">
        <v>147.1</v>
      </c>
      <c r="AG35" s="51">
        <v>127.9</v>
      </c>
      <c r="AH35" s="51">
        <v>155.4</v>
      </c>
      <c r="AI35" s="51">
        <v>138.69999999999999</v>
      </c>
      <c r="AJ35" s="51">
        <v>157.69999999999999</v>
      </c>
      <c r="AK35" s="51">
        <v>153.19999999999999</v>
      </c>
      <c r="AL35" s="51">
        <v>170.6</v>
      </c>
      <c r="AM35" s="51">
        <v>158.9</v>
      </c>
      <c r="AN35" s="51">
        <v>153</v>
      </c>
      <c r="AO35" s="51">
        <v>145.6</v>
      </c>
      <c r="AP35" s="51">
        <v>163.9</v>
      </c>
      <c r="AQ35" s="51">
        <v>166.7</v>
      </c>
      <c r="AR35" s="51">
        <v>168.3</v>
      </c>
      <c r="AS35" s="51">
        <v>173.2</v>
      </c>
      <c r="AT35" s="51">
        <v>201.1</v>
      </c>
      <c r="AU35" s="51">
        <v>154.4</v>
      </c>
      <c r="AV35" s="51">
        <v>197.4</v>
      </c>
      <c r="AW35" s="51">
        <v>191.9</v>
      </c>
      <c r="AX35" s="51">
        <v>194.9</v>
      </c>
      <c r="AY35" s="51">
        <v>173.7</v>
      </c>
      <c r="AZ35" s="51">
        <v>191.8</v>
      </c>
      <c r="BA35" s="51">
        <v>196.9</v>
      </c>
      <c r="BB35" s="51">
        <v>221.6</v>
      </c>
      <c r="BC35" s="51">
        <v>188.1</v>
      </c>
      <c r="BD35" s="51">
        <v>224.6</v>
      </c>
      <c r="BE35" s="51">
        <v>198.8</v>
      </c>
      <c r="BF35" s="51">
        <v>243.2</v>
      </c>
      <c r="BG35" s="51">
        <v>196.2</v>
      </c>
      <c r="BH35" s="51">
        <v>186.6</v>
      </c>
      <c r="BI35" s="51">
        <v>137.1</v>
      </c>
      <c r="BJ35" s="51">
        <v>98.3</v>
      </c>
      <c r="BK35" s="51">
        <v>130.69999999999999</v>
      </c>
      <c r="BL35" s="51">
        <v>114.2</v>
      </c>
      <c r="BM35" s="51">
        <v>98.7</v>
      </c>
      <c r="BN35" s="51">
        <v>107.2</v>
      </c>
      <c r="BO35" s="51"/>
      <c r="BP35" s="51"/>
      <c r="BQ35" s="51"/>
      <c r="BR35" s="51"/>
      <c r="BS35" s="51">
        <v>38.200000000000003</v>
      </c>
      <c r="BT35" s="51">
        <v>22.5</v>
      </c>
      <c r="BU35" s="51">
        <v>32.700000000000003</v>
      </c>
      <c r="BV35" s="51">
        <v>35.1</v>
      </c>
      <c r="BW35" s="51">
        <v>38.6</v>
      </c>
      <c r="BX35" s="51">
        <v>40.5</v>
      </c>
      <c r="BY35" s="51">
        <v>35.200000000000003</v>
      </c>
      <c r="BZ35" s="51">
        <v>36.1</v>
      </c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49"/>
      <c r="CN35" s="49"/>
      <c r="CO35" s="49"/>
      <c r="CP35" s="51"/>
      <c r="CQ35" s="51">
        <v>3</v>
      </c>
      <c r="CR35" s="51">
        <v>370</v>
      </c>
      <c r="CS35" s="51">
        <v>666</v>
      </c>
      <c r="CT35" s="51">
        <v>552</v>
      </c>
      <c r="CU35" s="51">
        <v>594</v>
      </c>
      <c r="CV35" s="51">
        <f>SUM(S35:V35)</f>
        <v>569.5</v>
      </c>
      <c r="CW35" s="51">
        <f>SUM(W35:Z35)</f>
        <v>579.5</v>
      </c>
      <c r="CX35" s="51">
        <f>SUM(AA35:AD35)</f>
        <v>609.40000000000009</v>
      </c>
      <c r="CY35" s="51">
        <f>SUM(AE35:AH35)</f>
        <v>576.79999999999995</v>
      </c>
      <c r="CZ35" s="51">
        <f>SUM(AI35:AL35)</f>
        <v>620.19999999999993</v>
      </c>
      <c r="DA35" s="51">
        <f>SUM(AM35:AP35)</f>
        <v>621.4</v>
      </c>
      <c r="DB35" s="51">
        <v>709.2</v>
      </c>
      <c r="DC35" s="51">
        <v>738.5</v>
      </c>
      <c r="DD35" s="51">
        <v>784</v>
      </c>
      <c r="DE35" s="51">
        <v>854.7</v>
      </c>
      <c r="DF35" s="51">
        <f>284.9+333.3</f>
        <v>618.20000000000005</v>
      </c>
      <c r="DG35" s="51">
        <v>450.8</v>
      </c>
      <c r="DH35" s="51">
        <v>242.5</v>
      </c>
      <c r="DI35" s="49">
        <f t="shared" si="8"/>
        <v>128.5</v>
      </c>
      <c r="DJ35" s="49">
        <f t="shared" si="9"/>
        <v>150.4</v>
      </c>
      <c r="DK35" s="49">
        <f t="shared" si="10"/>
        <v>0</v>
      </c>
      <c r="DL35" s="49">
        <f t="shared" si="11"/>
        <v>0</v>
      </c>
      <c r="DM35" s="49"/>
      <c r="DN35" s="49"/>
      <c r="DO35" s="49"/>
      <c r="DP35" s="49"/>
      <c r="DQ35" s="49"/>
      <c r="DR35" s="49"/>
      <c r="DS35" s="49"/>
    </row>
    <row r="36" spans="2:123" x14ac:dyDescent="0.15">
      <c r="B36" s="38" t="s">
        <v>511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>
        <v>0.6</v>
      </c>
      <c r="BC36" s="51">
        <v>1.7</v>
      </c>
      <c r="BD36" s="51">
        <v>4</v>
      </c>
      <c r="BE36" s="51">
        <v>5.3</v>
      </c>
      <c r="BF36" s="51">
        <v>3.8</v>
      </c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49"/>
      <c r="CN36" s="49"/>
      <c r="CO36" s="49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49"/>
      <c r="DJ36" s="49"/>
      <c r="DK36" s="49"/>
      <c r="DL36" s="49"/>
      <c r="DM36" s="49"/>
      <c r="DN36" s="49"/>
      <c r="DO36" s="49"/>
      <c r="DP36" s="49"/>
      <c r="DQ36" s="49"/>
      <c r="DR36" s="49"/>
      <c r="DS36" s="49"/>
    </row>
    <row r="37" spans="2:123" x14ac:dyDescent="0.15">
      <c r="B37" s="38" t="s">
        <v>510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>
        <v>11.9</v>
      </c>
      <c r="BG37" s="51">
        <v>42.1</v>
      </c>
      <c r="BH37" s="51">
        <v>47.4</v>
      </c>
      <c r="BI37" s="51">
        <v>54.5</v>
      </c>
      <c r="BJ37" s="51">
        <v>59</v>
      </c>
      <c r="BK37" s="51">
        <v>64.400000000000006</v>
      </c>
      <c r="BL37" s="51">
        <v>79.900000000000006</v>
      </c>
      <c r="BM37" s="51">
        <v>76.900000000000006</v>
      </c>
      <c r="BN37" s="51">
        <v>83.5</v>
      </c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49"/>
      <c r="CN37" s="49"/>
      <c r="CO37" s="49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49"/>
      <c r="DJ37" s="49"/>
      <c r="DK37" s="49"/>
      <c r="DL37" s="49"/>
      <c r="DM37" s="49"/>
      <c r="DN37" s="49"/>
      <c r="DO37" s="49"/>
      <c r="DP37" s="49"/>
      <c r="DQ37" s="49"/>
      <c r="DR37" s="49"/>
      <c r="DS37" s="49"/>
    </row>
    <row r="38" spans="2:123" x14ac:dyDescent="0.15">
      <c r="B38" t="s">
        <v>79</v>
      </c>
      <c r="C38" s="51"/>
      <c r="D38" s="51"/>
      <c r="E38" s="51"/>
      <c r="F38" s="51"/>
      <c r="G38" s="51"/>
      <c r="H38" s="51"/>
      <c r="I38" s="51"/>
      <c r="J38" s="51">
        <v>251.4</v>
      </c>
      <c r="K38" s="51">
        <f>O38/1.01</f>
        <v>196.33663366336634</v>
      </c>
      <c r="L38" s="51">
        <v>201</v>
      </c>
      <c r="M38" s="51">
        <v>216</v>
      </c>
      <c r="N38" s="51">
        <v>251.4</v>
      </c>
      <c r="O38" s="51">
        <v>198.3</v>
      </c>
      <c r="P38" s="51">
        <v>201</v>
      </c>
      <c r="Q38" s="51">
        <v>216</v>
      </c>
      <c r="R38" s="51">
        <v>236.6</v>
      </c>
      <c r="S38" s="51">
        <v>210</v>
      </c>
      <c r="T38" s="51">
        <v>214.7</v>
      </c>
      <c r="U38" s="51">
        <v>236.8</v>
      </c>
      <c r="V38" s="51">
        <v>329.4</v>
      </c>
      <c r="W38" s="51"/>
      <c r="X38" s="51">
        <v>254.5</v>
      </c>
      <c r="Y38" s="51">
        <v>277.10000000000002</v>
      </c>
      <c r="Z38" s="51">
        <v>326.39999999999998</v>
      </c>
      <c r="AA38" s="51">
        <v>264.10000000000002</v>
      </c>
      <c r="AB38" s="51">
        <v>275.39999999999998</v>
      </c>
      <c r="AC38" s="51">
        <v>314.60000000000002</v>
      </c>
      <c r="AD38" s="51">
        <v>353.1</v>
      </c>
      <c r="AE38" s="51">
        <v>289.60000000000002</v>
      </c>
      <c r="AF38" s="51">
        <v>324.2</v>
      </c>
      <c r="AG38" s="51">
        <v>353.2</v>
      </c>
      <c r="AH38" s="51">
        <v>424.3</v>
      </c>
      <c r="AI38" s="51">
        <v>369.8</v>
      </c>
      <c r="AJ38" s="51">
        <v>389.5</v>
      </c>
      <c r="AK38" s="51">
        <v>451</v>
      </c>
      <c r="AL38" s="51">
        <v>468.2</v>
      </c>
      <c r="AM38" s="51">
        <v>490.7</v>
      </c>
      <c r="AN38" s="51">
        <v>512.20000000000005</v>
      </c>
      <c r="AO38" s="51">
        <v>479.4</v>
      </c>
      <c r="AP38" s="51">
        <v>554.1</v>
      </c>
      <c r="AQ38" s="51">
        <v>499.1</v>
      </c>
      <c r="AR38" s="51">
        <v>543.5</v>
      </c>
      <c r="AS38" s="51">
        <v>530.29999999999995</v>
      </c>
      <c r="AT38" s="51">
        <v>578.4</v>
      </c>
      <c r="AU38" s="51">
        <v>527.4</v>
      </c>
      <c r="AV38" s="51">
        <v>601.20000000000005</v>
      </c>
      <c r="AW38" s="51">
        <v>584.70000000000005</v>
      </c>
      <c r="AX38" s="51">
        <v>633.29999999999995</v>
      </c>
      <c r="AY38" s="51">
        <v>749.8</v>
      </c>
      <c r="AZ38" s="51">
        <v>840.8</v>
      </c>
      <c r="BA38" s="51">
        <v>778.8</v>
      </c>
      <c r="BB38" s="51">
        <v>811.7</v>
      </c>
      <c r="BC38" s="51">
        <v>754.6</v>
      </c>
      <c r="BD38" s="51">
        <v>859.8</v>
      </c>
      <c r="BE38" s="51">
        <v>706.2</v>
      </c>
      <c r="BF38" s="51">
        <v>837.6</v>
      </c>
      <c r="BG38" s="51">
        <v>769.4</v>
      </c>
      <c r="BH38" s="51">
        <v>784.8</v>
      </c>
      <c r="BI38" s="51">
        <v>740.6</v>
      </c>
      <c r="BJ38" s="51">
        <v>790.9</v>
      </c>
      <c r="BK38" s="51">
        <v>761.3</v>
      </c>
      <c r="BL38" s="51">
        <v>792.1</v>
      </c>
      <c r="BM38" s="51">
        <v>772.7</v>
      </c>
      <c r="BN38" s="51">
        <v>816.5</v>
      </c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49"/>
      <c r="CN38" s="49"/>
      <c r="CO38" s="49"/>
      <c r="CP38" s="51"/>
      <c r="CQ38" s="51">
        <v>693</v>
      </c>
      <c r="CR38" s="51">
        <v>727</v>
      </c>
      <c r="CS38" s="51">
        <v>798</v>
      </c>
      <c r="CT38" s="51">
        <v>864</v>
      </c>
      <c r="CU38" s="51">
        <v>882</v>
      </c>
      <c r="CV38" s="51">
        <f>CU38*1.05</f>
        <v>926.1</v>
      </c>
      <c r="CW38" s="51">
        <f t="shared" si="16"/>
        <v>858</v>
      </c>
      <c r="CX38" s="51">
        <f t="shared" si="17"/>
        <v>1207.2</v>
      </c>
      <c r="CY38" s="51">
        <f t="shared" si="18"/>
        <v>1391.3</v>
      </c>
      <c r="CZ38" s="51">
        <f t="shared" si="19"/>
        <v>1678.5</v>
      </c>
      <c r="DA38" s="51">
        <f t="shared" ref="DA38:DA42" si="46">SUM(AM38:AP38)</f>
        <v>2036.4</v>
      </c>
      <c r="DB38" s="51">
        <v>2151.5</v>
      </c>
      <c r="DC38" s="51">
        <v>2346.6</v>
      </c>
      <c r="DD38" s="51">
        <v>3181</v>
      </c>
      <c r="DE38" s="51">
        <v>3158.2</v>
      </c>
      <c r="DF38" s="51"/>
      <c r="DG38" s="51"/>
      <c r="DH38" s="51"/>
      <c r="DI38" s="49"/>
      <c r="DJ38" s="49"/>
      <c r="DK38" s="49"/>
      <c r="DL38" s="49"/>
    </row>
    <row r="39" spans="2:123" s="38" customFormat="1" x14ac:dyDescent="0.15">
      <c r="B39" s="38" t="s">
        <v>261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>
        <v>22.6</v>
      </c>
      <c r="AD39" s="52">
        <v>4</v>
      </c>
      <c r="AE39" s="52">
        <v>8.8000000000000007</v>
      </c>
      <c r="AF39" s="52">
        <v>22.9</v>
      </c>
      <c r="AG39" s="52">
        <v>36.299999999999997</v>
      </c>
      <c r="AH39" s="52">
        <v>47</v>
      </c>
      <c r="AI39" s="52">
        <v>56.3</v>
      </c>
      <c r="AJ39" s="52">
        <v>71.7</v>
      </c>
      <c r="AK39" s="52">
        <v>83.5</v>
      </c>
      <c r="AL39" s="52">
        <v>90.9</v>
      </c>
      <c r="AM39" s="52">
        <v>115.8</v>
      </c>
      <c r="AN39" s="52">
        <v>111</v>
      </c>
      <c r="AO39" s="52">
        <v>109.7</v>
      </c>
      <c r="AP39" s="52">
        <v>120.6</v>
      </c>
      <c r="AQ39" s="52">
        <v>115.9</v>
      </c>
      <c r="AR39" s="52">
        <v>137.4</v>
      </c>
      <c r="AS39" s="52">
        <v>124.9</v>
      </c>
      <c r="AT39" s="52">
        <v>130.6</v>
      </c>
      <c r="AU39" s="52">
        <v>119.3</v>
      </c>
      <c r="AV39" s="52">
        <v>133.6</v>
      </c>
      <c r="AW39" s="52">
        <v>131.5</v>
      </c>
      <c r="AX39" s="52">
        <v>137.80000000000001</v>
      </c>
      <c r="AY39" s="52">
        <v>121.8</v>
      </c>
      <c r="AZ39" s="52">
        <v>128.80000000000001</v>
      </c>
      <c r="BA39" s="52">
        <v>132.1</v>
      </c>
      <c r="BB39" s="52">
        <v>140.30000000000001</v>
      </c>
      <c r="BC39" s="52">
        <v>131.5</v>
      </c>
      <c r="BD39" s="52">
        <v>135.1</v>
      </c>
      <c r="BE39" s="52">
        <v>127.7</v>
      </c>
      <c r="BF39" s="52">
        <v>140.9</v>
      </c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0"/>
      <c r="CN39" s="50"/>
      <c r="CO39" s="50"/>
      <c r="CP39" s="52"/>
      <c r="CQ39" s="52"/>
      <c r="CR39" s="52"/>
      <c r="CS39" s="52"/>
      <c r="CT39" s="52"/>
      <c r="CU39" s="52"/>
      <c r="CV39" s="52"/>
      <c r="CW39" s="52"/>
      <c r="CX39" s="52">
        <f>SUM(AA39:AD39)</f>
        <v>26.6</v>
      </c>
      <c r="CY39" s="52">
        <f>SUM(AE39:AH39)</f>
        <v>115</v>
      </c>
      <c r="CZ39" s="51">
        <f t="shared" si="19"/>
        <v>302.39999999999998</v>
      </c>
      <c r="DA39" s="51">
        <f t="shared" si="46"/>
        <v>457.1</v>
      </c>
      <c r="DB39" s="52">
        <v>508.7</v>
      </c>
      <c r="DC39" s="52">
        <v>522.20000000000005</v>
      </c>
      <c r="DD39" s="52">
        <v>523</v>
      </c>
      <c r="DE39" s="52">
        <v>535.20000000000005</v>
      </c>
      <c r="DF39" s="52"/>
      <c r="DG39" s="52"/>
      <c r="DH39" s="52"/>
      <c r="DI39" s="49"/>
      <c r="DJ39" s="49"/>
      <c r="DK39" s="49"/>
      <c r="DL39" s="49"/>
    </row>
    <row r="40" spans="2:123" x14ac:dyDescent="0.15">
      <c r="B40" t="s">
        <v>55</v>
      </c>
      <c r="C40" s="51">
        <v>233.9</v>
      </c>
      <c r="D40" s="51">
        <v>254.6</v>
      </c>
      <c r="E40" s="51">
        <v>250.6</v>
      </c>
      <c r="F40" s="51">
        <v>282.60000000000002</v>
      </c>
      <c r="G40" s="51">
        <v>279</v>
      </c>
      <c r="H40" s="51">
        <v>293.3</v>
      </c>
      <c r="I40" s="51">
        <v>312.7</v>
      </c>
      <c r="J40" s="51">
        <v>329.5</v>
      </c>
      <c r="K40" s="51">
        <v>304.60000000000002</v>
      </c>
      <c r="L40" s="51">
        <v>343</v>
      </c>
      <c r="M40" s="51">
        <v>334.3</v>
      </c>
      <c r="N40" s="51">
        <v>352.6</v>
      </c>
      <c r="O40" s="51">
        <v>339</v>
      </c>
      <c r="P40" s="51">
        <v>344</v>
      </c>
      <c r="Q40" s="51">
        <v>355</v>
      </c>
      <c r="R40" s="51">
        <v>371.3</v>
      </c>
      <c r="S40" s="51">
        <v>376.9</v>
      </c>
      <c r="T40" s="51">
        <v>395.6</v>
      </c>
      <c r="U40" s="51">
        <v>394.4</v>
      </c>
      <c r="V40" s="51">
        <v>425.5</v>
      </c>
      <c r="W40" s="51">
        <v>426.2</v>
      </c>
      <c r="X40" s="51">
        <v>440.1</v>
      </c>
      <c r="Y40" s="51">
        <v>440.2</v>
      </c>
      <c r="Z40" s="51">
        <v>413.3</v>
      </c>
      <c r="AA40" s="51">
        <v>367.8</v>
      </c>
      <c r="AB40" s="51">
        <v>353.2</v>
      </c>
      <c r="AC40" s="51">
        <v>331.8</v>
      </c>
      <c r="AD40" s="51">
        <v>310.5</v>
      </c>
      <c r="AE40" s="51">
        <v>287.8</v>
      </c>
      <c r="AF40" s="51">
        <v>293.39999999999998</v>
      </c>
      <c r="AG40" s="51">
        <v>324.60000000000002</v>
      </c>
      <c r="AH40" s="51">
        <v>243.6</v>
      </c>
      <c r="AI40" s="51">
        <v>156.1</v>
      </c>
      <c r="AJ40" s="51">
        <v>112.4</v>
      </c>
      <c r="AK40" s="51">
        <v>91</v>
      </c>
      <c r="AL40" s="51">
        <v>92.6</v>
      </c>
      <c r="AM40" s="51">
        <v>0</v>
      </c>
      <c r="AN40" s="51">
        <v>0</v>
      </c>
      <c r="AO40" s="51">
        <v>0</v>
      </c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49"/>
      <c r="CN40" s="49"/>
      <c r="CO40" s="49"/>
      <c r="CP40" s="51"/>
      <c r="CQ40" s="51">
        <v>875</v>
      </c>
      <c r="CR40" s="51">
        <v>1022</v>
      </c>
      <c r="CS40" s="51">
        <v>1214</v>
      </c>
      <c r="CT40" s="51">
        <v>1335</v>
      </c>
      <c r="CU40" s="51">
        <f>SUM(O40:R40)</f>
        <v>1409.3</v>
      </c>
      <c r="CV40" s="51">
        <f>SUM(S40:V40)</f>
        <v>1592.4</v>
      </c>
      <c r="CW40" s="51">
        <f>SUM(W40:Z40)</f>
        <v>1719.8</v>
      </c>
      <c r="CX40" s="51">
        <f>SUM(AA40:AD40)</f>
        <v>1363.3</v>
      </c>
      <c r="CY40" s="51">
        <f>SUM(AE40:AH40)</f>
        <v>1149.4000000000001</v>
      </c>
      <c r="CZ40" s="51">
        <f>SUM(AI40:AL40)</f>
        <v>452.1</v>
      </c>
      <c r="DA40" s="51">
        <f t="shared" si="46"/>
        <v>0</v>
      </c>
      <c r="DB40" s="51"/>
      <c r="DC40" s="51"/>
      <c r="DD40" s="51"/>
      <c r="DE40" s="51"/>
      <c r="DF40" s="51"/>
      <c r="DG40" s="53"/>
      <c r="DH40" s="53"/>
      <c r="DI40" s="49"/>
      <c r="DJ40" s="49"/>
      <c r="DK40" s="49"/>
      <c r="DL40" s="49"/>
    </row>
    <row r="41" spans="2:123" x14ac:dyDescent="0.15">
      <c r="B41" s="38" t="s">
        <v>41</v>
      </c>
      <c r="C41" s="51"/>
      <c r="D41" s="51"/>
      <c r="E41" s="51"/>
      <c r="F41" s="51"/>
      <c r="G41" s="51"/>
      <c r="H41" s="51"/>
      <c r="I41" s="51">
        <v>13.5</v>
      </c>
      <c r="J41" s="51">
        <v>15.2</v>
      </c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49"/>
      <c r="CN41" s="49"/>
      <c r="CO41" s="49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3"/>
      <c r="DH41" s="53"/>
      <c r="DI41" s="49"/>
      <c r="DJ41" s="49"/>
      <c r="DK41" s="49"/>
      <c r="DL41" s="49"/>
    </row>
    <row r="42" spans="2:123" x14ac:dyDescent="0.15">
      <c r="B42" t="s">
        <v>70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>
        <v>25.7</v>
      </c>
      <c r="O42" s="51">
        <v>36</v>
      </c>
      <c r="P42" s="51">
        <v>52</v>
      </c>
      <c r="Q42" s="51">
        <v>62</v>
      </c>
      <c r="R42" s="51">
        <f>V42/1.34</f>
        <v>68.731343283582078</v>
      </c>
      <c r="S42" s="51">
        <v>72</v>
      </c>
      <c r="T42" s="51">
        <v>152.1</v>
      </c>
      <c r="U42" s="51">
        <v>87.1</v>
      </c>
      <c r="V42" s="51">
        <v>92.1</v>
      </c>
      <c r="W42" s="51">
        <v>82.7</v>
      </c>
      <c r="X42" s="51">
        <v>101.2</v>
      </c>
      <c r="Y42" s="51">
        <v>109.2</v>
      </c>
      <c r="Z42" s="51">
        <v>103</v>
      </c>
      <c r="AA42" s="51">
        <v>97.5</v>
      </c>
      <c r="AB42" s="51">
        <v>114.6</v>
      </c>
      <c r="AC42" s="51">
        <v>115.8</v>
      </c>
      <c r="AD42" s="51">
        <v>120.5</v>
      </c>
      <c r="AE42" s="51">
        <v>115.7</v>
      </c>
      <c r="AF42" s="51">
        <v>106.9</v>
      </c>
      <c r="AG42" s="51">
        <v>102.7</v>
      </c>
      <c r="AH42" s="51">
        <v>105.3</v>
      </c>
      <c r="AI42" s="51">
        <v>101.8</v>
      </c>
      <c r="AJ42" s="51">
        <v>103.9</v>
      </c>
      <c r="AK42" s="51">
        <v>106.7</v>
      </c>
      <c r="AL42" s="51">
        <v>110.3</v>
      </c>
      <c r="AM42" s="51">
        <v>0</v>
      </c>
      <c r="AN42" s="51">
        <v>0</v>
      </c>
      <c r="AO42" s="51">
        <v>0</v>
      </c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49"/>
      <c r="CN42" s="49"/>
      <c r="CO42" s="49"/>
      <c r="CP42" s="51"/>
      <c r="CQ42" s="51"/>
      <c r="CR42" s="51"/>
      <c r="CS42" s="51"/>
      <c r="CT42" s="51">
        <v>36</v>
      </c>
      <c r="CU42" s="51">
        <v>193</v>
      </c>
      <c r="CV42" s="51">
        <f>CU42*1.75</f>
        <v>337.75</v>
      </c>
      <c r="CW42" s="51">
        <f>SUM(W42:Z42)</f>
        <v>396.1</v>
      </c>
      <c r="CX42" s="51">
        <f>SUM(AA42:AD42)</f>
        <v>448.4</v>
      </c>
      <c r="CY42" s="51">
        <f>SUM(AE42:AH42)</f>
        <v>430.6</v>
      </c>
      <c r="CZ42" s="51">
        <f>SUM(AI42:AL42)</f>
        <v>422.7</v>
      </c>
      <c r="DA42" s="51">
        <f t="shared" si="46"/>
        <v>0</v>
      </c>
      <c r="DB42" s="51"/>
      <c r="DC42" s="51"/>
      <c r="DD42" s="51"/>
      <c r="DE42" s="51"/>
      <c r="DF42" s="51"/>
      <c r="DG42" s="53"/>
      <c r="DH42" s="53"/>
      <c r="DI42" s="49"/>
      <c r="DJ42" s="49"/>
      <c r="DK42" s="49"/>
      <c r="DL42" s="49"/>
    </row>
    <row r="43" spans="2:123" x14ac:dyDescent="0.15">
      <c r="B43" t="s">
        <v>61</v>
      </c>
      <c r="C43" s="51">
        <v>149.9</v>
      </c>
      <c r="D43" s="51">
        <v>175</v>
      </c>
      <c r="E43" s="51">
        <v>154.19999999999999</v>
      </c>
      <c r="F43" s="51">
        <f>645.1-E43-D43-C43</f>
        <v>166.00000000000003</v>
      </c>
      <c r="G43" s="51">
        <v>165</v>
      </c>
      <c r="H43" s="51">
        <v>129.80000000000001</v>
      </c>
      <c r="I43" s="51">
        <v>141</v>
      </c>
      <c r="J43" s="51">
        <v>123.1</v>
      </c>
      <c r="K43" s="51">
        <v>112.5</v>
      </c>
      <c r="L43" s="51">
        <v>114.2</v>
      </c>
      <c r="M43" s="51">
        <v>102.6</v>
      </c>
      <c r="N43" s="51">
        <v>114.4</v>
      </c>
      <c r="O43" s="51"/>
      <c r="P43" s="51"/>
      <c r="Q43" s="51">
        <v>78</v>
      </c>
      <c r="R43" s="51"/>
      <c r="S43" s="51">
        <f>Q43</f>
        <v>78</v>
      </c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49"/>
      <c r="CN43" s="49"/>
      <c r="CO43" s="49"/>
      <c r="CP43" s="51"/>
      <c r="CQ43" s="51">
        <v>656</v>
      </c>
      <c r="CR43" s="51">
        <v>645</v>
      </c>
      <c r="CS43" s="51">
        <v>559</v>
      </c>
      <c r="CT43" s="51">
        <v>454</v>
      </c>
      <c r="CU43" s="51">
        <v>327</v>
      </c>
      <c r="CV43" s="51">
        <f>CU43*0.95</f>
        <v>310.64999999999998</v>
      </c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3"/>
      <c r="DH43" s="53"/>
      <c r="DI43" s="49"/>
      <c r="DJ43" s="49"/>
      <c r="DK43" s="49"/>
      <c r="DL43" s="49"/>
    </row>
    <row r="44" spans="2:123" x14ac:dyDescent="0.15">
      <c r="B44" t="s">
        <v>63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49"/>
      <c r="CN44" s="49"/>
      <c r="CO44" s="49"/>
      <c r="CP44" s="51"/>
      <c r="CQ44" s="51">
        <v>198</v>
      </c>
      <c r="CR44" s="51">
        <v>171</v>
      </c>
      <c r="CS44" s="51">
        <v>138</v>
      </c>
      <c r="CT44" s="51">
        <v>118</v>
      </c>
      <c r="CU44" s="51">
        <v>90</v>
      </c>
      <c r="CV44" s="51">
        <f>CU44*0.9</f>
        <v>81</v>
      </c>
      <c r="CW44" s="51">
        <f>CV44*0.9</f>
        <v>72.900000000000006</v>
      </c>
      <c r="CX44" s="51"/>
      <c r="CY44" s="51"/>
      <c r="CZ44" s="51"/>
      <c r="DA44" s="51"/>
      <c r="DB44" s="51"/>
      <c r="DC44" s="51"/>
      <c r="DD44" s="51"/>
      <c r="DE44" s="51"/>
      <c r="DF44" s="51"/>
      <c r="DG44" s="53"/>
      <c r="DH44" s="53"/>
      <c r="DI44" s="49"/>
      <c r="DJ44" s="49"/>
      <c r="DK44" s="49"/>
      <c r="DL44" s="49"/>
    </row>
    <row r="45" spans="2:123" x14ac:dyDescent="0.15">
      <c r="B45" t="s">
        <v>64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49"/>
      <c r="CN45" s="49"/>
      <c r="CO45" s="49"/>
      <c r="CP45" s="51"/>
      <c r="CQ45" s="51">
        <v>38</v>
      </c>
      <c r="CR45" s="51">
        <v>32</v>
      </c>
      <c r="CS45" s="51">
        <v>55</v>
      </c>
      <c r="CT45" s="51">
        <v>28</v>
      </c>
      <c r="CU45" s="51">
        <v>17</v>
      </c>
      <c r="CV45" s="51">
        <v>16</v>
      </c>
      <c r="CW45" s="51">
        <v>16</v>
      </c>
      <c r="CX45" s="51"/>
      <c r="CY45" s="51"/>
      <c r="CZ45" s="51"/>
      <c r="DA45" s="51"/>
      <c r="DB45" s="51"/>
      <c r="DC45" s="51"/>
      <c r="DD45" s="51"/>
      <c r="DE45" s="51"/>
      <c r="DF45" s="51"/>
      <c r="DG45" s="53"/>
      <c r="DH45" s="53"/>
      <c r="DI45" s="49"/>
      <c r="DJ45" s="49"/>
      <c r="DK45" s="49"/>
      <c r="DL45" s="49"/>
    </row>
    <row r="46" spans="2:123" x14ac:dyDescent="0.15">
      <c r="B46" t="s">
        <v>65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49"/>
      <c r="CN46" s="49"/>
      <c r="CO46" s="49"/>
      <c r="CP46" s="51"/>
      <c r="CQ46" s="51">
        <v>75</v>
      </c>
      <c r="CR46" s="51">
        <v>52</v>
      </c>
      <c r="CS46" s="51">
        <v>46</v>
      </c>
      <c r="CT46" s="51">
        <v>34</v>
      </c>
      <c r="CU46" s="51">
        <v>32</v>
      </c>
      <c r="CV46" s="51">
        <f>CU46*0.8</f>
        <v>25.6</v>
      </c>
      <c r="CW46" s="51">
        <f>CV46*0.8</f>
        <v>20.480000000000004</v>
      </c>
      <c r="CX46" s="51"/>
      <c r="CY46" s="51"/>
      <c r="CZ46" s="51"/>
      <c r="DA46" s="51"/>
      <c r="DB46" s="51"/>
      <c r="DC46" s="51"/>
      <c r="DD46" s="51"/>
      <c r="DE46" s="51"/>
      <c r="DF46" s="51"/>
      <c r="DG46" s="53"/>
      <c r="DH46" s="53"/>
      <c r="DI46" s="49"/>
      <c r="DJ46" s="49"/>
      <c r="DK46" s="49"/>
      <c r="DL46" s="49"/>
    </row>
    <row r="47" spans="2:123" x14ac:dyDescent="0.15">
      <c r="B47" t="s">
        <v>66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>
        <v>25</v>
      </c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49"/>
      <c r="CN47" s="49"/>
      <c r="CO47" s="49"/>
      <c r="CP47" s="51"/>
      <c r="CQ47" s="51">
        <v>145</v>
      </c>
      <c r="CR47" s="51">
        <v>173</v>
      </c>
      <c r="CS47" s="51">
        <v>198</v>
      </c>
      <c r="CT47" s="51">
        <v>240</v>
      </c>
      <c r="CU47" s="51">
        <v>154</v>
      </c>
      <c r="CV47" s="51">
        <v>136</v>
      </c>
      <c r="CW47" s="51">
        <v>143</v>
      </c>
      <c r="CX47" s="51"/>
      <c r="CY47" s="51"/>
      <c r="CZ47" s="51"/>
      <c r="DA47" s="51"/>
      <c r="DB47" s="51"/>
      <c r="DC47" s="51"/>
      <c r="DD47" s="51"/>
      <c r="DE47" s="51"/>
      <c r="DF47" s="51"/>
      <c r="DG47" s="53"/>
      <c r="DH47" s="53"/>
      <c r="DI47" s="49"/>
      <c r="DJ47" s="49"/>
      <c r="DK47" s="49"/>
      <c r="DL47" s="49"/>
    </row>
    <row r="48" spans="2:123" x14ac:dyDescent="0.15">
      <c r="B48" t="s">
        <v>67</v>
      </c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49"/>
      <c r="CN48" s="49"/>
      <c r="CO48" s="49"/>
      <c r="CP48" s="51"/>
      <c r="CQ48" s="51">
        <v>122</v>
      </c>
      <c r="CR48" s="51">
        <v>63</v>
      </c>
      <c r="CS48" s="51">
        <v>44</v>
      </c>
      <c r="CT48" s="51">
        <v>25</v>
      </c>
      <c r="CU48" s="51">
        <v>31</v>
      </c>
      <c r="CV48" s="51">
        <f>CU48*0.9</f>
        <v>27.900000000000002</v>
      </c>
      <c r="CW48" s="51">
        <f>CV48*0.9</f>
        <v>25.110000000000003</v>
      </c>
      <c r="CX48" s="51">
        <f>CW48*0.9</f>
        <v>22.599000000000004</v>
      </c>
      <c r="CY48" s="51"/>
      <c r="CZ48" s="51"/>
      <c r="DA48" s="51"/>
      <c r="DB48" s="51"/>
      <c r="DC48" s="51"/>
      <c r="DD48" s="51"/>
      <c r="DE48" s="51"/>
      <c r="DF48" s="51"/>
      <c r="DG48" s="53"/>
      <c r="DH48" s="53"/>
      <c r="DI48" s="49"/>
      <c r="DJ48" s="49"/>
      <c r="DK48" s="49"/>
      <c r="DL48" s="49"/>
    </row>
    <row r="49" spans="2:123" x14ac:dyDescent="0.15">
      <c r="B49" t="s">
        <v>69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>
        <v>102</v>
      </c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>
        <v>88.7</v>
      </c>
      <c r="BT49" s="51">
        <v>46.2</v>
      </c>
      <c r="BU49" s="51">
        <v>50.7</v>
      </c>
      <c r="BV49" s="51">
        <v>110.8</v>
      </c>
      <c r="BW49" s="51">
        <v>64.900000000000006</v>
      </c>
      <c r="BX49" s="51">
        <v>22.4</v>
      </c>
      <c r="BY49" s="51">
        <v>50.2</v>
      </c>
      <c r="BZ49" s="51">
        <v>51.4</v>
      </c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49"/>
      <c r="CN49" s="49"/>
      <c r="CO49" s="49"/>
      <c r="CP49" s="51"/>
      <c r="CQ49" s="51">
        <v>329</v>
      </c>
      <c r="CR49" s="51">
        <v>371</v>
      </c>
      <c r="CS49" s="51">
        <v>430</v>
      </c>
      <c r="CT49" s="51">
        <v>414</v>
      </c>
      <c r="CU49" s="51">
        <v>413</v>
      </c>
      <c r="CV49" s="51">
        <f>CU49*1.05</f>
        <v>433.65000000000003</v>
      </c>
      <c r="CW49" s="51">
        <f>CV49*1.05</f>
        <v>455.33250000000004</v>
      </c>
      <c r="CX49" s="51">
        <f>CW49*1.05</f>
        <v>478.09912500000007</v>
      </c>
      <c r="CY49" s="51"/>
      <c r="CZ49" s="51"/>
      <c r="DA49" s="51"/>
      <c r="DB49" s="51"/>
      <c r="DC49" s="51"/>
      <c r="DD49" s="51"/>
      <c r="DE49" s="51"/>
      <c r="DF49" s="51"/>
      <c r="DG49" s="53"/>
      <c r="DH49" s="53"/>
      <c r="DI49" s="49">
        <f t="shared" ref="DI49" si="47">SUM(BS49:BV49)</f>
        <v>296.40000000000003</v>
      </c>
      <c r="DJ49" s="49">
        <f t="shared" ref="DJ49" si="48">SUM(BW49:BZ49)</f>
        <v>188.9</v>
      </c>
      <c r="DK49" s="49">
        <f t="shared" ref="DK49" si="49">SUM(CA49:CD49)</f>
        <v>0</v>
      </c>
      <c r="DL49" s="49">
        <f t="shared" ref="DL49" si="50">SUM(CE49:CH49)</f>
        <v>0</v>
      </c>
    </row>
    <row r="50" spans="2:123" x14ac:dyDescent="0.15">
      <c r="B50" t="s">
        <v>71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49"/>
      <c r="CN50" s="49"/>
      <c r="CO50" s="49"/>
      <c r="CP50" s="51"/>
      <c r="CQ50" s="51">
        <v>46</v>
      </c>
      <c r="CR50" s="51">
        <v>43</v>
      </c>
      <c r="CS50" s="51">
        <v>34</v>
      </c>
      <c r="CT50" s="51">
        <v>52</v>
      </c>
      <c r="CU50" s="51">
        <v>34</v>
      </c>
      <c r="CV50" s="51">
        <v>34</v>
      </c>
      <c r="CW50" s="51">
        <v>35</v>
      </c>
      <c r="CX50" s="51"/>
      <c r="CY50" s="51"/>
      <c r="CZ50" s="51"/>
      <c r="DA50" s="51"/>
      <c r="DB50" s="51"/>
      <c r="DC50" s="51"/>
      <c r="DD50" s="51"/>
      <c r="DE50" s="51"/>
      <c r="DF50" s="51"/>
      <c r="DG50" s="53"/>
      <c r="DH50" s="53"/>
      <c r="DI50" s="49"/>
      <c r="DJ50" s="49"/>
      <c r="DK50" s="49"/>
      <c r="DL50" s="49"/>
    </row>
    <row r="51" spans="2:123" x14ac:dyDescent="0.15">
      <c r="B51" t="s">
        <v>72</v>
      </c>
      <c r="C51" s="51">
        <v>93.1</v>
      </c>
      <c r="D51" s="51">
        <v>94.5</v>
      </c>
      <c r="E51" s="51">
        <v>88.2</v>
      </c>
      <c r="F51" s="51">
        <f>364.4-E51-D51-C51</f>
        <v>88.6</v>
      </c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>
        <v>67</v>
      </c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49"/>
      <c r="CN51" s="49"/>
      <c r="CO51" s="49"/>
      <c r="CP51" s="51"/>
      <c r="CQ51" s="51">
        <v>384</v>
      </c>
      <c r="CR51" s="51">
        <v>364</v>
      </c>
      <c r="CS51" s="51">
        <v>363</v>
      </c>
      <c r="CT51" s="51">
        <v>297</v>
      </c>
      <c r="CU51" s="51">
        <v>296</v>
      </c>
      <c r="CV51" s="51">
        <f>CU51*0.95</f>
        <v>281.2</v>
      </c>
      <c r="CW51" s="51">
        <f>CV51*0.95</f>
        <v>267.14</v>
      </c>
      <c r="CX51" s="51">
        <f>CW51*0.95</f>
        <v>253.78299999999999</v>
      </c>
      <c r="CY51" s="51"/>
      <c r="CZ51" s="51"/>
      <c r="DA51" s="51"/>
      <c r="DB51" s="51"/>
      <c r="DC51" s="51"/>
      <c r="DD51" s="51"/>
      <c r="DE51" s="51"/>
      <c r="DF51" s="51"/>
      <c r="DG51" s="53"/>
      <c r="DH51" s="53"/>
      <c r="DI51" s="49"/>
      <c r="DJ51" s="49"/>
      <c r="DK51" s="49"/>
      <c r="DL51" s="49"/>
    </row>
    <row r="52" spans="2:123" x14ac:dyDescent="0.15">
      <c r="B52" t="s">
        <v>73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49"/>
      <c r="CN52" s="49"/>
      <c r="CO52" s="49"/>
      <c r="CP52" s="51"/>
      <c r="CQ52" s="51">
        <v>60</v>
      </c>
      <c r="CR52" s="51">
        <v>70</v>
      </c>
      <c r="CS52" s="51">
        <v>42</v>
      </c>
      <c r="CT52" s="51">
        <v>34</v>
      </c>
      <c r="CU52" s="51">
        <v>23</v>
      </c>
      <c r="CV52" s="51">
        <v>22</v>
      </c>
      <c r="CW52" s="51">
        <v>22</v>
      </c>
      <c r="CX52" s="51">
        <v>22</v>
      </c>
      <c r="CY52" s="51"/>
      <c r="CZ52" s="51"/>
      <c r="DA52" s="51"/>
      <c r="DB52" s="51"/>
      <c r="DC52" s="51"/>
      <c r="DD52" s="51"/>
      <c r="DE52" s="51"/>
      <c r="DF52" s="51"/>
      <c r="DG52" s="53"/>
      <c r="DH52" s="53"/>
      <c r="DI52" s="49"/>
      <c r="DJ52" s="49"/>
      <c r="DK52" s="49"/>
      <c r="DL52" s="49"/>
    </row>
    <row r="53" spans="2:123" x14ac:dyDescent="0.15">
      <c r="B53" t="s">
        <v>68</v>
      </c>
      <c r="C53" s="51">
        <v>133.19999999999999</v>
      </c>
      <c r="D53" s="51">
        <v>116.3</v>
      </c>
      <c r="E53" s="51">
        <v>67.099999999999994</v>
      </c>
      <c r="F53" s="51">
        <f>431.2-E53-D53-C53</f>
        <v>114.60000000000002</v>
      </c>
      <c r="G53" s="51">
        <v>153.30000000000001</v>
      </c>
      <c r="H53" s="51">
        <v>112.4</v>
      </c>
      <c r="I53" s="51">
        <v>58.3</v>
      </c>
      <c r="J53" s="51">
        <v>128.9</v>
      </c>
      <c r="K53" s="51">
        <v>168.7</v>
      </c>
      <c r="L53" s="51">
        <v>105</v>
      </c>
      <c r="M53" s="51">
        <f>Q53/1.2</f>
        <v>64.166666666666671</v>
      </c>
      <c r="N53" s="51">
        <v>155</v>
      </c>
      <c r="O53" s="51">
        <v>189</v>
      </c>
      <c r="P53" s="51">
        <v>93</v>
      </c>
      <c r="Q53" s="51">
        <v>77</v>
      </c>
      <c r="R53" s="51">
        <f>V53/1.04</f>
        <v>89.615384615384613</v>
      </c>
      <c r="S53" s="51"/>
      <c r="T53" s="51"/>
      <c r="U53" s="51">
        <v>97.8</v>
      </c>
      <c r="V53" s="51">
        <v>93.2</v>
      </c>
      <c r="W53" s="51">
        <v>84.1</v>
      </c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49"/>
      <c r="CN53" s="49"/>
      <c r="CO53" s="49"/>
      <c r="CP53" s="51"/>
      <c r="CQ53" s="51">
        <v>391</v>
      </c>
      <c r="CR53" s="51">
        <v>430</v>
      </c>
      <c r="CS53" s="51">
        <v>453</v>
      </c>
      <c r="CT53" s="51">
        <v>493</v>
      </c>
      <c r="CU53" s="51">
        <v>428</v>
      </c>
      <c r="CV53" s="51">
        <f>SUM(S53:V53)</f>
        <v>191</v>
      </c>
      <c r="CW53" s="51">
        <f>SUM(W53:Z53)</f>
        <v>84.1</v>
      </c>
      <c r="CX53" s="51"/>
      <c r="CY53" s="51"/>
      <c r="CZ53" s="51"/>
      <c r="DA53" s="51"/>
      <c r="DB53" s="51"/>
      <c r="DC53" s="51"/>
      <c r="DD53" s="51"/>
      <c r="DE53" s="51"/>
      <c r="DF53" s="51"/>
      <c r="DG53" s="53"/>
      <c r="DH53" s="53"/>
      <c r="DI53" s="49"/>
      <c r="DJ53" s="49"/>
      <c r="DK53" s="49"/>
      <c r="DL53" s="49"/>
    </row>
    <row r="54" spans="2:123" x14ac:dyDescent="0.15">
      <c r="B54" t="s">
        <v>74</v>
      </c>
      <c r="C54" s="51">
        <v>35.9</v>
      </c>
      <c r="D54" s="51">
        <v>36.1</v>
      </c>
      <c r="E54" s="51">
        <v>37.799999999999997</v>
      </c>
      <c r="F54" s="51">
        <f>160.4-E54-D54-C54</f>
        <v>50.6</v>
      </c>
      <c r="G54" s="51"/>
      <c r="H54" s="51"/>
      <c r="I54" s="51"/>
      <c r="J54" s="51">
        <v>55.3</v>
      </c>
      <c r="K54" s="51">
        <v>59.5</v>
      </c>
      <c r="L54" s="51"/>
      <c r="M54" s="51">
        <v>45.5</v>
      </c>
      <c r="N54" s="51">
        <v>51.8</v>
      </c>
      <c r="O54" s="51">
        <v>50</v>
      </c>
      <c r="P54" s="51">
        <v>48</v>
      </c>
      <c r="Q54" s="51">
        <v>42</v>
      </c>
      <c r="R54" s="51"/>
      <c r="S54" s="51">
        <v>40</v>
      </c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49"/>
      <c r="CN54" s="49"/>
      <c r="CO54" s="49"/>
      <c r="CP54" s="51"/>
      <c r="CQ54" s="51">
        <v>98</v>
      </c>
      <c r="CR54" s="51">
        <v>161</v>
      </c>
      <c r="CS54" s="51">
        <v>202</v>
      </c>
      <c r="CT54" s="51">
        <v>215</v>
      </c>
      <c r="CU54" s="51">
        <v>212</v>
      </c>
      <c r="CV54" s="51">
        <f>CU54*0.8</f>
        <v>169.60000000000002</v>
      </c>
      <c r="CW54" s="51">
        <f>CV54*0.8</f>
        <v>135.68000000000004</v>
      </c>
      <c r="CX54" s="51">
        <f>CW54*0.8</f>
        <v>108.54400000000004</v>
      </c>
      <c r="CY54" s="51"/>
      <c r="CZ54" s="51"/>
      <c r="DA54" s="51"/>
      <c r="DB54" s="51"/>
      <c r="DC54" s="51"/>
      <c r="DD54" s="51"/>
      <c r="DE54" s="51"/>
      <c r="DF54" s="51"/>
      <c r="DG54" s="53"/>
      <c r="DH54" s="53"/>
      <c r="DI54" s="49"/>
      <c r="DJ54" s="49"/>
      <c r="DK54" s="49"/>
      <c r="DL54" s="49"/>
    </row>
    <row r="55" spans="2:123" x14ac:dyDescent="0.15">
      <c r="B55" t="s">
        <v>17</v>
      </c>
      <c r="C55" s="51">
        <v>214</v>
      </c>
      <c r="D55" s="51">
        <v>223.5</v>
      </c>
      <c r="E55" s="51">
        <v>240</v>
      </c>
      <c r="F55" s="51">
        <v>244.6</v>
      </c>
      <c r="G55" s="51">
        <v>232.8</v>
      </c>
      <c r="H55" s="51">
        <v>276.60000000000002</v>
      </c>
      <c r="I55" s="51">
        <v>246.1</v>
      </c>
      <c r="J55" s="51">
        <v>257.3</v>
      </c>
      <c r="K55" s="51">
        <v>248.9</v>
      </c>
      <c r="L55" s="51">
        <v>261.60000000000002</v>
      </c>
      <c r="M55" s="51">
        <v>260.3</v>
      </c>
      <c r="N55" s="51">
        <v>265.3</v>
      </c>
      <c r="O55" s="51">
        <v>242</v>
      </c>
      <c r="P55" s="51">
        <v>276</v>
      </c>
      <c r="Q55" s="51">
        <v>258</v>
      </c>
      <c r="R55" s="51">
        <v>270.3</v>
      </c>
      <c r="S55" s="51">
        <v>263.8</v>
      </c>
      <c r="T55" s="51">
        <v>278</v>
      </c>
      <c r="U55" s="51">
        <v>263.2</v>
      </c>
      <c r="V55" s="51">
        <v>285.8</v>
      </c>
      <c r="W55" s="51">
        <v>261.10000000000002</v>
      </c>
      <c r="X55" s="51">
        <v>279.8</v>
      </c>
      <c r="Y55" s="51">
        <v>265.7</v>
      </c>
      <c r="Z55" s="51">
        <v>269</v>
      </c>
      <c r="AA55" s="51">
        <v>256.89999999999998</v>
      </c>
      <c r="AB55" s="51">
        <v>251.3</v>
      </c>
      <c r="AC55" s="51">
        <v>259.5</v>
      </c>
      <c r="AD55" s="51">
        <v>262.7</v>
      </c>
      <c r="AE55" s="51">
        <v>241.6</v>
      </c>
      <c r="AF55" s="51">
        <v>259.5</v>
      </c>
      <c r="AG55" s="51">
        <v>256.8</v>
      </c>
      <c r="AH55" s="51">
        <v>266.5</v>
      </c>
      <c r="AI55" s="51">
        <v>266.10000000000002</v>
      </c>
      <c r="AJ55" s="51">
        <v>263.5</v>
      </c>
      <c r="AK55" s="51">
        <v>270.10000000000002</v>
      </c>
      <c r="AL55" s="51">
        <v>267.10000000000002</v>
      </c>
      <c r="AM55" s="51">
        <v>256.2</v>
      </c>
      <c r="AN55" s="51">
        <v>265.89999999999998</v>
      </c>
      <c r="AO55" s="51">
        <v>247</v>
      </c>
      <c r="AP55" s="51">
        <v>241</v>
      </c>
      <c r="AQ55" s="51">
        <v>240.6</v>
      </c>
      <c r="AR55" s="51">
        <v>278.7</v>
      </c>
      <c r="AS55" s="51">
        <v>255.3</v>
      </c>
      <c r="AT55" s="51">
        <v>275.89999999999998</v>
      </c>
      <c r="AU55" s="51">
        <v>150.1</v>
      </c>
      <c r="AV55" s="51">
        <v>108.3</v>
      </c>
      <c r="AW55" s="51">
        <v>89.5</v>
      </c>
      <c r="AX55" s="51">
        <v>72.099999999999994</v>
      </c>
      <c r="AY55" s="51">
        <v>66.8</v>
      </c>
      <c r="AZ55" s="51">
        <v>59.7</v>
      </c>
      <c r="BA55" s="51">
        <v>58</v>
      </c>
      <c r="BB55" s="51">
        <v>52.8</v>
      </c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49"/>
      <c r="CN55" s="49"/>
      <c r="CO55" s="49"/>
      <c r="CP55" s="51"/>
      <c r="CQ55" s="51">
        <v>822</v>
      </c>
      <c r="CR55" s="51">
        <v>922</v>
      </c>
      <c r="CS55" s="51">
        <v>1013</v>
      </c>
      <c r="CT55" s="51">
        <v>1036</v>
      </c>
      <c r="CU55" s="51">
        <f>SUM(O55:R55)</f>
        <v>1046.3</v>
      </c>
      <c r="CV55" s="51">
        <f>SUM(S55:V55)</f>
        <v>1090.8</v>
      </c>
      <c r="CW55" s="51">
        <f>SUM(W55:Z55)</f>
        <v>1075.6000000000001</v>
      </c>
      <c r="CX55" s="51">
        <f>SUM(AA55:AD55)</f>
        <v>1030.4000000000001</v>
      </c>
      <c r="CY55" s="51">
        <f>SUM(AE55:AH55)</f>
        <v>1024.4000000000001</v>
      </c>
      <c r="CZ55" s="51">
        <f>SUM(AI55:AL55)</f>
        <v>1066.8000000000002</v>
      </c>
      <c r="DA55" s="51">
        <f>SUM(AM55:AP55)</f>
        <v>1010.0999999999999</v>
      </c>
      <c r="DB55" s="51">
        <v>1050.4000000000001</v>
      </c>
      <c r="DC55" s="51">
        <v>419.8</v>
      </c>
      <c r="DD55" s="51">
        <v>237.3</v>
      </c>
      <c r="DE55" s="51"/>
      <c r="DF55" s="51"/>
      <c r="DG55" s="51"/>
      <c r="DH55" s="51"/>
      <c r="DI55" s="49"/>
      <c r="DJ55" s="49"/>
      <c r="DK55" s="49"/>
      <c r="DL55" s="49"/>
    </row>
    <row r="56" spans="2:123" x14ac:dyDescent="0.15">
      <c r="B56" s="38" t="s">
        <v>238</v>
      </c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49"/>
      <c r="CN56" s="49"/>
      <c r="CO56" s="49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3"/>
      <c r="DH56" s="53"/>
      <c r="DI56" s="49"/>
      <c r="DJ56" s="49"/>
      <c r="DK56" s="49"/>
      <c r="DL56" s="49"/>
    </row>
    <row r="57" spans="2:123" s="38" customFormat="1" x14ac:dyDescent="0.15">
      <c r="B57" s="38" t="s">
        <v>276</v>
      </c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0"/>
      <c r="CN57" s="50"/>
      <c r="CO57" s="50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2"/>
      <c r="DH57" s="52"/>
      <c r="DI57" s="49"/>
      <c r="DJ57" s="49"/>
      <c r="DK57" s="49"/>
      <c r="DL57" s="49"/>
    </row>
    <row r="58" spans="2:123" x14ac:dyDescent="0.15">
      <c r="B58" t="s">
        <v>80</v>
      </c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>
        <v>155.19999999999999</v>
      </c>
      <c r="AB58" s="51">
        <v>179.5</v>
      </c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>
        <f>5957.3-SUM(AP5:AP55)</f>
        <v>601.19999999999982</v>
      </c>
      <c r="AQ58" s="51">
        <f>5602-SUM(AQ5:AQ55)</f>
        <v>608.79999999999927</v>
      </c>
      <c r="AR58" s="51">
        <f>5929.7-SUM(AR5:AR55)</f>
        <v>569.60000000000036</v>
      </c>
      <c r="AS58" s="51">
        <f>5772.6-SUM(AS5:AS55)</f>
        <v>587.50000000000091</v>
      </c>
      <c r="AT58" s="51">
        <f>5808.8-SUM(AT5:AT55)</f>
        <v>613.70000000000073</v>
      </c>
      <c r="AU58" s="51">
        <f>4683.1-SUM(AU5:AU55)</f>
        <v>462.69999999999982</v>
      </c>
      <c r="AV58" s="51">
        <f>4935.6-SUM(AV5:AV55)</f>
        <v>505.49999999999909</v>
      </c>
      <c r="AW58" s="51">
        <f>4875.6-SUM(AW5:AW55)</f>
        <v>479.30000000000018</v>
      </c>
      <c r="AX58" s="51">
        <f>5121.3-SUM(AX5:AX55)</f>
        <v>387.39999999999964</v>
      </c>
      <c r="AY58" s="51">
        <f>4644.7-SUM(AY5:AY56)</f>
        <v>346.5</v>
      </c>
      <c r="AZ58" s="51">
        <f>4978.7-SUM(AZ5:AZ55)</f>
        <v>340.80000000000018</v>
      </c>
      <c r="BA58" s="51">
        <f>4959.7-SUM(BA5:BA55)</f>
        <v>365.19999999999891</v>
      </c>
      <c r="BB58" s="51">
        <f>5375.6-SUM(BB5:BB55)</f>
        <v>365.30000000000018</v>
      </c>
      <c r="BC58" s="51">
        <f>4865.1-SUM(BC5:BC39)</f>
        <v>463.70000000000073</v>
      </c>
      <c r="BD58" s="51">
        <f>5404.8-SUM(BD5:BD39)</f>
        <v>490.10000000000036</v>
      </c>
      <c r="BE58" s="51">
        <f>5191.7-SUM(BE5:BE39)</f>
        <v>492.09999999999945</v>
      </c>
      <c r="BF58" s="51">
        <f>5760.5-SUM(BF5:BF39)</f>
        <v>528.10000000000036</v>
      </c>
      <c r="BG58" s="51">
        <f>5228.3-SUM(BG5:BG38)</f>
        <v>474.60000000000036</v>
      </c>
      <c r="BH58" s="51">
        <f>5824.3-SUM(BH5:BH38)</f>
        <v>514.19999999999982</v>
      </c>
      <c r="BI58" s="51">
        <f>5658-SUM(BI5:BI38)</f>
        <v>403.29999999999927</v>
      </c>
      <c r="BJ58" s="51">
        <f>6160.7-SUM(BJ5:BJ38)</f>
        <v>420.99999999999909</v>
      </c>
      <c r="BK58" s="51">
        <f>5700-SUM(BK5:BK38)</f>
        <v>347.60000000000036</v>
      </c>
      <c r="BL58" s="51">
        <f>6355.2-SUM(BL5:BL38)</f>
        <v>436.00000000000091</v>
      </c>
      <c r="BM58" s="51">
        <f>6061.9-SUM(BM5:BM38)</f>
        <v>384.70000000000164</v>
      </c>
      <c r="BN58" s="51">
        <f>6438.6-SUM(BN5:BN38)</f>
        <v>331.80000000000018</v>
      </c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49"/>
      <c r="CN58" s="49"/>
      <c r="CO58" s="49"/>
      <c r="CP58" s="51"/>
      <c r="CQ58" s="51">
        <v>59</v>
      </c>
      <c r="CR58" s="51">
        <v>58</v>
      </c>
      <c r="CS58" s="51">
        <v>57</v>
      </c>
      <c r="CT58" s="51">
        <v>69</v>
      </c>
      <c r="CU58" s="51">
        <v>65</v>
      </c>
      <c r="CV58" s="51">
        <v>65</v>
      </c>
      <c r="CW58" s="51">
        <v>65</v>
      </c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49"/>
      <c r="DJ58" s="49"/>
      <c r="DK58" s="49"/>
      <c r="DL58" s="49"/>
    </row>
    <row r="59" spans="2:123" x14ac:dyDescent="0.15">
      <c r="B59" t="s">
        <v>76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49"/>
      <c r="CN59" s="49"/>
      <c r="CO59" s="49"/>
      <c r="CP59" s="51"/>
      <c r="CQ59" s="51">
        <v>35</v>
      </c>
      <c r="CR59" s="51">
        <v>32</v>
      </c>
      <c r="CS59" s="51">
        <v>19</v>
      </c>
      <c r="CT59" s="51">
        <v>12</v>
      </c>
      <c r="CU59" s="51">
        <v>14</v>
      </c>
      <c r="CV59" s="51">
        <v>10</v>
      </c>
      <c r="CW59" s="51">
        <v>10</v>
      </c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49"/>
      <c r="DJ59" s="49"/>
      <c r="DK59" s="49"/>
      <c r="DL59" s="49"/>
    </row>
    <row r="60" spans="2:123" x14ac:dyDescent="0.15">
      <c r="B60" s="38" t="s">
        <v>249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>
        <f>5210.5-SUM(Z9:Z59)</f>
        <v>481.80000000000018</v>
      </c>
      <c r="AA60" s="51">
        <f>4891.8-SUM(AA9:AA59)</f>
        <v>186.30000000000018</v>
      </c>
      <c r="AB60" s="51">
        <f>5113.5-SUM(AB9:AB59)</f>
        <v>71.599999999999454</v>
      </c>
      <c r="AC60" s="51">
        <f>5562-SUM(AC9:AC56)</f>
        <v>424.29999999999927</v>
      </c>
      <c r="AD60" s="51">
        <f>5934-SUM(AD9:AD56)</f>
        <v>449</v>
      </c>
      <c r="AE60" s="51">
        <f>5485.5-SUM(AE9:AE56)</f>
        <v>390.59999999999945</v>
      </c>
      <c r="AF60" s="51">
        <f>5748.7-SUM(AF9:AF56)</f>
        <v>410.40000000000055</v>
      </c>
      <c r="AG60" s="51">
        <f>5654.8-SUM(AG9:AG56)</f>
        <v>381.39999999999964</v>
      </c>
      <c r="AH60" s="51"/>
      <c r="AI60" s="51">
        <f>5839.2-SUM(AI9:AI56)</f>
        <v>410.09999999999854</v>
      </c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2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49"/>
      <c r="CN60" s="49"/>
      <c r="CO60" s="49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B60" s="51">
        <v>707.5</v>
      </c>
      <c r="DG60" s="47"/>
      <c r="DH60" s="47"/>
      <c r="DI60" s="49"/>
      <c r="DJ60" s="49"/>
      <c r="DK60" s="49"/>
      <c r="DL60" s="49"/>
    </row>
    <row r="61" spans="2:123" s="55" customFormat="1" x14ac:dyDescent="0.15">
      <c r="B61" s="55" t="s">
        <v>380</v>
      </c>
      <c r="C61" s="56">
        <f t="shared" ref="C61:AO61" si="51">SUM(C9:C60)</f>
        <v>2388.6999999999998</v>
      </c>
      <c r="D61" s="56">
        <f t="shared" si="51"/>
        <v>2585.6</v>
      </c>
      <c r="E61" s="56">
        <f t="shared" si="51"/>
        <v>2652.3999999999996</v>
      </c>
      <c r="F61" s="56">
        <f t="shared" si="51"/>
        <v>2920.9999999999995</v>
      </c>
      <c r="G61" s="56">
        <f t="shared" si="51"/>
        <v>2746.8</v>
      </c>
      <c r="H61" s="56">
        <f t="shared" si="51"/>
        <v>2830.7000000000003</v>
      </c>
      <c r="I61" s="56">
        <f t="shared" si="51"/>
        <v>2751.9</v>
      </c>
      <c r="J61" s="56">
        <f t="shared" si="51"/>
        <v>3320.8</v>
      </c>
      <c r="K61" s="56">
        <f t="shared" si="51"/>
        <v>3209.4366336633661</v>
      </c>
      <c r="L61" s="56">
        <f t="shared" si="51"/>
        <v>3165.6</v>
      </c>
      <c r="M61" s="56">
        <f t="shared" si="51"/>
        <v>3164.1333333333332</v>
      </c>
      <c r="N61" s="56">
        <f t="shared" si="51"/>
        <v>3455.3000000000006</v>
      </c>
      <c r="O61" s="56">
        <f t="shared" si="51"/>
        <v>3227.7000000000003</v>
      </c>
      <c r="P61" s="56">
        <f t="shared" si="51"/>
        <v>3423</v>
      </c>
      <c r="Q61" s="56">
        <f t="shared" si="51"/>
        <v>3699.7</v>
      </c>
      <c r="R61" s="56">
        <f t="shared" si="51"/>
        <v>5680.6</v>
      </c>
      <c r="S61" s="56">
        <f t="shared" si="51"/>
        <v>4236</v>
      </c>
      <c r="T61" s="56">
        <f t="shared" si="51"/>
        <v>4193.8</v>
      </c>
      <c r="U61" s="56">
        <f t="shared" si="51"/>
        <v>5899.2999999999993</v>
      </c>
      <c r="V61" s="56">
        <f t="shared" si="51"/>
        <v>6665.7000000000007</v>
      </c>
      <c r="W61" s="56">
        <f t="shared" si="51"/>
        <v>6241.8000000000011</v>
      </c>
      <c r="X61" s="56">
        <f t="shared" si="51"/>
        <v>6703.4999999999991</v>
      </c>
      <c r="Y61" s="56">
        <f t="shared" si="51"/>
        <v>6796.9000000000005</v>
      </c>
      <c r="Z61" s="56">
        <f t="shared" si="51"/>
        <v>5210.5</v>
      </c>
      <c r="AA61" s="56">
        <f t="shared" si="51"/>
        <v>4891.8</v>
      </c>
      <c r="AB61" s="56">
        <f t="shared" si="51"/>
        <v>5113.5</v>
      </c>
      <c r="AC61" s="56">
        <f t="shared" si="51"/>
        <v>5562</v>
      </c>
      <c r="AD61" s="56">
        <f t="shared" si="51"/>
        <v>5934</v>
      </c>
      <c r="AE61" s="56">
        <f t="shared" si="51"/>
        <v>5485.5</v>
      </c>
      <c r="AF61" s="56">
        <f t="shared" si="51"/>
        <v>5748.7</v>
      </c>
      <c r="AG61" s="56">
        <f t="shared" si="51"/>
        <v>5654.8</v>
      </c>
      <c r="AH61" s="56">
        <f t="shared" si="51"/>
        <v>6187.2000000000007</v>
      </c>
      <c r="AI61" s="56">
        <f t="shared" si="51"/>
        <v>5839.2</v>
      </c>
      <c r="AJ61" s="56">
        <f t="shared" si="51"/>
        <v>6252.7999999999984</v>
      </c>
      <c r="AK61" s="56">
        <f t="shared" si="51"/>
        <v>6148.1</v>
      </c>
      <c r="AL61" s="56">
        <f t="shared" si="51"/>
        <v>6047.3</v>
      </c>
      <c r="AM61" s="56">
        <f t="shared" si="51"/>
        <v>5602.4000000000005</v>
      </c>
      <c r="AN61" s="56">
        <f t="shared" si="51"/>
        <v>5600.4999999999991</v>
      </c>
      <c r="AO61" s="56">
        <f t="shared" si="51"/>
        <v>5442.5</v>
      </c>
      <c r="AP61" s="56">
        <f t="shared" ref="AP61:AW61" si="52">SUM(AP9:AP60)</f>
        <v>5957.3</v>
      </c>
      <c r="AQ61" s="56">
        <f t="shared" si="52"/>
        <v>5602</v>
      </c>
      <c r="AR61" s="56">
        <f t="shared" si="52"/>
        <v>5929.7</v>
      </c>
      <c r="AS61" s="56">
        <f t="shared" si="52"/>
        <v>5772.6</v>
      </c>
      <c r="AT61" s="56">
        <f t="shared" si="52"/>
        <v>5808.8</v>
      </c>
      <c r="AU61" s="56">
        <f t="shared" si="52"/>
        <v>4683.1000000000004</v>
      </c>
      <c r="AV61" s="56">
        <f t="shared" si="52"/>
        <v>4935.6000000000004</v>
      </c>
      <c r="AW61" s="56">
        <f t="shared" si="52"/>
        <v>4875.6000000000004</v>
      </c>
      <c r="AX61" s="56">
        <f t="shared" ref="AX61:BF61" si="53">SUM(AX5:AX60)</f>
        <v>5121.3</v>
      </c>
      <c r="AY61" s="56">
        <f t="shared" si="53"/>
        <v>4644.7</v>
      </c>
      <c r="AZ61" s="56">
        <f t="shared" si="53"/>
        <v>4978.7</v>
      </c>
      <c r="BA61" s="56">
        <f t="shared" si="53"/>
        <v>4959.7</v>
      </c>
      <c r="BB61" s="56">
        <f t="shared" si="53"/>
        <v>5375.6</v>
      </c>
      <c r="BC61" s="56">
        <f t="shared" si="53"/>
        <v>4865.1000000000004</v>
      </c>
      <c r="BD61" s="56">
        <f t="shared" si="53"/>
        <v>5404.8</v>
      </c>
      <c r="BE61" s="56">
        <f t="shared" si="53"/>
        <v>5191.7</v>
      </c>
      <c r="BF61" s="56">
        <f t="shared" si="53"/>
        <v>5760.5</v>
      </c>
      <c r="BG61" s="56">
        <f t="shared" ref="BG61:BI61" si="54">SUM(BG5:BG60)</f>
        <v>5228.3</v>
      </c>
      <c r="BH61" s="56">
        <f t="shared" si="54"/>
        <v>5824.3</v>
      </c>
      <c r="BI61" s="56">
        <f t="shared" si="54"/>
        <v>5658</v>
      </c>
      <c r="BJ61" s="56">
        <f>SUM(BJ5:BJ60)</f>
        <v>6160.7</v>
      </c>
      <c r="BK61" s="56">
        <f t="shared" ref="BK61:BM61" si="55">SUM(BK5:BK60)</f>
        <v>5700</v>
      </c>
      <c r="BL61" s="56">
        <f t="shared" si="55"/>
        <v>6355.2</v>
      </c>
      <c r="BM61" s="56">
        <f t="shared" si="55"/>
        <v>6061.9</v>
      </c>
      <c r="BN61" s="56">
        <f t="shared" ref="BN61:BT61" si="56">SUM(BN5:BN60)</f>
        <v>6438.6</v>
      </c>
      <c r="BO61" s="56">
        <f t="shared" si="56"/>
        <v>5971.7999999999993</v>
      </c>
      <c r="BP61" s="56">
        <f t="shared" si="56"/>
        <v>6665.2000000000007</v>
      </c>
      <c r="BQ61" s="56">
        <f t="shared" si="56"/>
        <v>6488.3</v>
      </c>
      <c r="BR61" s="56">
        <f t="shared" si="56"/>
        <v>7322.4</v>
      </c>
      <c r="BS61" s="56">
        <f t="shared" si="56"/>
        <v>5859.7999999999975</v>
      </c>
      <c r="BT61" s="56">
        <f t="shared" si="56"/>
        <v>5499.3999999999987</v>
      </c>
      <c r="BU61" s="56">
        <f>SUM(BU5:BU50)</f>
        <v>5740.5999999999985</v>
      </c>
      <c r="BV61" s="56">
        <f>SUM(BV5:BV52)</f>
        <v>7440.0999999999995</v>
      </c>
      <c r="BW61" s="56">
        <f>SUM(BW5:BW50)</f>
        <v>6805.6</v>
      </c>
      <c r="BX61" s="56">
        <f>SUM(BX5:BX52)</f>
        <v>6739.9999999999973</v>
      </c>
      <c r="BY61" s="56">
        <f>SUM(BY5:BY50)</f>
        <v>6772.9999999999982</v>
      </c>
      <c r="BZ61" s="56">
        <f>SUM(BZ5:BZ52)</f>
        <v>7999.9</v>
      </c>
      <c r="CA61" s="56">
        <f>SUM(CA5:CA32)</f>
        <v>7810.0999999999995</v>
      </c>
      <c r="CB61" s="56">
        <f>SUM(CB5:CB39)</f>
        <v>6487.9000000000015</v>
      </c>
      <c r="CC61" s="56">
        <f t="shared" ref="CC61:CG61" si="57">SUM(CC5:CC32)</f>
        <v>6941.7000000000007</v>
      </c>
      <c r="CD61" s="56">
        <f t="shared" si="57"/>
        <v>7302.4000000000015</v>
      </c>
      <c r="CE61" s="56">
        <f t="shared" si="57"/>
        <v>6960.2</v>
      </c>
      <c r="CF61" s="56">
        <f t="shared" si="57"/>
        <v>7733.0999999999985</v>
      </c>
      <c r="CG61" s="56">
        <f t="shared" si="57"/>
        <v>9498.6</v>
      </c>
      <c r="CH61" s="56">
        <f>SUM(CH5:CH32)</f>
        <v>9353.4</v>
      </c>
      <c r="CI61" s="56">
        <f t="shared" ref="CI61:CL61" si="58">SUM(CI5:CI32)</f>
        <v>8767.9</v>
      </c>
      <c r="CJ61" s="56">
        <f t="shared" si="58"/>
        <v>7127.2</v>
      </c>
      <c r="CK61" s="56">
        <f t="shared" si="58"/>
        <v>7582.2</v>
      </c>
      <c r="CL61" s="56">
        <f t="shared" si="58"/>
        <v>8037.2000000000007</v>
      </c>
      <c r="CM61" s="57"/>
      <c r="CN61" s="57"/>
      <c r="CO61" s="57"/>
      <c r="CP61" s="56">
        <v>11629</v>
      </c>
      <c r="CQ61" s="56">
        <f t="shared" ref="CQ61:DB61" si="59">SUM(CQ9:CQ60)</f>
        <v>11077</v>
      </c>
      <c r="CR61" s="56">
        <f t="shared" si="59"/>
        <v>12585</v>
      </c>
      <c r="CS61" s="56">
        <f t="shared" si="59"/>
        <v>13859</v>
      </c>
      <c r="CT61" s="56">
        <f t="shared" si="59"/>
        <v>14650</v>
      </c>
      <c r="CU61" s="56">
        <f t="shared" si="59"/>
        <v>15783.499999999998</v>
      </c>
      <c r="CV61" s="56">
        <f t="shared" si="59"/>
        <v>18492.3</v>
      </c>
      <c r="CW61" s="56">
        <f t="shared" si="59"/>
        <v>19604.942499999997</v>
      </c>
      <c r="CX61" s="56">
        <f t="shared" si="59"/>
        <v>20974.425124999998</v>
      </c>
      <c r="CY61" s="56">
        <f t="shared" si="59"/>
        <v>21893.8</v>
      </c>
      <c r="CZ61" s="56">
        <f t="shared" si="59"/>
        <v>23877.3</v>
      </c>
      <c r="DA61" s="56">
        <f t="shared" si="59"/>
        <v>22001.5</v>
      </c>
      <c r="DB61" s="56">
        <f t="shared" si="59"/>
        <v>23113.100000000002</v>
      </c>
      <c r="DC61" s="56">
        <f t="shared" ref="DC61:DQ61" si="60">SUM(DC5:DC60)</f>
        <v>19615.599999999999</v>
      </c>
      <c r="DD61" s="56">
        <f t="shared" si="60"/>
        <v>19958.699999999997</v>
      </c>
      <c r="DE61" s="56">
        <f t="shared" si="60"/>
        <v>21222.100000000002</v>
      </c>
      <c r="DF61" s="56">
        <f t="shared" si="60"/>
        <v>19974.100000000002</v>
      </c>
      <c r="DG61" s="56">
        <f t="shared" si="60"/>
        <v>21492.899999999998</v>
      </c>
      <c r="DH61" s="56">
        <f t="shared" si="60"/>
        <v>22319.4</v>
      </c>
      <c r="DI61" s="56">
        <f t="shared" si="60"/>
        <v>24539.899999999998</v>
      </c>
      <c r="DJ61" s="56">
        <f t="shared" si="60"/>
        <v>28318.499999999996</v>
      </c>
      <c r="DK61" s="56">
        <f t="shared" si="60"/>
        <v>28542.100000000006</v>
      </c>
      <c r="DL61" s="56">
        <f>SUM(DL5:DL60)</f>
        <v>33545.299999999996</v>
      </c>
      <c r="DM61" s="56">
        <f t="shared" si="60"/>
        <v>31514.5</v>
      </c>
      <c r="DN61" s="56">
        <f>SUM(DN5:DN60)</f>
        <v>37047.327999999987</v>
      </c>
      <c r="DO61" s="56">
        <f t="shared" si="60"/>
        <v>44795.763680000004</v>
      </c>
      <c r="DP61" s="56">
        <f t="shared" si="60"/>
        <v>54809.862191799992</v>
      </c>
      <c r="DQ61" s="56">
        <f t="shared" si="60"/>
        <v>62037.844240467995</v>
      </c>
      <c r="DR61" s="56">
        <f>SUM(DR5:DR60)</f>
        <v>66678.419199035197</v>
      </c>
      <c r="DS61" s="56">
        <f>SUM(DS5:DS60)</f>
        <v>61563.339601024352</v>
      </c>
    </row>
    <row r="62" spans="2:123" x14ac:dyDescent="0.15">
      <c r="B62" t="s">
        <v>58</v>
      </c>
      <c r="C62" s="51"/>
      <c r="D62" s="51"/>
      <c r="E62" s="51"/>
      <c r="F62" s="51"/>
      <c r="G62" s="51"/>
      <c r="H62" s="51"/>
      <c r="I62" s="51"/>
      <c r="J62" s="51">
        <v>865.7</v>
      </c>
      <c r="K62" s="51">
        <v>859</v>
      </c>
      <c r="L62" s="51">
        <v>871.3</v>
      </c>
      <c r="M62" s="51">
        <v>845.7</v>
      </c>
      <c r="N62" s="51">
        <v>898.2</v>
      </c>
      <c r="O62" s="51">
        <v>806.5</v>
      </c>
      <c r="P62" s="47">
        <v>861</v>
      </c>
      <c r="Q62" s="51">
        <v>906.2</v>
      </c>
      <c r="R62" s="51">
        <v>1066.7</v>
      </c>
      <c r="S62" s="51">
        <v>922.5</v>
      </c>
      <c r="T62" s="51">
        <v>998.9</v>
      </c>
      <c r="U62" s="51">
        <v>1054.5999999999999</v>
      </c>
      <c r="V62" s="51">
        <v>1272.8</v>
      </c>
      <c r="W62" s="51">
        <v>1111.3</v>
      </c>
      <c r="X62" s="51">
        <v>1200.9000000000001</v>
      </c>
      <c r="Y62" s="51">
        <v>1155.2</v>
      </c>
      <c r="Z62" s="51">
        <v>899.6</v>
      </c>
      <c r="AA62" s="51">
        <v>816.4</v>
      </c>
      <c r="AB62" s="51">
        <v>947.4</v>
      </c>
      <c r="AC62" s="51">
        <v>1051.9000000000001</v>
      </c>
      <c r="AD62" s="51">
        <v>1431.3</v>
      </c>
      <c r="AE62" s="51">
        <v>1122.5</v>
      </c>
      <c r="AF62" s="51">
        <v>1023.9</v>
      </c>
      <c r="AG62" s="51">
        <v>987.6</v>
      </c>
      <c r="AH62" s="51">
        <v>1232.2</v>
      </c>
      <c r="AI62" s="51">
        <v>1180.0999999999999</v>
      </c>
      <c r="AJ62" s="51">
        <v>1228</v>
      </c>
      <c r="AK62" s="51">
        <v>1338.1</v>
      </c>
      <c r="AL62" s="51">
        <v>1321.7</v>
      </c>
      <c r="AM62" s="51">
        <v>1197.9000000000001</v>
      </c>
      <c r="AN62" s="51">
        <v>1146.7</v>
      </c>
      <c r="AO62" s="51">
        <v>1203.5999999999999</v>
      </c>
      <c r="AP62" s="51">
        <v>1248.3</v>
      </c>
      <c r="AQ62" s="51">
        <v>1158.3</v>
      </c>
      <c r="AR62" s="51">
        <v>1165.2</v>
      </c>
      <c r="AS62" s="51">
        <v>1198.0999999999999</v>
      </c>
      <c r="AT62" s="51">
        <v>1386.5</v>
      </c>
      <c r="AU62" s="51">
        <v>1222.7</v>
      </c>
      <c r="AV62" s="51">
        <v>1189.7</v>
      </c>
      <c r="AW62" s="51">
        <v>1267</v>
      </c>
      <c r="AX62" s="51">
        <v>1253.0999999999999</v>
      </c>
      <c r="AY62" s="51">
        <v>1192.7</v>
      </c>
      <c r="AZ62" s="51">
        <v>1033.9000000000001</v>
      </c>
      <c r="BA62" s="51">
        <v>1236.9000000000001</v>
      </c>
      <c r="BB62" s="51">
        <v>1389.2</v>
      </c>
      <c r="BC62" s="51">
        <v>1323</v>
      </c>
      <c r="BD62" s="51">
        <v>1298.4000000000001</v>
      </c>
      <c r="BE62" s="51">
        <v>1400.9</v>
      </c>
      <c r="BF62" s="51">
        <v>1466</v>
      </c>
      <c r="BG62" s="51">
        <v>1347.9</v>
      </c>
      <c r="BH62" s="51">
        <v>1571.7</v>
      </c>
      <c r="BI62" s="51">
        <v>1586.3</v>
      </c>
      <c r="BJ62" s="51">
        <v>1644.9</v>
      </c>
      <c r="BK62" s="51">
        <v>1571.3</v>
      </c>
      <c r="BL62" s="51">
        <v>1702.7</v>
      </c>
      <c r="BM62" s="51">
        <v>1562.3</v>
      </c>
      <c r="BN62" s="51">
        <v>1593.7</v>
      </c>
      <c r="BO62" s="51">
        <v>1010.5</v>
      </c>
      <c r="BP62" s="51">
        <v>1073.3</v>
      </c>
      <c r="BQ62" s="51">
        <v>1118.4000000000001</v>
      </c>
      <c r="BR62" s="51">
        <v>1229.4000000000001</v>
      </c>
      <c r="BS62" s="51">
        <v>1156.5</v>
      </c>
      <c r="BT62" s="51">
        <v>1119.2</v>
      </c>
      <c r="BU62" s="51">
        <v>1199.9000000000001</v>
      </c>
      <c r="BV62" s="51">
        <v>1719.8</v>
      </c>
      <c r="BW62" s="51">
        <v>1671.4</v>
      </c>
      <c r="BX62" s="51">
        <v>1398</v>
      </c>
      <c r="BY62" s="51">
        <v>1421.8</v>
      </c>
      <c r="BZ62" s="51">
        <v>2050.1999999999998</v>
      </c>
      <c r="CA62" s="51">
        <v>1867.5</v>
      </c>
      <c r="CB62" s="51">
        <v>1309.2</v>
      </c>
      <c r="CC62" s="51">
        <f t="shared" ref="CC62:CG62" si="61">+CC61-CC63</f>
        <v>1457.7569999999996</v>
      </c>
      <c r="CD62" s="51">
        <f>1548.1-124.1</f>
        <v>1424</v>
      </c>
      <c r="CE62" s="51">
        <f>1626.7-125.8</f>
        <v>1500.9</v>
      </c>
      <c r="CF62" s="51">
        <f>1807.4-126.4</f>
        <v>1681</v>
      </c>
      <c r="CG62" s="51">
        <f t="shared" si="61"/>
        <v>1994.7060000000001</v>
      </c>
      <c r="CH62" s="51">
        <f>1788-129</f>
        <v>1659</v>
      </c>
      <c r="CI62" s="51">
        <v>1673.5</v>
      </c>
      <c r="CJ62" s="51">
        <f t="shared" ref="CJ62:CL62" si="62">+CJ61-CJ63</f>
        <v>1354.1679999999997</v>
      </c>
      <c r="CK62" s="51">
        <f t="shared" si="62"/>
        <v>1440.6179999999995</v>
      </c>
      <c r="CL62" s="51">
        <f t="shared" si="62"/>
        <v>1527.0679999999993</v>
      </c>
      <c r="CP62" s="51">
        <v>2160</v>
      </c>
      <c r="CQ62" s="51">
        <v>2177</v>
      </c>
      <c r="CR62" s="51">
        <v>2675</v>
      </c>
      <c r="CS62" s="51">
        <v>3224</v>
      </c>
      <c r="CT62" s="51">
        <v>3474</v>
      </c>
      <c r="CU62" s="51">
        <v>3501</v>
      </c>
      <c r="CV62" s="51">
        <f>CV61-CV63</f>
        <v>4068.3059999999987</v>
      </c>
      <c r="CW62" s="51">
        <f>CW61-CW63</f>
        <v>-980.75749999999971</v>
      </c>
      <c r="CX62" s="51">
        <f>CX61-CX63</f>
        <v>3720.1251249999987</v>
      </c>
      <c r="CY62" s="51">
        <f>SUM(AE62:AH62)</f>
        <v>4366.2</v>
      </c>
      <c r="CZ62" s="51">
        <f>SUM(AI62:AL62)</f>
        <v>5067.8999999999996</v>
      </c>
      <c r="DA62" s="51">
        <f>SUM(AM62:AP62)</f>
        <v>4796.5</v>
      </c>
      <c r="DB62" s="51">
        <f t="shared" ref="DB62:DC62" si="63">DB61-DB63</f>
        <v>23113.100000000002</v>
      </c>
      <c r="DC62" s="51">
        <f t="shared" si="63"/>
        <v>19615.599999999999</v>
      </c>
      <c r="DD62" s="51"/>
      <c r="DE62" s="51"/>
      <c r="DF62" s="51">
        <v>4447.7</v>
      </c>
      <c r="DG62" s="51">
        <v>4681.7</v>
      </c>
      <c r="DH62" s="51">
        <v>4721.2</v>
      </c>
      <c r="DI62" s="49">
        <f t="shared" ref="DI62" si="64">SUM(BS62:BV62)</f>
        <v>5195.3999999999996</v>
      </c>
      <c r="DJ62" s="49">
        <f t="shared" ref="DJ62" si="65">SUM(BW62:BZ62)</f>
        <v>6541.4</v>
      </c>
      <c r="DK62" s="49">
        <f>SUM(CA62:CD62)</f>
        <v>6058.4569999999994</v>
      </c>
      <c r="DL62" s="49">
        <f>SUM(CE62:CH62)</f>
        <v>6835.6059999999998</v>
      </c>
      <c r="DM62" s="49">
        <f>SUM(Model!CI62:CL62)</f>
        <v>5995.3539999999985</v>
      </c>
      <c r="DN62" s="49">
        <f t="shared" ref="DN62:DS62" si="66">DN61-DN63</f>
        <v>7779.9388799999942</v>
      </c>
      <c r="DO62" s="49">
        <f t="shared" si="66"/>
        <v>9407.1103728000016</v>
      </c>
      <c r="DP62" s="49">
        <f t="shared" si="66"/>
        <v>11510.071060277995</v>
      </c>
      <c r="DQ62" s="49">
        <f t="shared" si="66"/>
        <v>13027.947290498276</v>
      </c>
      <c r="DR62" s="49">
        <f t="shared" si="66"/>
        <v>14002.468031797391</v>
      </c>
      <c r="DS62" s="49">
        <f t="shared" si="66"/>
        <v>9234.5009401536518</v>
      </c>
    </row>
    <row r="63" spans="2:123" x14ac:dyDescent="0.15">
      <c r="B63" t="s">
        <v>123</v>
      </c>
      <c r="C63" s="51"/>
      <c r="D63" s="51"/>
      <c r="E63" s="51"/>
      <c r="F63" s="51"/>
      <c r="G63" s="51"/>
      <c r="H63" s="51"/>
      <c r="I63" s="51"/>
      <c r="J63" s="51">
        <f t="shared" ref="J63:R63" si="67">J61-J62</f>
        <v>2455.1000000000004</v>
      </c>
      <c r="K63" s="51">
        <f t="shared" si="67"/>
        <v>2350.4366336633661</v>
      </c>
      <c r="L63" s="51">
        <f t="shared" si="67"/>
        <v>2294.3000000000002</v>
      </c>
      <c r="M63" s="51">
        <f t="shared" si="67"/>
        <v>2318.4333333333334</v>
      </c>
      <c r="N63" s="51">
        <f t="shared" si="67"/>
        <v>2557.1000000000004</v>
      </c>
      <c r="O63" s="51">
        <f t="shared" si="67"/>
        <v>2421.2000000000003</v>
      </c>
      <c r="P63" s="51">
        <f t="shared" si="67"/>
        <v>2562</v>
      </c>
      <c r="Q63" s="51">
        <f t="shared" si="67"/>
        <v>2793.5</v>
      </c>
      <c r="R63" s="51">
        <f t="shared" si="67"/>
        <v>4613.9000000000005</v>
      </c>
      <c r="S63" s="51">
        <f t="shared" ref="S63:AA63" si="68">S61-S62</f>
        <v>3313.5</v>
      </c>
      <c r="T63" s="51">
        <f t="shared" si="68"/>
        <v>3194.9</v>
      </c>
      <c r="U63" s="51">
        <f t="shared" si="68"/>
        <v>4844.6999999999989</v>
      </c>
      <c r="V63" s="51">
        <f t="shared" si="68"/>
        <v>5392.9000000000005</v>
      </c>
      <c r="W63" s="51">
        <f t="shared" si="68"/>
        <v>5130.5000000000009</v>
      </c>
      <c r="X63" s="51">
        <f t="shared" si="68"/>
        <v>5502.5999999999985</v>
      </c>
      <c r="Y63" s="51">
        <f t="shared" si="68"/>
        <v>5641.7000000000007</v>
      </c>
      <c r="Z63" s="51">
        <f t="shared" si="68"/>
        <v>4310.8999999999996</v>
      </c>
      <c r="AA63" s="51">
        <f t="shared" si="68"/>
        <v>4075.4</v>
      </c>
      <c r="AB63" s="51">
        <f t="shared" ref="AB63:AG63" si="69">AB61-AB62</f>
        <v>4166.1000000000004</v>
      </c>
      <c r="AC63" s="51">
        <f t="shared" si="69"/>
        <v>4510.1000000000004</v>
      </c>
      <c r="AD63" s="51">
        <f t="shared" si="69"/>
        <v>4502.7</v>
      </c>
      <c r="AE63" s="51">
        <f t="shared" si="69"/>
        <v>4363</v>
      </c>
      <c r="AF63" s="51">
        <f t="shared" si="69"/>
        <v>4724.8</v>
      </c>
      <c r="AG63" s="51">
        <f t="shared" si="69"/>
        <v>4667.2</v>
      </c>
      <c r="AH63" s="51">
        <f>+AH61-AH62</f>
        <v>4955.0000000000009</v>
      </c>
      <c r="AI63" s="51">
        <f>+AI61-AI62</f>
        <v>4659.1000000000004</v>
      </c>
      <c r="AJ63" s="51">
        <f>AJ61-AJ62</f>
        <v>5024.7999999999984</v>
      </c>
      <c r="AK63" s="51">
        <f>AK61-AK62</f>
        <v>4810</v>
      </c>
      <c r="AL63" s="51">
        <f>+AL61-AL62</f>
        <v>4725.6000000000004</v>
      </c>
      <c r="AM63" s="51">
        <f>+AM61-AM62</f>
        <v>4404.5</v>
      </c>
      <c r="AN63" s="51">
        <f>+AN61-AN62</f>
        <v>4453.7999999999993</v>
      </c>
      <c r="AO63" s="51">
        <f>+AO61-AO62</f>
        <v>4238.8999999999996</v>
      </c>
      <c r="AP63" s="51">
        <f>+AP61-AP62</f>
        <v>4709</v>
      </c>
      <c r="AQ63" s="51">
        <f t="shared" ref="AQ63:AT63" si="70">+AQ61-AQ62</f>
        <v>4443.7</v>
      </c>
      <c r="AR63" s="51">
        <f t="shared" si="70"/>
        <v>4764.5</v>
      </c>
      <c r="AS63" s="51">
        <f t="shared" si="70"/>
        <v>4574.5</v>
      </c>
      <c r="AT63" s="51">
        <f t="shared" si="70"/>
        <v>4422.3</v>
      </c>
      <c r="AU63" s="51">
        <f t="shared" ref="AU63" si="71">AU61-AU62</f>
        <v>3460.4000000000005</v>
      </c>
      <c r="AV63" s="51">
        <f t="shared" ref="AV63:AW63" si="72">AV61-AV62</f>
        <v>3745.9000000000005</v>
      </c>
      <c r="AW63" s="51">
        <f t="shared" si="72"/>
        <v>3608.6000000000004</v>
      </c>
      <c r="AX63" s="51">
        <f t="shared" ref="AX63" si="73">AX61-AX62</f>
        <v>3868.2000000000003</v>
      </c>
      <c r="AY63" s="51">
        <f t="shared" ref="AY63:AZ63" si="74">AY61-AY62</f>
        <v>3452</v>
      </c>
      <c r="AZ63" s="51">
        <f t="shared" si="74"/>
        <v>3944.7999999999997</v>
      </c>
      <c r="BA63" s="51">
        <f t="shared" ref="BA63:BC63" si="75">BA61-BA62</f>
        <v>3722.7999999999997</v>
      </c>
      <c r="BB63" s="51">
        <f t="shared" si="75"/>
        <v>3986.4000000000005</v>
      </c>
      <c r="BC63" s="51">
        <f t="shared" si="75"/>
        <v>3542.1000000000004</v>
      </c>
      <c r="BD63" s="51">
        <f t="shared" ref="BD63:BE63" si="76">BD61-BD62</f>
        <v>4106.3999999999996</v>
      </c>
      <c r="BE63" s="51">
        <f t="shared" si="76"/>
        <v>3790.7999999999997</v>
      </c>
      <c r="BF63" s="51">
        <f t="shared" ref="BF63:BG63" si="77">BF61-BF62</f>
        <v>4294.5</v>
      </c>
      <c r="BG63" s="51">
        <f t="shared" si="77"/>
        <v>3880.4</v>
      </c>
      <c r="BH63" s="51">
        <f t="shared" ref="BH63:BJ63" si="78">BH61-BH62</f>
        <v>4252.6000000000004</v>
      </c>
      <c r="BI63" s="51">
        <f t="shared" si="78"/>
        <v>4071.7</v>
      </c>
      <c r="BJ63" s="51">
        <f t="shared" si="78"/>
        <v>4515.7999999999993</v>
      </c>
      <c r="BK63" s="51">
        <f t="shared" ref="BK63:BL63" si="79">BK61-BK62</f>
        <v>4128.7</v>
      </c>
      <c r="BL63" s="51">
        <f t="shared" si="79"/>
        <v>4652.5</v>
      </c>
      <c r="BM63" s="51">
        <f t="shared" ref="BM63:BN63" si="80">BM61-BM62</f>
        <v>4499.5999999999995</v>
      </c>
      <c r="BN63" s="51">
        <f t="shared" si="80"/>
        <v>4844.9000000000005</v>
      </c>
      <c r="BO63" s="51">
        <f t="shared" ref="BO63:CA63" si="81">BO61-BO62</f>
        <v>4961.2999999999993</v>
      </c>
      <c r="BP63" s="51">
        <f t="shared" si="81"/>
        <v>5591.9000000000005</v>
      </c>
      <c r="BQ63" s="51">
        <f t="shared" si="81"/>
        <v>5369.9</v>
      </c>
      <c r="BR63" s="51">
        <f t="shared" si="81"/>
        <v>6093</v>
      </c>
      <c r="BS63" s="51">
        <f t="shared" si="81"/>
        <v>4703.2999999999975</v>
      </c>
      <c r="BT63" s="51">
        <f t="shared" si="81"/>
        <v>4380.1999999999989</v>
      </c>
      <c r="BU63" s="51">
        <f t="shared" si="81"/>
        <v>4540.6999999999989</v>
      </c>
      <c r="BV63" s="51">
        <f t="shared" si="81"/>
        <v>5720.2999999999993</v>
      </c>
      <c r="BW63" s="51">
        <f t="shared" si="81"/>
        <v>5134.2000000000007</v>
      </c>
      <c r="BX63" s="51">
        <f t="shared" si="81"/>
        <v>5341.9999999999973</v>
      </c>
      <c r="BY63" s="51">
        <f t="shared" si="81"/>
        <v>5351.199999999998</v>
      </c>
      <c r="BZ63" s="51">
        <f t="shared" si="81"/>
        <v>5949.7</v>
      </c>
      <c r="CA63" s="51">
        <f t="shared" si="81"/>
        <v>5942.5999999999995</v>
      </c>
      <c r="CB63" s="51">
        <f>CB61-CB62</f>
        <v>5178.7000000000016</v>
      </c>
      <c r="CC63" s="51">
        <f t="shared" ref="CC63:CG63" si="82">+CC61*0.79</f>
        <v>5483.9430000000011</v>
      </c>
      <c r="CD63" s="51">
        <f>+CD61-CD62</f>
        <v>5878.4000000000015</v>
      </c>
      <c r="CE63" s="51">
        <f>CE61-CE62</f>
        <v>5459.2999999999993</v>
      </c>
      <c r="CF63" s="51">
        <f>+CF61-CF62</f>
        <v>6052.0999999999985</v>
      </c>
      <c r="CG63" s="51">
        <f t="shared" si="82"/>
        <v>7503.8940000000002</v>
      </c>
      <c r="CH63" s="51">
        <f>+CH61-CH62</f>
        <v>7694.4</v>
      </c>
      <c r="CI63" s="51">
        <f>+CI61-CI62</f>
        <v>7094.4</v>
      </c>
      <c r="CJ63" s="51">
        <f t="shared" ref="CJ63:CL63" si="83">+CJ61*0.81</f>
        <v>5773.0320000000002</v>
      </c>
      <c r="CK63" s="51">
        <f t="shared" si="83"/>
        <v>6141.5820000000003</v>
      </c>
      <c r="CL63" s="51">
        <f t="shared" si="83"/>
        <v>6510.1320000000014</v>
      </c>
      <c r="CP63" s="51">
        <f t="shared" ref="CP63:CU63" si="84">CP61-CP62</f>
        <v>9469</v>
      </c>
      <c r="CQ63" s="51">
        <f t="shared" si="84"/>
        <v>8900</v>
      </c>
      <c r="CR63" s="51">
        <f t="shared" si="84"/>
        <v>9910</v>
      </c>
      <c r="CS63" s="51">
        <f t="shared" si="84"/>
        <v>10635</v>
      </c>
      <c r="CT63" s="51">
        <f t="shared" si="84"/>
        <v>11176</v>
      </c>
      <c r="CU63" s="51">
        <f t="shared" si="84"/>
        <v>12282.499999999998</v>
      </c>
      <c r="CV63" s="51">
        <f>CV61*CV83</f>
        <v>14423.994000000001</v>
      </c>
      <c r="CW63" s="51">
        <f>SUM(W63:Z63)</f>
        <v>20585.699999999997</v>
      </c>
      <c r="CX63" s="51">
        <f>SUM(AA63:AD63)</f>
        <v>17254.3</v>
      </c>
      <c r="CY63" s="51">
        <f>CY61-CY62</f>
        <v>17527.599999999999</v>
      </c>
      <c r="CZ63" s="51">
        <f>CZ61-CZ62</f>
        <v>18809.400000000001</v>
      </c>
      <c r="DA63" s="51">
        <f>DA61-DA62</f>
        <v>17205</v>
      </c>
      <c r="DB63" s="51">
        <f t="shared" ref="DB63:DC63" si="85">DB61*DB83</f>
        <v>0</v>
      </c>
      <c r="DC63" s="51">
        <f t="shared" si="85"/>
        <v>0</v>
      </c>
      <c r="DD63" s="51"/>
      <c r="DE63" s="51"/>
      <c r="DF63" s="51">
        <f t="shared" ref="DF63:DG63" si="86">+DF61-DF62</f>
        <v>15526.400000000001</v>
      </c>
      <c r="DG63" s="51">
        <f t="shared" si="86"/>
        <v>16811.199999999997</v>
      </c>
      <c r="DH63" s="51">
        <f>+DH61-DH62</f>
        <v>17598.2</v>
      </c>
      <c r="DI63" s="51">
        <f>+DI61-DI62</f>
        <v>19344.5</v>
      </c>
      <c r="DJ63" s="51">
        <f t="shared" ref="DJ63" si="87">+DJ61-DJ62</f>
        <v>21777.1</v>
      </c>
      <c r="DK63" s="51">
        <f>+DK61-DK62</f>
        <v>22483.643000000007</v>
      </c>
      <c r="DL63" s="51">
        <f>+DL61-DL62</f>
        <v>26709.693999999996</v>
      </c>
      <c r="DM63" s="51">
        <f>DM61-DM62</f>
        <v>25519.146000000001</v>
      </c>
      <c r="DN63" s="51">
        <f t="shared" ref="DN63:DQ63" si="88">DN61*0.79</f>
        <v>29267.389119999993</v>
      </c>
      <c r="DO63" s="51">
        <f t="shared" si="88"/>
        <v>35388.653307200002</v>
      </c>
      <c r="DP63" s="51">
        <f t="shared" si="88"/>
        <v>43299.791131521997</v>
      </c>
      <c r="DQ63" s="51">
        <f t="shared" si="88"/>
        <v>49009.89694996972</v>
      </c>
      <c r="DR63" s="51">
        <f>DR61*0.79</f>
        <v>52675.951167237807</v>
      </c>
      <c r="DS63" s="51">
        <f>DS61*0.85</f>
        <v>52328.838660870701</v>
      </c>
    </row>
    <row r="64" spans="2:123" x14ac:dyDescent="0.15">
      <c r="B64" t="s">
        <v>59</v>
      </c>
      <c r="C64" s="51"/>
      <c r="D64" s="51"/>
      <c r="E64" s="51"/>
      <c r="F64" s="51"/>
      <c r="G64" s="51"/>
      <c r="H64" s="51"/>
      <c r="I64" s="51"/>
      <c r="J64" s="51">
        <v>1098</v>
      </c>
      <c r="K64" s="51">
        <v>1090</v>
      </c>
      <c r="L64" s="51">
        <v>1146.0999999999999</v>
      </c>
      <c r="M64" s="51">
        <v>1070.9000000000001</v>
      </c>
      <c r="N64" s="51">
        <v>1190</v>
      </c>
      <c r="O64" s="51">
        <v>1143</v>
      </c>
      <c r="P64" s="51">
        <v>1238</v>
      </c>
      <c r="Q64" s="51">
        <v>1302.3</v>
      </c>
      <c r="R64" s="51">
        <v>1422.1</v>
      </c>
      <c r="S64" s="51">
        <v>1336.8</v>
      </c>
      <c r="T64" s="51">
        <v>1524.7</v>
      </c>
      <c r="U64" s="51">
        <v>1477.8</v>
      </c>
      <c r="V64" s="51">
        <v>1755.8</v>
      </c>
      <c r="W64" s="51">
        <v>1550.5</v>
      </c>
      <c r="X64" s="51">
        <v>1700.1</v>
      </c>
      <c r="Y64" s="51">
        <v>1649.2</v>
      </c>
      <c r="Z64" s="51">
        <v>1718.6</v>
      </c>
      <c r="AA64" s="51">
        <v>1529.2</v>
      </c>
      <c r="AB64" s="51">
        <v>1708.2</v>
      </c>
      <c r="AC64" s="51">
        <v>1701.8</v>
      </c>
      <c r="AD64" s="51">
        <v>1953.3</v>
      </c>
      <c r="AE64" s="51">
        <v>1614.4</v>
      </c>
      <c r="AF64" s="51">
        <v>1755.4</v>
      </c>
      <c r="AG64" s="51">
        <v>1694.9</v>
      </c>
      <c r="AH64" s="51">
        <v>1988.7</v>
      </c>
      <c r="AI64" s="51">
        <v>1785.7</v>
      </c>
      <c r="AJ64" s="51">
        <v>2043</v>
      </c>
      <c r="AK64" s="51">
        <v>1917.8</v>
      </c>
      <c r="AL64" s="51">
        <v>2133.4</v>
      </c>
      <c r="AM64" s="51">
        <v>1847.5</v>
      </c>
      <c r="AN64" s="51">
        <v>1931.1</v>
      </c>
      <c r="AO64" s="51">
        <v>1757.4</v>
      </c>
      <c r="AP64" s="51">
        <v>1977.5</v>
      </c>
      <c r="AQ64" s="51">
        <v>1652</v>
      </c>
      <c r="AR64" s="51">
        <v>1867.6</v>
      </c>
      <c r="AS64" s="51">
        <v>1652.4</v>
      </c>
      <c r="AT64" s="51">
        <v>1953.6</v>
      </c>
      <c r="AU64" s="51">
        <v>1484.9</v>
      </c>
      <c r="AV64" s="51">
        <v>1663.9</v>
      </c>
      <c r="AW64" s="51">
        <v>1672.1</v>
      </c>
      <c r="AX64" s="51">
        <v>1799.9</v>
      </c>
      <c r="AY64" s="51">
        <v>1523.5</v>
      </c>
      <c r="AZ64" s="51">
        <v>1635.4</v>
      </c>
      <c r="BA64" s="51">
        <v>1575.7</v>
      </c>
      <c r="BB64" s="51">
        <v>1798.4</v>
      </c>
      <c r="BC64" s="51">
        <v>1473.9</v>
      </c>
      <c r="BD64" s="51">
        <v>1622.6</v>
      </c>
      <c r="BE64" s="51">
        <v>1565.4</v>
      </c>
      <c r="BF64" s="51">
        <v>1790.1</v>
      </c>
      <c r="BG64" s="51">
        <v>1567.7</v>
      </c>
      <c r="BH64" s="51">
        <v>1730.4</v>
      </c>
      <c r="BI64" s="51">
        <v>1578.5</v>
      </c>
      <c r="BJ64" s="51">
        <v>1803.5</v>
      </c>
      <c r="BK64" s="51">
        <v>1500</v>
      </c>
      <c r="BL64" s="51">
        <v>1653.7</v>
      </c>
      <c r="BM64" s="51">
        <v>1616.6</v>
      </c>
      <c r="BN64" s="51">
        <v>1861.5</v>
      </c>
      <c r="BO64" s="51">
        <v>1517.1</v>
      </c>
      <c r="BP64" s="51">
        <v>1586.3</v>
      </c>
      <c r="BQ64" s="51">
        <v>1412.3</v>
      </c>
      <c r="BR64" s="51">
        <v>1698.1</v>
      </c>
      <c r="BS64" s="51">
        <v>1549.6</v>
      </c>
      <c r="BT64" s="51">
        <v>1448.6</v>
      </c>
      <c r="BU64" s="51">
        <v>1569.1</v>
      </c>
      <c r="BV64" s="51">
        <v>1553.9</v>
      </c>
      <c r="BW64" s="51">
        <v>1576</v>
      </c>
      <c r="BX64" s="51">
        <v>1685.7</v>
      </c>
      <c r="BY64" s="51">
        <v>1577.9</v>
      </c>
      <c r="BZ64" s="51">
        <v>1592</v>
      </c>
      <c r="CA64" s="51">
        <v>1557.9</v>
      </c>
      <c r="CB64" s="51">
        <v>1781.9</v>
      </c>
      <c r="CC64" s="51">
        <f t="shared" ref="CC64:CC65" si="89">+BY64</f>
        <v>1577.9</v>
      </c>
      <c r="CD64" s="51">
        <v>1643.2</v>
      </c>
      <c r="CE64" s="51">
        <v>1749.2</v>
      </c>
      <c r="CF64" s="51">
        <v>1925.4</v>
      </c>
      <c r="CG64" s="51">
        <f t="shared" ref="CG64:CG65" si="90">+CC64</f>
        <v>1577.9</v>
      </c>
      <c r="CH64" s="51">
        <v>1924.6</v>
      </c>
      <c r="CI64" s="51">
        <v>1952.2</v>
      </c>
      <c r="CJ64" s="51">
        <f t="shared" ref="CJ64:CJ65" si="91">+CF64*1.1</f>
        <v>2117.94</v>
      </c>
      <c r="CK64" s="51">
        <f t="shared" ref="CK64:CK65" si="92">+CG64*1.1</f>
        <v>1735.6900000000003</v>
      </c>
      <c r="CL64" s="51">
        <f t="shared" ref="CL64:CL65" si="93">+CH64*1.1</f>
        <v>2117.06</v>
      </c>
      <c r="CP64" s="51">
        <v>3417</v>
      </c>
      <c r="CQ64" s="51">
        <v>3424</v>
      </c>
      <c r="CR64" s="51">
        <v>4055</v>
      </c>
      <c r="CS64" s="51">
        <v>4284</v>
      </c>
      <c r="CT64" s="51">
        <v>4497</v>
      </c>
      <c r="CU64" s="51">
        <v>4752</v>
      </c>
      <c r="CV64" s="51">
        <f>CU64*1.03</f>
        <v>4894.5600000000004</v>
      </c>
      <c r="CW64" s="51">
        <f>SUM(W64:Z64)</f>
        <v>6618.4</v>
      </c>
      <c r="CX64" s="51">
        <f>SUM(AA64:AD64)</f>
        <v>6892.5</v>
      </c>
      <c r="CY64" s="51">
        <f>SUM(AE64:AH64)</f>
        <v>7053.4000000000005</v>
      </c>
      <c r="CZ64" s="51">
        <f t="shared" ref="CZ64:CZ65" si="94">SUM(AI64:AL64)</f>
        <v>7879.9</v>
      </c>
      <c r="DA64" s="51">
        <f t="shared" ref="DA64" si="95">SUM(AM64:AP64)</f>
        <v>7513.5</v>
      </c>
      <c r="DB64" s="51">
        <f>DA64*0.95</f>
        <v>7137.8249999999998</v>
      </c>
      <c r="DC64" s="51">
        <f>DB64*0.8</f>
        <v>5710.26</v>
      </c>
      <c r="DD64" s="51"/>
      <c r="DE64" s="51"/>
      <c r="DF64" s="51">
        <v>5982.4</v>
      </c>
      <c r="DG64" s="51">
        <v>5975.1</v>
      </c>
      <c r="DH64" s="51">
        <v>6213.8</v>
      </c>
      <c r="DI64" s="49">
        <f t="shared" ref="DI64:DI65" si="96">SUM(BS64:BV64)</f>
        <v>6121.1999999999989</v>
      </c>
      <c r="DJ64" s="49">
        <f t="shared" ref="DJ64:DJ65" si="97">SUM(BW64:BZ64)</f>
        <v>6431.6</v>
      </c>
      <c r="DK64" s="49">
        <f>SUM(CA64:CD64)</f>
        <v>6560.9000000000005</v>
      </c>
      <c r="DL64" s="49">
        <f>SUM(CE64:CH64)</f>
        <v>7177.1</v>
      </c>
      <c r="DM64" s="49">
        <f>SUM(Model!CI64:CL64)</f>
        <v>7922.8900000000012</v>
      </c>
      <c r="DN64" s="49">
        <f t="shared" ref="DN64:DR64" si="98">+DN61*0.25</f>
        <v>9261.8319999999967</v>
      </c>
      <c r="DO64" s="49">
        <f t="shared" si="98"/>
        <v>11198.940920000001</v>
      </c>
      <c r="DP64" s="49">
        <f t="shared" si="98"/>
        <v>13702.465547949998</v>
      </c>
      <c r="DQ64" s="49">
        <f t="shared" si="98"/>
        <v>15509.461060116999</v>
      </c>
      <c r="DR64" s="49">
        <f t="shared" si="98"/>
        <v>16669.604799758799</v>
      </c>
      <c r="DS64" s="49">
        <f>+DS61*0.25</f>
        <v>15390.834900256088</v>
      </c>
    </row>
    <row r="65" spans="2:201" x14ac:dyDescent="0.15">
      <c r="B65" t="s">
        <v>60</v>
      </c>
      <c r="C65" s="51"/>
      <c r="D65" s="51"/>
      <c r="E65" s="51"/>
      <c r="F65" s="51"/>
      <c r="G65" s="51"/>
      <c r="H65" s="51"/>
      <c r="I65" s="51"/>
      <c r="J65" s="51">
        <v>706</v>
      </c>
      <c r="K65" s="51">
        <v>702</v>
      </c>
      <c r="L65" s="51">
        <v>762.4</v>
      </c>
      <c r="M65" s="51">
        <v>751</v>
      </c>
      <c r="N65" s="51">
        <v>810</v>
      </c>
      <c r="O65" s="51">
        <v>741</v>
      </c>
      <c r="P65" s="51">
        <v>775</v>
      </c>
      <c r="Q65" s="51">
        <v>788.8</v>
      </c>
      <c r="R65" s="51">
        <v>890</v>
      </c>
      <c r="S65" s="51">
        <v>834.2</v>
      </c>
      <c r="T65" s="51">
        <v>854.4</v>
      </c>
      <c r="U65" s="51">
        <v>844.5</v>
      </c>
      <c r="V65" s="51">
        <v>953.6</v>
      </c>
      <c r="W65" s="51">
        <v>877.1</v>
      </c>
      <c r="X65" s="51">
        <v>951.5</v>
      </c>
      <c r="Y65" s="51">
        <v>953</v>
      </c>
      <c r="Z65" s="51">
        <v>1036.0999999999999</v>
      </c>
      <c r="AA65" s="51">
        <v>947.3</v>
      </c>
      <c r="AB65" s="51">
        <v>1040.4000000000001</v>
      </c>
      <c r="AC65" s="51">
        <v>1122.0999999999999</v>
      </c>
      <c r="AD65" s="51">
        <v>1216.7</v>
      </c>
      <c r="AE65" s="51">
        <v>1039.0999999999999</v>
      </c>
      <c r="AF65" s="51">
        <v>1187.2</v>
      </c>
      <c r="AG65" s="51">
        <v>1219.8</v>
      </c>
      <c r="AH65" s="51">
        <v>1438.1</v>
      </c>
      <c r="AI65" s="51">
        <v>1124</v>
      </c>
      <c r="AJ65" s="51">
        <v>1260.5999999999999</v>
      </c>
      <c r="AK65" s="51">
        <v>1280.9000000000001</v>
      </c>
      <c r="AL65" s="51">
        <v>1355.3</v>
      </c>
      <c r="AM65" s="51">
        <v>1151.5</v>
      </c>
      <c r="AN65" s="51">
        <v>1320.7</v>
      </c>
      <c r="AO65" s="51">
        <v>1342.8</v>
      </c>
      <c r="AP65" s="51">
        <v>1463.1</v>
      </c>
      <c r="AQ65" s="51">
        <v>1348.1</v>
      </c>
      <c r="AR65" s="51">
        <v>1330.4</v>
      </c>
      <c r="AS65" s="51">
        <v>1377.4</v>
      </c>
      <c r="AT65" s="51">
        <v>1475.4</v>
      </c>
      <c r="AU65" s="51">
        <v>1109.3</v>
      </c>
      <c r="AV65" s="51">
        <v>1195.4000000000001</v>
      </c>
      <c r="AW65" s="51">
        <v>1243.2</v>
      </c>
      <c r="AX65" s="51">
        <v>1185.7</v>
      </c>
      <c r="AY65" s="51">
        <v>1039.3</v>
      </c>
      <c r="AZ65" s="51">
        <v>1169.5</v>
      </c>
      <c r="BA65" s="51">
        <v>1143.4000000000001</v>
      </c>
      <c r="BB65" s="51">
        <v>1444.2</v>
      </c>
      <c r="BC65" s="51">
        <v>1221</v>
      </c>
      <c r="BD65" s="51">
        <v>1335.9</v>
      </c>
      <c r="BE65" s="51">
        <v>1236.4000000000001</v>
      </c>
      <c r="BF65" s="51">
        <v>1450.6</v>
      </c>
      <c r="BG65" s="51">
        <v>1258.3</v>
      </c>
      <c r="BH65" s="51">
        <v>1272.0999999999999</v>
      </c>
      <c r="BI65" s="51">
        <v>1340</v>
      </c>
      <c r="BJ65" s="51">
        <v>1486.9</v>
      </c>
      <c r="BK65" s="51">
        <v>1176.9000000000001</v>
      </c>
      <c r="BL65" s="51">
        <v>1333.1</v>
      </c>
      <c r="BM65" s="51">
        <v>1343.3</v>
      </c>
      <c r="BN65" s="51">
        <v>1453.8</v>
      </c>
      <c r="BO65" s="51">
        <v>1230.5</v>
      </c>
      <c r="BP65" s="51">
        <v>1402.2</v>
      </c>
      <c r="BQ65" s="51">
        <v>1380.9</v>
      </c>
      <c r="BR65" s="51">
        <v>1581.4</v>
      </c>
      <c r="BS65" s="51">
        <v>1392.1</v>
      </c>
      <c r="BT65" s="51">
        <v>1390.2</v>
      </c>
      <c r="BU65" s="51">
        <v>1465.4</v>
      </c>
      <c r="BV65" s="51">
        <v>1838</v>
      </c>
      <c r="BW65" s="51">
        <v>1672.1</v>
      </c>
      <c r="BX65" s="51">
        <v>1672.8</v>
      </c>
      <c r="BY65" s="51">
        <v>1708.9</v>
      </c>
      <c r="BZ65" s="51">
        <v>1959.4</v>
      </c>
      <c r="CA65" s="51">
        <v>1610.1</v>
      </c>
      <c r="CB65" s="51">
        <v>1625.1</v>
      </c>
      <c r="CC65" s="51">
        <f t="shared" si="89"/>
        <v>1708.9</v>
      </c>
      <c r="CD65" s="51">
        <v>1995.9</v>
      </c>
      <c r="CE65" s="51">
        <v>1985.1</v>
      </c>
      <c r="CF65" s="51">
        <v>2356.5</v>
      </c>
      <c r="CG65" s="51">
        <f t="shared" si="90"/>
        <v>1708.9</v>
      </c>
      <c r="CH65" s="51">
        <v>2562.6999999999998</v>
      </c>
      <c r="CI65" s="51">
        <v>2522.8000000000002</v>
      </c>
      <c r="CJ65" s="51">
        <f t="shared" si="91"/>
        <v>2592.15</v>
      </c>
      <c r="CK65" s="51">
        <f t="shared" si="92"/>
        <v>1879.7900000000002</v>
      </c>
      <c r="CL65" s="51">
        <f t="shared" si="93"/>
        <v>2818.9700000000003</v>
      </c>
      <c r="CP65" s="51">
        <v>2235</v>
      </c>
      <c r="CQ65" s="51">
        <v>2149</v>
      </c>
      <c r="CR65" s="51">
        <v>2350</v>
      </c>
      <c r="CS65" s="51">
        <v>2691</v>
      </c>
      <c r="CT65" s="51">
        <v>3026</v>
      </c>
      <c r="CU65" s="51">
        <v>3130</v>
      </c>
      <c r="CV65" s="51">
        <f>CU65*1.02</f>
        <v>3192.6</v>
      </c>
      <c r="CW65" s="51">
        <f>SUM(W65:Z65)</f>
        <v>3817.7</v>
      </c>
      <c r="CX65" s="51">
        <f>SUM(AA65:AD65)</f>
        <v>4326.5</v>
      </c>
      <c r="CY65" s="51">
        <f>SUM(AE65:AH65)</f>
        <v>4884.2000000000007</v>
      </c>
      <c r="CZ65" s="51">
        <f t="shared" si="94"/>
        <v>5020.8</v>
      </c>
      <c r="DA65" s="51">
        <f>SUM(AM65:AP65)</f>
        <v>5278.1</v>
      </c>
      <c r="DB65" s="51"/>
      <c r="DC65" s="51"/>
      <c r="DD65" s="51"/>
      <c r="DE65" s="51"/>
      <c r="DF65" s="51">
        <v>5096.2</v>
      </c>
      <c r="DG65" s="51">
        <v>5051.2</v>
      </c>
      <c r="DH65" s="51">
        <v>5595</v>
      </c>
      <c r="DI65" s="49">
        <f t="shared" si="96"/>
        <v>6085.7000000000007</v>
      </c>
      <c r="DJ65" s="49">
        <f t="shared" si="97"/>
        <v>7013.1999999999989</v>
      </c>
      <c r="DK65" s="49">
        <f>SUM(CA65:CD65)</f>
        <v>6940</v>
      </c>
      <c r="DL65" s="49">
        <f>SUM(CE65:CH65)</f>
        <v>8613.2000000000007</v>
      </c>
      <c r="DM65" s="49">
        <f>SUM(Model!CI65:CL65)</f>
        <v>9813.7100000000009</v>
      </c>
      <c r="DN65" s="49"/>
      <c r="DO65" s="49"/>
      <c r="DP65" s="49"/>
      <c r="DQ65" s="49"/>
      <c r="DR65" s="49"/>
      <c r="DS65" s="49"/>
    </row>
    <row r="66" spans="2:201" x14ac:dyDescent="0.15">
      <c r="B66" s="38" t="s">
        <v>250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>
        <f t="shared" ref="Z66:AE66" si="99">Z65+Z64</f>
        <v>2754.7</v>
      </c>
      <c r="AA66" s="51">
        <f t="shared" si="99"/>
        <v>2476.5</v>
      </c>
      <c r="AB66" s="51">
        <f t="shared" si="99"/>
        <v>2748.6000000000004</v>
      </c>
      <c r="AC66" s="51">
        <f t="shared" si="99"/>
        <v>2823.8999999999996</v>
      </c>
      <c r="AD66" s="51">
        <f t="shared" si="99"/>
        <v>3170</v>
      </c>
      <c r="AE66" s="51">
        <f t="shared" si="99"/>
        <v>2653.5</v>
      </c>
      <c r="AF66" s="51">
        <f t="shared" ref="AF66:AH66" si="100">AF65+AF64</f>
        <v>2942.6000000000004</v>
      </c>
      <c r="AG66" s="51">
        <f t="shared" si="100"/>
        <v>2914.7</v>
      </c>
      <c r="AH66" s="51">
        <f t="shared" si="100"/>
        <v>3426.8</v>
      </c>
      <c r="AI66" s="51">
        <f>AI65+AI64</f>
        <v>2909.7</v>
      </c>
      <c r="AJ66" s="51">
        <f>AJ65+AJ64</f>
        <v>3303.6</v>
      </c>
      <c r="AK66" s="51">
        <f>AK65+AK64</f>
        <v>3198.7</v>
      </c>
      <c r="AL66" s="51">
        <f>AL65+AL64</f>
        <v>3488.7</v>
      </c>
      <c r="AM66" s="51">
        <f>+AM65+AM64</f>
        <v>2999</v>
      </c>
      <c r="AN66" s="51">
        <f>+AN65+AN64</f>
        <v>3251.8</v>
      </c>
      <c r="AO66" s="51">
        <f>+AO65+AO64</f>
        <v>3100.2</v>
      </c>
      <c r="AP66" s="51">
        <f>+AP65+AP64</f>
        <v>3440.6</v>
      </c>
      <c r="AQ66" s="51">
        <f t="shared" ref="AQ66:AT66" si="101">+AQ65+AQ64</f>
        <v>3000.1</v>
      </c>
      <c r="AR66" s="51">
        <f t="shared" si="101"/>
        <v>3198</v>
      </c>
      <c r="AS66" s="51">
        <f t="shared" si="101"/>
        <v>3029.8</v>
      </c>
      <c r="AT66" s="51">
        <f t="shared" si="101"/>
        <v>3429</v>
      </c>
      <c r="AU66" s="51">
        <f t="shared" ref="AU66" si="102">SUM(AU64:AU65)</f>
        <v>2594.1999999999998</v>
      </c>
      <c r="AV66" s="51">
        <f t="shared" ref="AV66:AW66" si="103">SUM(AV64:AV65)</f>
        <v>2859.3</v>
      </c>
      <c r="AW66" s="51">
        <f t="shared" si="103"/>
        <v>2915.3</v>
      </c>
      <c r="AX66" s="51">
        <f t="shared" ref="AX66" si="104">SUM(AX64:AX65)</f>
        <v>2985.6000000000004</v>
      </c>
      <c r="AY66" s="51">
        <f t="shared" ref="AY66:AZ66" si="105">SUM(AY64:AY65)</f>
        <v>2562.8000000000002</v>
      </c>
      <c r="AZ66" s="51">
        <f t="shared" si="105"/>
        <v>2804.9</v>
      </c>
      <c r="BA66" s="51">
        <f t="shared" ref="BA66:BC66" si="106">SUM(BA64:BA65)</f>
        <v>2719.1000000000004</v>
      </c>
      <c r="BB66" s="51">
        <f t="shared" si="106"/>
        <v>3242.6000000000004</v>
      </c>
      <c r="BC66" s="51">
        <f t="shared" si="106"/>
        <v>2694.9</v>
      </c>
      <c r="BD66" s="51">
        <f t="shared" ref="BD66:BE66" si="107">SUM(BD64:BD65)</f>
        <v>2958.5</v>
      </c>
      <c r="BE66" s="51">
        <f t="shared" si="107"/>
        <v>2801.8</v>
      </c>
      <c r="BF66" s="51">
        <f t="shared" ref="BF66:BG66" si="108">SUM(BF64:BF65)</f>
        <v>3240.7</v>
      </c>
      <c r="BG66" s="51">
        <f t="shared" si="108"/>
        <v>2826</v>
      </c>
      <c r="BH66" s="51">
        <f t="shared" ref="BH66" si="109">SUM(BH64:BH65)</f>
        <v>3002.5</v>
      </c>
      <c r="BI66" s="51">
        <f t="shared" ref="BI66:BJ66" si="110">SUM(BI64:BI65)</f>
        <v>2918.5</v>
      </c>
      <c r="BJ66" s="51">
        <f t="shared" si="110"/>
        <v>3290.4</v>
      </c>
      <c r="BK66" s="51">
        <f t="shared" ref="BK66:BL66" si="111">SUM(BK64:BK65)</f>
        <v>2676.9</v>
      </c>
      <c r="BL66" s="51">
        <f t="shared" si="111"/>
        <v>2986.8</v>
      </c>
      <c r="BM66" s="51">
        <f t="shared" ref="BM66:BN66" si="112">SUM(BM64:BM65)</f>
        <v>2959.8999999999996</v>
      </c>
      <c r="BN66" s="51">
        <f t="shared" si="112"/>
        <v>3315.3</v>
      </c>
      <c r="BO66" s="51">
        <f t="shared" ref="BO66:CA66" si="113">SUM(BO64:BO65)</f>
        <v>2747.6</v>
      </c>
      <c r="BP66" s="51">
        <f t="shared" si="113"/>
        <v>2988.5</v>
      </c>
      <c r="BQ66" s="51">
        <f t="shared" si="113"/>
        <v>2793.2</v>
      </c>
      <c r="BR66" s="51">
        <f t="shared" si="113"/>
        <v>3279.5</v>
      </c>
      <c r="BS66" s="51">
        <f t="shared" si="113"/>
        <v>2941.7</v>
      </c>
      <c r="BT66" s="51">
        <f t="shared" si="113"/>
        <v>2838.8</v>
      </c>
      <c r="BU66" s="51">
        <f t="shared" si="113"/>
        <v>3034.5</v>
      </c>
      <c r="BV66" s="51">
        <f t="shared" si="113"/>
        <v>3391.9</v>
      </c>
      <c r="BW66" s="51">
        <f t="shared" si="113"/>
        <v>3248.1</v>
      </c>
      <c r="BX66" s="51">
        <f t="shared" si="113"/>
        <v>3358.5</v>
      </c>
      <c r="BY66" s="51">
        <f t="shared" si="113"/>
        <v>3286.8</v>
      </c>
      <c r="BZ66" s="51">
        <f t="shared" si="113"/>
        <v>3551.4</v>
      </c>
      <c r="CA66" s="51">
        <f t="shared" si="113"/>
        <v>3168</v>
      </c>
      <c r="CB66" s="51">
        <f t="shared" ref="CB66:CH66" si="114">SUM(CB64:CB65)</f>
        <v>3407</v>
      </c>
      <c r="CC66" s="51">
        <f t="shared" si="114"/>
        <v>3286.8</v>
      </c>
      <c r="CD66" s="51">
        <f t="shared" si="114"/>
        <v>3639.1000000000004</v>
      </c>
      <c r="CE66" s="51">
        <f t="shared" si="114"/>
        <v>3734.3</v>
      </c>
      <c r="CF66" s="51">
        <f t="shared" si="114"/>
        <v>4281.8999999999996</v>
      </c>
      <c r="CG66" s="51">
        <f t="shared" si="114"/>
        <v>3286.8</v>
      </c>
      <c r="CH66" s="51">
        <f t="shared" si="114"/>
        <v>4487.2999999999993</v>
      </c>
      <c r="CI66" s="51">
        <f t="shared" ref="CI66:CL66" si="115">SUM(CI64:CI65)</f>
        <v>4475</v>
      </c>
      <c r="CJ66" s="51">
        <f t="shared" si="115"/>
        <v>4710.09</v>
      </c>
      <c r="CK66" s="51">
        <f t="shared" si="115"/>
        <v>3615.4800000000005</v>
      </c>
      <c r="CL66" s="51">
        <f t="shared" si="115"/>
        <v>4936.0300000000007</v>
      </c>
      <c r="CP66" s="51">
        <f t="shared" ref="CP66:CV66" si="116">CP65+CP64</f>
        <v>5652</v>
      </c>
      <c r="CQ66" s="51">
        <f t="shared" si="116"/>
        <v>5573</v>
      </c>
      <c r="CR66" s="51">
        <f t="shared" si="116"/>
        <v>6405</v>
      </c>
      <c r="CS66" s="51">
        <f t="shared" si="116"/>
        <v>6975</v>
      </c>
      <c r="CT66" s="51">
        <f t="shared" si="116"/>
        <v>7523</v>
      </c>
      <c r="CU66" s="51">
        <f t="shared" si="116"/>
        <v>7882</v>
      </c>
      <c r="CV66" s="51">
        <f t="shared" si="116"/>
        <v>8087.16</v>
      </c>
      <c r="CW66" s="51">
        <f>CW65+CW64</f>
        <v>10436.099999999999</v>
      </c>
      <c r="CX66" s="51">
        <f t="shared" ref="CX66:DD66" si="117">CX65+CX64</f>
        <v>11219</v>
      </c>
      <c r="CY66" s="51">
        <f>CY65+CY64</f>
        <v>11937.600000000002</v>
      </c>
      <c r="CZ66" s="51">
        <f>CZ65+CZ64</f>
        <v>12900.7</v>
      </c>
      <c r="DA66" s="51">
        <f>DA65+DA64</f>
        <v>12791.6</v>
      </c>
      <c r="DB66" s="51">
        <f t="shared" si="117"/>
        <v>7137.8249999999998</v>
      </c>
      <c r="DC66" s="51">
        <f t="shared" si="117"/>
        <v>5710.26</v>
      </c>
      <c r="DD66" s="51">
        <f t="shared" si="117"/>
        <v>0</v>
      </c>
      <c r="DE66" s="51"/>
      <c r="DF66" s="51">
        <f>DF65+DF64</f>
        <v>11078.599999999999</v>
      </c>
      <c r="DG66" s="51">
        <f t="shared" ref="DG66:DH66" si="118">DG65+DG64</f>
        <v>11026.3</v>
      </c>
      <c r="DH66" s="51">
        <f t="shared" si="118"/>
        <v>11808.8</v>
      </c>
      <c r="DI66" s="51">
        <f>DI65+DI64</f>
        <v>12206.9</v>
      </c>
      <c r="DJ66" s="51">
        <f t="shared" ref="DJ66" si="119">DJ65+DJ64</f>
        <v>13444.8</v>
      </c>
      <c r="DK66" s="51">
        <f>DK65+DK64</f>
        <v>13500.900000000001</v>
      </c>
      <c r="DL66" s="51">
        <f>DL65+DL64</f>
        <v>15790.300000000001</v>
      </c>
      <c r="DM66" s="51">
        <f>DM65+DM64</f>
        <v>17736.600000000002</v>
      </c>
      <c r="DN66" s="51">
        <f t="shared" ref="DN66" si="120">DN65+DN64</f>
        <v>9261.8319999999967</v>
      </c>
      <c r="DO66" s="51">
        <f t="shared" ref="DO66" si="121">DO65+DO64</f>
        <v>11198.940920000001</v>
      </c>
      <c r="DP66" s="51">
        <f t="shared" ref="DP66" si="122">DP65+DP64</f>
        <v>13702.465547949998</v>
      </c>
      <c r="DQ66" s="51">
        <f t="shared" ref="DQ66" si="123">DQ65+DQ64</f>
        <v>15509.461060116999</v>
      </c>
      <c r="DR66" s="51">
        <f>DR65+DR64</f>
        <v>16669.604799758799</v>
      </c>
      <c r="DS66" s="51">
        <f>DS65+DS64</f>
        <v>15390.834900256088</v>
      </c>
    </row>
    <row r="67" spans="2:201" x14ac:dyDescent="0.15">
      <c r="B67" s="38" t="s">
        <v>251</v>
      </c>
      <c r="C67" s="51"/>
      <c r="D67" s="51"/>
      <c r="E67" s="51"/>
      <c r="F67" s="51"/>
      <c r="G67" s="51"/>
      <c r="H67" s="51"/>
      <c r="I67" s="51"/>
      <c r="J67" s="51">
        <f t="shared" ref="J67:S67" si="124">J63-J64-J65</f>
        <v>651.10000000000036</v>
      </c>
      <c r="K67" s="51">
        <f t="shared" si="124"/>
        <v>558.43663366336614</v>
      </c>
      <c r="L67" s="51">
        <f t="shared" si="124"/>
        <v>385.8000000000003</v>
      </c>
      <c r="M67" s="51">
        <f t="shared" si="124"/>
        <v>496.5333333333333</v>
      </c>
      <c r="N67" s="51">
        <f t="shared" si="124"/>
        <v>557.10000000000036</v>
      </c>
      <c r="O67" s="51">
        <f t="shared" si="124"/>
        <v>537.20000000000027</v>
      </c>
      <c r="P67" s="51">
        <f t="shared" si="124"/>
        <v>549</v>
      </c>
      <c r="Q67" s="51">
        <f t="shared" si="124"/>
        <v>702.40000000000009</v>
      </c>
      <c r="R67" s="51">
        <f t="shared" si="124"/>
        <v>2301.8000000000006</v>
      </c>
      <c r="S67" s="51">
        <f t="shared" si="124"/>
        <v>1142.5</v>
      </c>
      <c r="T67" s="51">
        <f t="shared" ref="T67:Y67" si="125">T63-T64-T65</f>
        <v>815.80000000000007</v>
      </c>
      <c r="U67" s="51">
        <f t="shared" si="125"/>
        <v>2522.3999999999987</v>
      </c>
      <c r="V67" s="51">
        <f t="shared" si="125"/>
        <v>2683.5000000000005</v>
      </c>
      <c r="W67" s="51">
        <f t="shared" si="125"/>
        <v>2702.900000000001</v>
      </c>
      <c r="X67" s="51">
        <f t="shared" si="125"/>
        <v>2850.9999999999986</v>
      </c>
      <c r="Y67" s="51">
        <f t="shared" si="125"/>
        <v>3039.5000000000009</v>
      </c>
      <c r="Z67" s="51">
        <f t="shared" ref="Z67:AE67" si="126">Z63-Z66</f>
        <v>1556.1999999999998</v>
      </c>
      <c r="AA67" s="51">
        <f t="shared" si="126"/>
        <v>1598.9</v>
      </c>
      <c r="AB67" s="51">
        <f t="shared" si="126"/>
        <v>1417.5</v>
      </c>
      <c r="AC67" s="51">
        <f t="shared" si="126"/>
        <v>1686.2000000000007</v>
      </c>
      <c r="AD67" s="51">
        <f t="shared" si="126"/>
        <v>1332.6999999999998</v>
      </c>
      <c r="AE67" s="51">
        <f t="shared" si="126"/>
        <v>1709.5</v>
      </c>
      <c r="AF67" s="51">
        <f t="shared" ref="AF67:AH67" si="127">AF63-AF66</f>
        <v>1782.1999999999998</v>
      </c>
      <c r="AG67" s="51">
        <f t="shared" si="127"/>
        <v>1752.5</v>
      </c>
      <c r="AH67" s="51">
        <f t="shared" si="127"/>
        <v>1528.2000000000007</v>
      </c>
      <c r="AI67" s="51">
        <f>AI63-AI66</f>
        <v>1749.4000000000005</v>
      </c>
      <c r="AJ67" s="51">
        <f>AJ63-AJ66</f>
        <v>1721.1999999999985</v>
      </c>
      <c r="AK67" s="51">
        <f>AK63-AK66</f>
        <v>1611.3000000000002</v>
      </c>
      <c r="AL67" s="51">
        <f>AL63-AL66</f>
        <v>1236.9000000000005</v>
      </c>
      <c r="AM67" s="51">
        <f>+AM63-AM66</f>
        <v>1405.5</v>
      </c>
      <c r="AN67" s="51">
        <f>+AN63-AN66</f>
        <v>1201.9999999999991</v>
      </c>
      <c r="AO67" s="51">
        <f>+AO63-AO66</f>
        <v>1138.6999999999998</v>
      </c>
      <c r="AP67" s="51">
        <f>+AP63-AP66</f>
        <v>1268.4000000000001</v>
      </c>
      <c r="AQ67" s="51">
        <f t="shared" ref="AQ67:AT67" si="128">+AQ63-AQ66</f>
        <v>1443.6</v>
      </c>
      <c r="AR67" s="51">
        <f t="shared" si="128"/>
        <v>1566.5</v>
      </c>
      <c r="AS67" s="51">
        <f t="shared" si="128"/>
        <v>1544.6999999999998</v>
      </c>
      <c r="AT67" s="51">
        <f t="shared" si="128"/>
        <v>993.30000000000018</v>
      </c>
      <c r="AU67" s="51">
        <f t="shared" ref="AU67" si="129">AU63-AU66</f>
        <v>866.20000000000073</v>
      </c>
      <c r="AV67" s="51">
        <f t="shared" ref="AV67:AW67" si="130">AV63-AV66</f>
        <v>886.60000000000036</v>
      </c>
      <c r="AW67" s="51">
        <f t="shared" si="130"/>
        <v>693.30000000000018</v>
      </c>
      <c r="AX67" s="51">
        <f t="shared" ref="AX67" si="131">AX63-AX66</f>
        <v>882.59999999999991</v>
      </c>
      <c r="AY67" s="51">
        <f t="shared" ref="AY67:AZ67" si="132">AY63-AY66</f>
        <v>889.19999999999982</v>
      </c>
      <c r="AZ67" s="51">
        <f t="shared" si="132"/>
        <v>1139.8999999999996</v>
      </c>
      <c r="BA67" s="51">
        <f t="shared" ref="BA67:BC67" si="133">BA63-BA66</f>
        <v>1003.6999999999994</v>
      </c>
      <c r="BB67" s="51">
        <f t="shared" si="133"/>
        <v>743.80000000000018</v>
      </c>
      <c r="BC67" s="51">
        <f t="shared" si="133"/>
        <v>847.20000000000027</v>
      </c>
      <c r="BD67" s="51">
        <f t="shared" ref="BD67:BE67" si="134">BD63-BD66</f>
        <v>1147.8999999999996</v>
      </c>
      <c r="BE67" s="51">
        <f t="shared" si="134"/>
        <v>988.99999999999955</v>
      </c>
      <c r="BF67" s="51">
        <f t="shared" ref="BF67:BG67" si="135">BF63-BF66</f>
        <v>1053.8000000000002</v>
      </c>
      <c r="BG67" s="51">
        <f t="shared" si="135"/>
        <v>1054.4000000000001</v>
      </c>
      <c r="BH67" s="51">
        <f t="shared" ref="BH67" si="136">BH63-BH66</f>
        <v>1250.1000000000004</v>
      </c>
      <c r="BI67" s="51">
        <f t="shared" ref="BI67:BJ67" si="137">BI63-BI66</f>
        <v>1153.1999999999998</v>
      </c>
      <c r="BJ67" s="51">
        <f t="shared" si="137"/>
        <v>1225.3999999999992</v>
      </c>
      <c r="BK67" s="51">
        <f t="shared" ref="BK67:BL67" si="138">BK63-BK66</f>
        <v>1451.7999999999997</v>
      </c>
      <c r="BL67" s="51">
        <f t="shared" si="138"/>
        <v>1665.6999999999998</v>
      </c>
      <c r="BM67" s="51">
        <f t="shared" ref="BM67:BN67" si="139">BM63-BM66</f>
        <v>1539.6999999999998</v>
      </c>
      <c r="BN67" s="51">
        <f t="shared" si="139"/>
        <v>1529.6000000000004</v>
      </c>
      <c r="BO67" s="51">
        <f t="shared" ref="BO67:CA67" si="140">BO63-BO66</f>
        <v>2213.6999999999994</v>
      </c>
      <c r="BP67" s="51">
        <f t="shared" si="140"/>
        <v>2603.4000000000005</v>
      </c>
      <c r="BQ67" s="51">
        <f t="shared" si="140"/>
        <v>2576.6999999999998</v>
      </c>
      <c r="BR67" s="51">
        <f t="shared" si="140"/>
        <v>2813.5</v>
      </c>
      <c r="BS67" s="51">
        <f t="shared" si="140"/>
        <v>1761.5999999999976</v>
      </c>
      <c r="BT67" s="51">
        <f t="shared" si="140"/>
        <v>1541.3999999999987</v>
      </c>
      <c r="BU67" s="51">
        <f t="shared" si="140"/>
        <v>1506.1999999999989</v>
      </c>
      <c r="BV67" s="51">
        <f t="shared" si="140"/>
        <v>2328.3999999999992</v>
      </c>
      <c r="BW67" s="51">
        <f t="shared" si="140"/>
        <v>1886.1000000000008</v>
      </c>
      <c r="BX67" s="51">
        <f t="shared" si="140"/>
        <v>1983.4999999999973</v>
      </c>
      <c r="BY67" s="51">
        <f t="shared" si="140"/>
        <v>2064.3999999999978</v>
      </c>
      <c r="BZ67" s="51">
        <f t="shared" si="140"/>
        <v>2398.2999999999997</v>
      </c>
      <c r="CA67" s="51">
        <f t="shared" si="140"/>
        <v>2774.5999999999995</v>
      </c>
      <c r="CB67" s="51">
        <f t="shared" ref="CB67:CH67" si="141">CB63-CB66</f>
        <v>1771.7000000000016</v>
      </c>
      <c r="CC67" s="51">
        <f t="shared" si="141"/>
        <v>2197.1430000000009</v>
      </c>
      <c r="CD67" s="51">
        <f t="shared" si="141"/>
        <v>2239.3000000000011</v>
      </c>
      <c r="CE67" s="51">
        <f t="shared" si="141"/>
        <v>1724.9999999999991</v>
      </c>
      <c r="CF67" s="51">
        <f t="shared" si="141"/>
        <v>1770.1999999999989</v>
      </c>
      <c r="CG67" s="51">
        <f t="shared" si="141"/>
        <v>4217.0940000000001</v>
      </c>
      <c r="CH67" s="51">
        <f t="shared" si="141"/>
        <v>3207.1000000000004</v>
      </c>
      <c r="CI67" s="51">
        <f t="shared" ref="CI67:CL67" si="142">CI63-CI66</f>
        <v>2619.3999999999996</v>
      </c>
      <c r="CJ67" s="51">
        <f t="shared" si="142"/>
        <v>1062.942</v>
      </c>
      <c r="CK67" s="51">
        <f t="shared" si="142"/>
        <v>2526.1019999999999</v>
      </c>
      <c r="CL67" s="51">
        <f t="shared" si="142"/>
        <v>1574.1020000000008</v>
      </c>
      <c r="CP67" s="51">
        <f t="shared" ref="CP67:CX67" si="143">CP63-CP64-CP65</f>
        <v>3817</v>
      </c>
      <c r="CQ67" s="51">
        <f t="shared" si="143"/>
        <v>3327</v>
      </c>
      <c r="CR67" s="51">
        <f t="shared" si="143"/>
        <v>3505</v>
      </c>
      <c r="CS67" s="51">
        <f t="shared" si="143"/>
        <v>3660</v>
      </c>
      <c r="CT67" s="51">
        <f t="shared" si="143"/>
        <v>3653</v>
      </c>
      <c r="CU67" s="51">
        <f t="shared" si="143"/>
        <v>4400.4999999999982</v>
      </c>
      <c r="CV67" s="51">
        <f t="shared" si="143"/>
        <v>6336.8340000000007</v>
      </c>
      <c r="CW67" s="51">
        <f>CW63-CW64-CW65</f>
        <v>10149.599999999999</v>
      </c>
      <c r="CX67" s="51">
        <f t="shared" si="143"/>
        <v>6035.2999999999993</v>
      </c>
      <c r="CY67" s="51">
        <f>CY63-CY64-CY65</f>
        <v>5589.9999999999964</v>
      </c>
      <c r="CZ67" s="51">
        <f>CZ63-CZ64-CZ65</f>
        <v>5908.7000000000016</v>
      </c>
      <c r="DA67" s="51">
        <f>DA63-DA64-DA65</f>
        <v>4413.3999999999996</v>
      </c>
      <c r="DB67" s="51">
        <f t="shared" ref="DB67:DD67" si="144">DB63-DB64-DB65</f>
        <v>-7137.8249999999998</v>
      </c>
      <c r="DC67" s="51">
        <f t="shared" si="144"/>
        <v>-5710.26</v>
      </c>
      <c r="DD67" s="51">
        <f t="shared" si="144"/>
        <v>0</v>
      </c>
      <c r="DE67" s="51"/>
      <c r="DF67" s="51">
        <f t="shared" ref="DF67:DH67" si="145">+DF63-DF66</f>
        <v>4447.8000000000029</v>
      </c>
      <c r="DG67" s="51">
        <f t="shared" si="145"/>
        <v>5784.8999999999978</v>
      </c>
      <c r="DH67" s="51">
        <f t="shared" si="145"/>
        <v>5789.4000000000015</v>
      </c>
      <c r="DI67" s="51">
        <f>+DI63-DI66</f>
        <v>7137.6</v>
      </c>
      <c r="DJ67" s="51">
        <f>+DJ63-DJ66</f>
        <v>8332.2999999999993</v>
      </c>
      <c r="DK67" s="51">
        <f>+DK63-DK66</f>
        <v>8982.7430000000058</v>
      </c>
      <c r="DL67" s="51">
        <f>+DL63-DL66</f>
        <v>10919.393999999995</v>
      </c>
      <c r="DM67" s="51">
        <f>+DM63-DM66</f>
        <v>7782.5459999999985</v>
      </c>
      <c r="DN67" s="51">
        <f t="shared" ref="DN67" si="146">+DN63-DN66</f>
        <v>20005.557119999998</v>
      </c>
      <c r="DO67" s="51">
        <f t="shared" ref="DO67" si="147">+DO63-DO66</f>
        <v>24189.712387200001</v>
      </c>
      <c r="DP67" s="51">
        <f t="shared" ref="DP67" si="148">+DP63-DP66</f>
        <v>29597.325583571997</v>
      </c>
      <c r="DQ67" s="51">
        <f t="shared" ref="DQ67" si="149">+DQ63-DQ66</f>
        <v>33500.435889852721</v>
      </c>
      <c r="DR67" s="51">
        <f>+DR63-DR66</f>
        <v>36006.346367479011</v>
      </c>
      <c r="DS67" s="51">
        <f>+DS63-DS66</f>
        <v>36938.003760614614</v>
      </c>
    </row>
    <row r="68" spans="2:201" x14ac:dyDescent="0.15">
      <c r="B68" t="s">
        <v>78</v>
      </c>
      <c r="C68" s="51"/>
      <c r="D68" s="51"/>
      <c r="E68" s="51"/>
      <c r="F68" s="51"/>
      <c r="G68" s="51"/>
      <c r="H68" s="51"/>
      <c r="I68" s="51"/>
      <c r="J68" s="51">
        <v>69.099999999999994</v>
      </c>
      <c r="K68" s="51">
        <v>99</v>
      </c>
      <c r="L68" s="51">
        <v>45.4</v>
      </c>
      <c r="M68" s="51">
        <v>85</v>
      </c>
      <c r="N68" s="51">
        <v>85.2</v>
      </c>
      <c r="O68" s="51">
        <v>32</v>
      </c>
      <c r="P68" s="51">
        <v>47</v>
      </c>
      <c r="Q68" s="51">
        <v>-4.8</v>
      </c>
      <c r="R68" s="51">
        <v>38.9</v>
      </c>
      <c r="S68" s="51">
        <v>38.299999999999997</v>
      </c>
      <c r="T68" s="51">
        <v>1.8</v>
      </c>
      <c r="U68" s="51">
        <v>49.8</v>
      </c>
      <c r="V68" s="51">
        <v>32.1</v>
      </c>
      <c r="W68" s="51">
        <v>20.3</v>
      </c>
      <c r="X68" s="51">
        <v>32.299999999999997</v>
      </c>
      <c r="Y68" s="51">
        <v>2.5</v>
      </c>
      <c r="Z68" s="51">
        <v>-48.2</v>
      </c>
      <c r="AA68" s="51">
        <v>-70.7</v>
      </c>
      <c r="AB68" s="51">
        <v>-24.1</v>
      </c>
      <c r="AC68" s="51">
        <f>-44-22.9</f>
        <v>-66.900000000000006</v>
      </c>
      <c r="AD68" s="51">
        <v>-67.8</v>
      </c>
      <c r="AE68" s="51">
        <v>74.5</v>
      </c>
      <c r="AF68" s="51">
        <f>-36.5+18.1-18.4</f>
        <v>-36.799999999999997</v>
      </c>
      <c r="AG68" s="51">
        <f>-30.9+9.2-21.7</f>
        <v>-43.4</v>
      </c>
      <c r="AH68" s="51">
        <v>-39.4</v>
      </c>
      <c r="AI68" s="51">
        <v>-11.2</v>
      </c>
      <c r="AJ68" s="51">
        <v>-57.6</v>
      </c>
      <c r="AK68" s="51">
        <f>-22.8-60.6</f>
        <v>-83.4</v>
      </c>
      <c r="AL68" s="51">
        <v>-26.8</v>
      </c>
      <c r="AM68" s="51">
        <f>-19.2-26.8</f>
        <v>-46</v>
      </c>
      <c r="AN68" s="51">
        <f>-15.8-0.7</f>
        <v>-16.5</v>
      </c>
      <c r="AO68" s="51">
        <f>-21.3+22</f>
        <v>0.69999999999999929</v>
      </c>
      <c r="AP68" s="51">
        <v>-52</v>
      </c>
      <c r="AQ68" s="51">
        <f>-16.7+50.5</f>
        <v>33.799999999999997</v>
      </c>
      <c r="AR68" s="51">
        <v>11.9</v>
      </c>
      <c r="AS68" s="51">
        <v>-31.3</v>
      </c>
      <c r="AT68" s="51">
        <v>9.1</v>
      </c>
      <c r="AU68" s="51">
        <v>56</v>
      </c>
      <c r="AV68" s="51">
        <v>53.8</v>
      </c>
      <c r="AW68" s="51">
        <v>93.5</v>
      </c>
      <c r="AX68" s="51">
        <v>137.19999999999999</v>
      </c>
      <c r="AY68" s="51">
        <v>92.7</v>
      </c>
      <c r="AZ68" s="51">
        <v>-123.3</v>
      </c>
      <c r="BA68" s="51">
        <v>86.5</v>
      </c>
      <c r="BB68" s="51">
        <v>44.7</v>
      </c>
      <c r="BC68" s="51">
        <v>-149</v>
      </c>
      <c r="BD68" s="51">
        <v>21.2</v>
      </c>
      <c r="BE68" s="51">
        <v>27.2</v>
      </c>
      <c r="BF68" s="51">
        <v>15.8</v>
      </c>
      <c r="BG68" s="51">
        <v>78.3</v>
      </c>
      <c r="BH68" s="51">
        <v>60.4</v>
      </c>
      <c r="BI68" s="51">
        <f>-16.8+66.7</f>
        <v>49.900000000000006</v>
      </c>
      <c r="BJ68" s="51">
        <f>-10.2+122.1</f>
        <v>111.89999999999999</v>
      </c>
      <c r="BK68" s="51">
        <v>67.5</v>
      </c>
      <c r="BL68" s="51">
        <v>38</v>
      </c>
      <c r="BM68" s="51">
        <f>-37.3+21.9</f>
        <v>-15.399999999999999</v>
      </c>
      <c r="BN68" s="51">
        <f>-35.7+20.4</f>
        <v>-15.300000000000004</v>
      </c>
      <c r="BO68" s="51">
        <v>55.9</v>
      </c>
      <c r="BP68" s="51">
        <v>91.5</v>
      </c>
      <c r="BQ68" s="51">
        <v>90.1</v>
      </c>
      <c r="BR68" s="51">
        <v>82.7</v>
      </c>
      <c r="BS68" s="51">
        <v>78.2</v>
      </c>
      <c r="BT68" s="51">
        <v>81.2</v>
      </c>
      <c r="BU68" s="51">
        <v>83.8</v>
      </c>
      <c r="BV68" s="51">
        <v>83.4</v>
      </c>
      <c r="BW68" s="51">
        <v>-34.6</v>
      </c>
      <c r="BX68" s="51">
        <v>81.5</v>
      </c>
      <c r="BY68" s="51">
        <v>77.599999999999994</v>
      </c>
      <c r="BZ68" s="51">
        <v>77.3</v>
      </c>
      <c r="CA68" s="51">
        <v>-37.700000000000003</v>
      </c>
      <c r="CB68" s="51">
        <f>-71-48.2</f>
        <v>-119.2</v>
      </c>
      <c r="CC68" s="51">
        <v>0</v>
      </c>
      <c r="CD68" s="51">
        <f>260-216.5</f>
        <v>43.5</v>
      </c>
      <c r="CE68" s="51">
        <f>-68.6+104.3</f>
        <v>35.700000000000003</v>
      </c>
      <c r="CF68" s="51">
        <v>-36.799999999999997</v>
      </c>
      <c r="CG68" s="51">
        <v>0</v>
      </c>
      <c r="CH68" s="51">
        <f>121-117</f>
        <v>4</v>
      </c>
      <c r="CI68" s="51">
        <f>-133.8+160.9+27.1</f>
        <v>54.199999999999996</v>
      </c>
      <c r="CJ68" s="51"/>
      <c r="CK68" s="51"/>
      <c r="CL68" s="51"/>
      <c r="CP68" s="51">
        <v>134</v>
      </c>
      <c r="CQ68" s="51">
        <v>214</v>
      </c>
      <c r="CR68" s="51">
        <v>85</v>
      </c>
      <c r="CS68" s="51">
        <v>279</v>
      </c>
      <c r="CT68" s="51">
        <v>313</v>
      </c>
      <c r="CU68" s="51">
        <v>201</v>
      </c>
      <c r="CV68" s="51">
        <v>100</v>
      </c>
      <c r="CW68" s="51">
        <f>SUM(W68:Z68)</f>
        <v>6.8999999999999915</v>
      </c>
      <c r="CX68" s="51">
        <f>SUM(AA68:AD68)</f>
        <v>-229.5</v>
      </c>
      <c r="CY68" s="51">
        <f>SUM(AE68:AH68)</f>
        <v>-45.099999999999994</v>
      </c>
      <c r="CZ68" s="51">
        <f t="shared" ref="CZ68" si="150">SUM(AI68:AL68)</f>
        <v>-179</v>
      </c>
      <c r="DA68" s="51">
        <f>SUM(AM68:AP68)</f>
        <v>-113.8</v>
      </c>
      <c r="DB68" s="51"/>
      <c r="DC68" s="51"/>
      <c r="DD68" s="51"/>
      <c r="DE68" s="51"/>
      <c r="DF68" s="51"/>
      <c r="DG68" s="53"/>
      <c r="DH68" s="53"/>
      <c r="DK68" s="49">
        <f>SUM(CA68:CD68)</f>
        <v>-113.4</v>
      </c>
      <c r="DL68" s="49">
        <f>SUM(CE68:CH68)</f>
        <v>2.9000000000000057</v>
      </c>
      <c r="DM68" s="49">
        <v>-450</v>
      </c>
      <c r="DN68" s="49">
        <f t="shared" ref="DN68:DR68" si="151">+DM88*$DU$86</f>
        <v>1116.9881911999996</v>
      </c>
      <c r="DO68" s="49">
        <f t="shared" si="151"/>
        <v>2299.8507286271997</v>
      </c>
      <c r="DP68" s="49">
        <f t="shared" si="151"/>
        <v>3783.2662631135231</v>
      </c>
      <c r="DQ68" s="49">
        <f t="shared" si="151"/>
        <v>5652.5794065279124</v>
      </c>
      <c r="DR68" s="49">
        <f t="shared" si="151"/>
        <v>7845.1482631252275</v>
      </c>
      <c r="DS68" s="49">
        <f>+DR88*$DU$86</f>
        <v>10300.831962439064</v>
      </c>
    </row>
    <row r="69" spans="2:201" x14ac:dyDescent="0.15">
      <c r="B69" t="s">
        <v>81</v>
      </c>
      <c r="C69" s="51"/>
      <c r="D69" s="51"/>
      <c r="E69" s="51"/>
      <c r="F69" s="51"/>
      <c r="G69" s="51"/>
      <c r="H69" s="51"/>
      <c r="I69" s="51"/>
      <c r="J69" s="51">
        <f t="shared" ref="J69:S69" si="152">J67+J68</f>
        <v>720.20000000000039</v>
      </c>
      <c r="K69" s="51">
        <f t="shared" si="152"/>
        <v>657.43663366336614</v>
      </c>
      <c r="L69" s="51">
        <f t="shared" si="152"/>
        <v>431.20000000000027</v>
      </c>
      <c r="M69" s="51">
        <f t="shared" si="152"/>
        <v>581.5333333333333</v>
      </c>
      <c r="N69" s="51">
        <f t="shared" si="152"/>
        <v>642.30000000000041</v>
      </c>
      <c r="O69" s="51">
        <f t="shared" si="152"/>
        <v>569.20000000000027</v>
      </c>
      <c r="P69" s="51">
        <f t="shared" si="152"/>
        <v>596</v>
      </c>
      <c r="Q69" s="51">
        <f t="shared" si="152"/>
        <v>697.60000000000014</v>
      </c>
      <c r="R69" s="51">
        <f t="shared" si="152"/>
        <v>2340.7000000000007</v>
      </c>
      <c r="S69" s="51">
        <f t="shared" si="152"/>
        <v>1180.8</v>
      </c>
      <c r="T69" s="51">
        <f t="shared" ref="T69:AA69" si="153">T67+T68</f>
        <v>817.6</v>
      </c>
      <c r="U69" s="51">
        <f t="shared" si="153"/>
        <v>2572.1999999999989</v>
      </c>
      <c r="V69" s="51">
        <f t="shared" si="153"/>
        <v>2715.6000000000004</v>
      </c>
      <c r="W69" s="51">
        <f t="shared" si="153"/>
        <v>2723.2000000000012</v>
      </c>
      <c r="X69" s="51">
        <f t="shared" si="153"/>
        <v>2883.2999999999988</v>
      </c>
      <c r="Y69" s="51">
        <f t="shared" si="153"/>
        <v>3042.0000000000009</v>
      </c>
      <c r="Z69" s="51">
        <f t="shared" si="153"/>
        <v>1507.9999999999998</v>
      </c>
      <c r="AA69" s="51">
        <f t="shared" si="153"/>
        <v>1528.2</v>
      </c>
      <c r="AB69" s="51">
        <f t="shared" ref="AB69:AG69" si="154">AB67+AB68</f>
        <v>1393.4</v>
      </c>
      <c r="AC69" s="51">
        <f t="shared" si="154"/>
        <v>1619.3000000000006</v>
      </c>
      <c r="AD69" s="51">
        <f t="shared" si="154"/>
        <v>1264.8999999999999</v>
      </c>
      <c r="AE69" s="51">
        <f t="shared" si="154"/>
        <v>1784</v>
      </c>
      <c r="AF69" s="51">
        <f t="shared" si="154"/>
        <v>1745.3999999999999</v>
      </c>
      <c r="AG69" s="51">
        <f t="shared" si="154"/>
        <v>1709.1</v>
      </c>
      <c r="AH69" s="51">
        <f>AH67+AH68</f>
        <v>1488.8000000000006</v>
      </c>
      <c r="AI69" s="51">
        <f>AI67+AI68</f>
        <v>1738.2000000000005</v>
      </c>
      <c r="AJ69" s="51">
        <f>AJ67+AJ68</f>
        <v>1663.5999999999985</v>
      </c>
      <c r="AK69" s="51">
        <f>AK67+AK68</f>
        <v>1527.9</v>
      </c>
      <c r="AL69" s="51">
        <f>AL67+AL68</f>
        <v>1210.1000000000006</v>
      </c>
      <c r="AM69" s="51">
        <f>+AM67+AM68</f>
        <v>1359.5</v>
      </c>
      <c r="AN69" s="51">
        <f>+AN67+AN68</f>
        <v>1185.4999999999991</v>
      </c>
      <c r="AO69" s="51">
        <f>+AO67+AO68</f>
        <v>1139.3999999999999</v>
      </c>
      <c r="AP69" s="51">
        <f>+AP67+AP68</f>
        <v>1216.4000000000001</v>
      </c>
      <c r="AQ69" s="51">
        <f t="shared" ref="AQ69:AS69" si="155">+AQ67+AQ68</f>
        <v>1477.3999999999999</v>
      </c>
      <c r="AR69" s="51">
        <f t="shared" si="155"/>
        <v>1578.4</v>
      </c>
      <c r="AS69" s="51">
        <f t="shared" si="155"/>
        <v>1513.3999999999999</v>
      </c>
      <c r="AT69" s="51">
        <f>+AT67+AT68</f>
        <v>1002.4000000000002</v>
      </c>
      <c r="AU69" s="51">
        <f t="shared" ref="AU69" si="156">AU67-AU68</f>
        <v>810.20000000000073</v>
      </c>
      <c r="AV69" s="51">
        <f t="shared" ref="AV69:AW69" si="157">AV67-AV68</f>
        <v>832.80000000000041</v>
      </c>
      <c r="AW69" s="51">
        <f t="shared" si="157"/>
        <v>599.80000000000018</v>
      </c>
      <c r="AX69" s="51">
        <f t="shared" ref="AX69" si="158">AX67-AX68</f>
        <v>745.39999999999986</v>
      </c>
      <c r="AY69" s="51">
        <f t="shared" ref="AY69:AZ69" si="159">AY67-AY68</f>
        <v>796.49999999999977</v>
      </c>
      <c r="AZ69" s="51">
        <f t="shared" si="159"/>
        <v>1263.1999999999996</v>
      </c>
      <c r="BA69" s="51">
        <f t="shared" ref="BA69:BC69" si="160">BA67-BA68</f>
        <v>917.19999999999936</v>
      </c>
      <c r="BB69" s="51">
        <f t="shared" si="160"/>
        <v>699.10000000000014</v>
      </c>
      <c r="BC69" s="51">
        <f t="shared" si="160"/>
        <v>996.20000000000027</v>
      </c>
      <c r="BD69" s="51">
        <f t="shared" ref="BD69:BE69" si="161">BD67-BD68</f>
        <v>1126.6999999999996</v>
      </c>
      <c r="BE69" s="51">
        <f t="shared" si="161"/>
        <v>961.7999999999995</v>
      </c>
      <c r="BF69" s="51">
        <f t="shared" ref="BF69:BG69" si="162">BF67-BF68</f>
        <v>1038.0000000000002</v>
      </c>
      <c r="BG69" s="51">
        <f t="shared" si="162"/>
        <v>976.10000000000014</v>
      </c>
      <c r="BH69" s="51">
        <f t="shared" ref="BH69:BJ69" si="163">BH67-BH68</f>
        <v>1189.7000000000003</v>
      </c>
      <c r="BI69" s="51">
        <f t="shared" si="163"/>
        <v>1103.2999999999997</v>
      </c>
      <c r="BJ69" s="51">
        <f t="shared" si="163"/>
        <v>1113.4999999999991</v>
      </c>
      <c r="BK69" s="51">
        <f t="shared" ref="BK69:BL69" si="164">BK67-BK68</f>
        <v>1384.2999999999997</v>
      </c>
      <c r="BL69" s="51">
        <f t="shared" si="164"/>
        <v>1627.6999999999998</v>
      </c>
      <c r="BM69" s="51">
        <f t="shared" ref="BM69:BN69" si="165">BM67-BM68</f>
        <v>1555.1</v>
      </c>
      <c r="BN69" s="51">
        <f t="shared" si="165"/>
        <v>1544.9000000000003</v>
      </c>
      <c r="BO69" s="51">
        <f t="shared" ref="BO69:CL69" si="166">BO67-BO68</f>
        <v>2157.7999999999993</v>
      </c>
      <c r="BP69" s="51">
        <f t="shared" si="166"/>
        <v>2511.9000000000005</v>
      </c>
      <c r="BQ69" s="51">
        <f t="shared" si="166"/>
        <v>2486.6</v>
      </c>
      <c r="BR69" s="51">
        <f t="shared" si="166"/>
        <v>2730.8</v>
      </c>
      <c r="BS69" s="51">
        <f t="shared" si="166"/>
        <v>1683.3999999999976</v>
      </c>
      <c r="BT69" s="51">
        <f t="shared" si="166"/>
        <v>1460.1999999999987</v>
      </c>
      <c r="BU69" s="51">
        <f t="shared" si="166"/>
        <v>1422.399999999999</v>
      </c>
      <c r="BV69" s="51">
        <f t="shared" si="166"/>
        <v>2244.9999999999991</v>
      </c>
      <c r="BW69" s="51">
        <f t="shared" si="166"/>
        <v>1920.7000000000007</v>
      </c>
      <c r="BX69" s="51">
        <f t="shared" si="166"/>
        <v>1901.9999999999973</v>
      </c>
      <c r="BY69" s="51">
        <f t="shared" si="166"/>
        <v>1986.7999999999979</v>
      </c>
      <c r="BZ69" s="51">
        <f t="shared" si="166"/>
        <v>2320.9999999999995</v>
      </c>
      <c r="CA69" s="51">
        <f t="shared" si="166"/>
        <v>2812.2999999999993</v>
      </c>
      <c r="CB69" s="51">
        <f t="shared" si="166"/>
        <v>1890.9000000000017</v>
      </c>
      <c r="CC69" s="51">
        <f t="shared" si="166"/>
        <v>2197.1430000000009</v>
      </c>
      <c r="CD69" s="51">
        <f t="shared" si="166"/>
        <v>2195.8000000000011</v>
      </c>
      <c r="CE69" s="51">
        <f t="shared" si="166"/>
        <v>1689.299999999999</v>
      </c>
      <c r="CF69" s="51">
        <f t="shared" si="166"/>
        <v>1806.9999999999989</v>
      </c>
      <c r="CG69" s="51">
        <f t="shared" si="166"/>
        <v>4217.0940000000001</v>
      </c>
      <c r="CH69" s="51">
        <f t="shared" si="166"/>
        <v>3203.1000000000004</v>
      </c>
      <c r="CI69" s="51">
        <f t="shared" si="166"/>
        <v>2565.1999999999998</v>
      </c>
      <c r="CJ69" s="51">
        <f t="shared" si="166"/>
        <v>1062.942</v>
      </c>
      <c r="CK69" s="51">
        <f t="shared" si="166"/>
        <v>2526.1019999999999</v>
      </c>
      <c r="CL69" s="51">
        <f t="shared" si="166"/>
        <v>1574.1020000000008</v>
      </c>
      <c r="CP69" s="51">
        <f t="shared" ref="CP69:CU69" si="167">CP67+CP68</f>
        <v>3951</v>
      </c>
      <c r="CQ69" s="51">
        <f t="shared" si="167"/>
        <v>3541</v>
      </c>
      <c r="CR69" s="51">
        <f t="shared" si="167"/>
        <v>3590</v>
      </c>
      <c r="CS69" s="51">
        <f t="shared" si="167"/>
        <v>3939</v>
      </c>
      <c r="CT69" s="51">
        <f t="shared" si="167"/>
        <v>3966</v>
      </c>
      <c r="CU69" s="51">
        <f t="shared" si="167"/>
        <v>4601.4999999999982</v>
      </c>
      <c r="CV69" s="51">
        <f t="shared" ref="CV69" si="168">CV67+CV68</f>
        <v>6436.8340000000007</v>
      </c>
      <c r="CW69" s="51">
        <f t="shared" ref="CW69:DF69" si="169">CW67+CW68</f>
        <v>10156.499999999998</v>
      </c>
      <c r="CX69" s="51">
        <f t="shared" si="169"/>
        <v>5805.7999999999993</v>
      </c>
      <c r="CY69" s="51">
        <f t="shared" si="169"/>
        <v>5544.899999999996</v>
      </c>
      <c r="CZ69" s="51">
        <f t="shared" si="169"/>
        <v>5729.7000000000016</v>
      </c>
      <c r="DA69" s="51">
        <f t="shared" si="169"/>
        <v>4299.5999999999995</v>
      </c>
      <c r="DB69" s="51">
        <f t="shared" si="169"/>
        <v>-7137.8249999999998</v>
      </c>
      <c r="DC69" s="51">
        <f t="shared" si="169"/>
        <v>-5710.26</v>
      </c>
      <c r="DD69" s="51">
        <f t="shared" si="169"/>
        <v>0</v>
      </c>
      <c r="DE69" s="51">
        <f t="shared" si="169"/>
        <v>0</v>
      </c>
      <c r="DF69" s="51">
        <f t="shared" si="169"/>
        <v>4447.8000000000029</v>
      </c>
      <c r="DG69" s="51">
        <f t="shared" ref="DG69:DR69" si="170">DG67+DG68</f>
        <v>5784.8999999999978</v>
      </c>
      <c r="DH69" s="51">
        <f t="shared" si="170"/>
        <v>5789.4000000000015</v>
      </c>
      <c r="DI69" s="51">
        <f t="shared" si="170"/>
        <v>7137.6</v>
      </c>
      <c r="DJ69" s="51">
        <f t="shared" si="170"/>
        <v>8332.2999999999993</v>
      </c>
      <c r="DK69" s="51">
        <f t="shared" si="170"/>
        <v>8869.3430000000062</v>
      </c>
      <c r="DL69" s="51">
        <f t="shared" si="170"/>
        <v>10922.293999999994</v>
      </c>
      <c r="DM69" s="51">
        <f>DM67+DM68</f>
        <v>7332.5459999999985</v>
      </c>
      <c r="DN69" s="51">
        <f t="shared" si="170"/>
        <v>21122.545311199996</v>
      </c>
      <c r="DO69" s="51">
        <f t="shared" si="170"/>
        <v>26489.563115827201</v>
      </c>
      <c r="DP69" s="51">
        <f t="shared" si="170"/>
        <v>33380.591846685522</v>
      </c>
      <c r="DQ69" s="51">
        <f t="shared" si="170"/>
        <v>39153.015296380632</v>
      </c>
      <c r="DR69" s="51">
        <f t="shared" si="170"/>
        <v>43851.49463060424</v>
      </c>
      <c r="DS69" s="51">
        <f>DS67+DS68</f>
        <v>47238.835723053679</v>
      </c>
    </row>
    <row r="70" spans="2:201" x14ac:dyDescent="0.15">
      <c r="B70" t="s">
        <v>82</v>
      </c>
      <c r="C70" s="51"/>
      <c r="D70" s="51"/>
      <c r="E70" s="51"/>
      <c r="F70" s="51"/>
      <c r="G70" s="51"/>
      <c r="H70" s="51"/>
      <c r="I70" s="51"/>
      <c r="J70" s="51">
        <v>230</v>
      </c>
      <c r="K70" s="51">
        <v>208</v>
      </c>
      <c r="L70" s="51">
        <v>205.3</v>
      </c>
      <c r="M70" s="51">
        <v>224.1</v>
      </c>
      <c r="N70" s="51">
        <v>195</v>
      </c>
      <c r="O70" s="51">
        <v>222</v>
      </c>
      <c r="P70" s="51">
        <v>219</v>
      </c>
      <c r="Q70" s="51">
        <v>220.6</v>
      </c>
      <c r="R70" s="51">
        <v>226.6</v>
      </c>
      <c r="S70" s="51">
        <v>257.60000000000002</v>
      </c>
      <c r="T70" s="51">
        <v>263.10000000000002</v>
      </c>
      <c r="U70" s="51">
        <v>263.3</v>
      </c>
      <c r="V70" s="51">
        <v>197.9</v>
      </c>
      <c r="W70" s="51">
        <v>-8</v>
      </c>
      <c r="X70" s="51">
        <v>247.5</v>
      </c>
      <c r="Y70" s="51">
        <v>320</v>
      </c>
      <c r="Z70" s="51">
        <v>295.89999999999998</v>
      </c>
      <c r="AA70" s="51">
        <v>370.3</v>
      </c>
      <c r="AB70" s="51">
        <v>346</v>
      </c>
      <c r="AC70" s="51">
        <v>127.7</v>
      </c>
      <c r="AD70" s="51">
        <v>265.7</v>
      </c>
      <c r="AE70" s="51">
        <v>486.4</v>
      </c>
      <c r="AF70" s="51">
        <v>387.6</v>
      </c>
      <c r="AG70" s="51">
        <v>368.4</v>
      </c>
      <c r="AH70" s="51">
        <v>240</v>
      </c>
      <c r="AI70" s="51">
        <v>363.3</v>
      </c>
      <c r="AJ70" s="51">
        <v>334</v>
      </c>
      <c r="AK70" s="51">
        <v>273.89999999999998</v>
      </c>
      <c r="AL70" s="51">
        <v>240.5</v>
      </c>
      <c r="AM70" s="51">
        <v>332.2</v>
      </c>
      <c r="AN70" s="51">
        <v>262.10000000000002</v>
      </c>
      <c r="AO70" s="51">
        <v>251.9</v>
      </c>
      <c r="AP70" s="51">
        <v>185.2</v>
      </c>
      <c r="AQ70" s="51">
        <v>403.1</v>
      </c>
      <c r="AR70" s="51">
        <v>308.7</v>
      </c>
      <c r="AS70" s="51">
        <v>310.3</v>
      </c>
      <c r="AT70" s="51">
        <v>182.4</v>
      </c>
      <c r="AU70" s="51">
        <v>162.9</v>
      </c>
      <c r="AV70" s="51">
        <v>206.9</v>
      </c>
      <c r="AW70" s="51">
        <v>154.9</v>
      </c>
      <c r="AX70" s="51">
        <v>85.1</v>
      </c>
      <c r="AY70" s="51">
        <v>88.4</v>
      </c>
      <c r="AZ70" s="51">
        <v>78.900000000000006</v>
      </c>
      <c r="BA70" s="51">
        <v>248.1</v>
      </c>
      <c r="BB70" s="51">
        <v>0</v>
      </c>
      <c r="BC70" s="51">
        <v>126.7</v>
      </c>
      <c r="BD70" s="51">
        <v>196.8</v>
      </c>
      <c r="BE70" s="51">
        <v>192.7</v>
      </c>
      <c r="BF70" s="51">
        <v>120.2</v>
      </c>
      <c r="BG70" s="51">
        <v>172</v>
      </c>
      <c r="BH70" s="51">
        <v>252.5</v>
      </c>
      <c r="BI70" s="51">
        <v>36</v>
      </c>
      <c r="BJ70" s="51">
        <v>0</v>
      </c>
      <c r="BK70" s="51">
        <v>223.6</v>
      </c>
      <c r="BL70" s="51">
        <v>264.7</v>
      </c>
      <c r="BM70" s="51">
        <v>261.5</v>
      </c>
      <c r="BN70" s="51">
        <v>0</v>
      </c>
      <c r="BO70" s="51">
        <v>183.4</v>
      </c>
      <c r="BP70" s="51">
        <v>154.5</v>
      </c>
      <c r="BQ70" s="51">
        <v>180.1</v>
      </c>
      <c r="BR70" s="51">
        <v>167.4</v>
      </c>
      <c r="BS70" s="51">
        <v>251.9</v>
      </c>
      <c r="BT70" s="51">
        <v>231.7</v>
      </c>
      <c r="BU70" s="51">
        <v>258.2</v>
      </c>
      <c r="BV70" s="51">
        <v>352.3</v>
      </c>
      <c r="BW70" s="51">
        <v>143.19999999999999</v>
      </c>
      <c r="BX70" s="51">
        <v>203.7</v>
      </c>
      <c r="BY70" s="51">
        <v>293.2</v>
      </c>
      <c r="BZ70" s="51">
        <v>113.8</v>
      </c>
      <c r="CA70" s="51">
        <v>273.8</v>
      </c>
      <c r="CB70" s="51">
        <v>187.2</v>
      </c>
      <c r="CC70" s="51">
        <f t="shared" ref="CC70:CG70" si="171">+CC69*0.1</f>
        <v>219.71430000000009</v>
      </c>
      <c r="CD70" s="51">
        <f>158.7+9.7</f>
        <v>168.39999999999998</v>
      </c>
      <c r="CE70" s="51">
        <v>184.8</v>
      </c>
      <c r="CF70" s="51">
        <v>325.7</v>
      </c>
      <c r="CG70" s="51">
        <f t="shared" si="171"/>
        <v>421.70940000000002</v>
      </c>
      <c r="CH70" s="51">
        <f>19.9+319.2</f>
        <v>339.09999999999997</v>
      </c>
      <c r="CI70" s="51">
        <v>293.2</v>
      </c>
      <c r="CJ70" s="51">
        <f>+CJ69*0.15</f>
        <v>159.44129999999998</v>
      </c>
      <c r="CK70" s="51">
        <f>+CK69*0.15</f>
        <v>378.91529999999995</v>
      </c>
      <c r="CL70" s="51">
        <f>+CL69*0.15</f>
        <v>236.1153000000001</v>
      </c>
      <c r="CP70" s="51">
        <v>850</v>
      </c>
      <c r="CQ70" s="51">
        <v>779</v>
      </c>
      <c r="CR70" s="51">
        <v>788</v>
      </c>
      <c r="CS70" s="51">
        <v>866</v>
      </c>
      <c r="CT70" s="51">
        <v>832</v>
      </c>
      <c r="CU70" s="51">
        <v>912</v>
      </c>
      <c r="CV70" s="51">
        <f>CV69*0.22</f>
        <v>1416.1034800000002</v>
      </c>
      <c r="CW70" s="51">
        <f>SUM(W70:Z70)</f>
        <v>855.4</v>
      </c>
      <c r="CX70" s="51">
        <f>SUM(AA70:AD70)</f>
        <v>1109.7</v>
      </c>
      <c r="CY70" s="51">
        <f>SUM(AE70:AH70)</f>
        <v>1482.4</v>
      </c>
      <c r="CZ70" s="51">
        <f>SUM(AI70:AL70)</f>
        <v>1211.6999999999998</v>
      </c>
      <c r="DA70" s="51">
        <f>SUM(AM70:AP70)</f>
        <v>1031.3999999999999</v>
      </c>
      <c r="DB70" s="51">
        <f t="shared" ref="DB70:DD70" si="172">DB69*0.28</f>
        <v>-1998.5910000000001</v>
      </c>
      <c r="DC70" s="51">
        <f t="shared" si="172"/>
        <v>-1598.8728000000003</v>
      </c>
      <c r="DD70" s="51">
        <f t="shared" si="172"/>
        <v>0</v>
      </c>
      <c r="DE70" s="51"/>
      <c r="DF70" s="51"/>
      <c r="DG70" s="51"/>
      <c r="DH70" s="51"/>
      <c r="DI70" s="51"/>
      <c r="DJ70" s="51"/>
      <c r="DK70" s="49">
        <f>SUM(CA70:CD70)</f>
        <v>849.11430000000007</v>
      </c>
      <c r="DL70" s="49">
        <f>SUM(CE70:CH70)</f>
        <v>1271.3093999999999</v>
      </c>
      <c r="DM70" s="51">
        <f>DM69*0.14</f>
        <v>1026.5564399999998</v>
      </c>
      <c r="DN70" s="51">
        <f t="shared" ref="DN70:DR70" si="173">DN69*0.2</f>
        <v>4224.5090622399994</v>
      </c>
      <c r="DO70" s="51">
        <f t="shared" si="173"/>
        <v>5297.9126231654409</v>
      </c>
      <c r="DP70" s="51">
        <f t="shared" si="173"/>
        <v>6676.1183693371049</v>
      </c>
      <c r="DQ70" s="51">
        <f t="shared" si="173"/>
        <v>7830.6030592761272</v>
      </c>
      <c r="DR70" s="51">
        <f t="shared" si="173"/>
        <v>8770.2989261208477</v>
      </c>
      <c r="DS70" s="51">
        <f>DS69*0.2</f>
        <v>9447.7671446107361</v>
      </c>
    </row>
    <row r="71" spans="2:201" x14ac:dyDescent="0.15">
      <c r="B71" t="s">
        <v>83</v>
      </c>
      <c r="C71" s="51"/>
      <c r="D71" s="51"/>
      <c r="E71" s="51"/>
      <c r="F71" s="51"/>
      <c r="G71" s="51"/>
      <c r="H71" s="51"/>
      <c r="I71" s="51"/>
      <c r="J71" s="51">
        <f t="shared" ref="J71:T71" si="174">J69-J70</f>
        <v>490.20000000000039</v>
      </c>
      <c r="K71" s="51">
        <f t="shared" si="174"/>
        <v>449.43663366336614</v>
      </c>
      <c r="L71" s="51">
        <f t="shared" si="174"/>
        <v>225.90000000000026</v>
      </c>
      <c r="M71" s="51">
        <f t="shared" si="174"/>
        <v>357.43333333333328</v>
      </c>
      <c r="N71" s="51">
        <f t="shared" si="174"/>
        <v>447.30000000000041</v>
      </c>
      <c r="O71" s="51">
        <f t="shared" si="174"/>
        <v>347.20000000000027</v>
      </c>
      <c r="P71" s="51">
        <f t="shared" si="174"/>
        <v>377</v>
      </c>
      <c r="Q71" s="51">
        <f t="shared" si="174"/>
        <v>477.00000000000011</v>
      </c>
      <c r="R71" s="51">
        <f t="shared" si="174"/>
        <v>2114.1000000000008</v>
      </c>
      <c r="S71" s="51">
        <f t="shared" si="174"/>
        <v>923.19999999999993</v>
      </c>
      <c r="T71" s="51">
        <f t="shared" si="174"/>
        <v>554.5</v>
      </c>
      <c r="U71" s="51">
        <f t="shared" ref="U71:Z71" si="175">U69-U70</f>
        <v>2308.8999999999987</v>
      </c>
      <c r="V71" s="51">
        <f t="shared" si="175"/>
        <v>2517.7000000000003</v>
      </c>
      <c r="W71" s="51">
        <f t="shared" si="175"/>
        <v>2731.2000000000012</v>
      </c>
      <c r="X71" s="51">
        <f t="shared" si="175"/>
        <v>2635.7999999999988</v>
      </c>
      <c r="Y71" s="51">
        <f t="shared" si="175"/>
        <v>2722.0000000000009</v>
      </c>
      <c r="Z71" s="51">
        <f t="shared" si="175"/>
        <v>1212.0999999999999</v>
      </c>
      <c r="AA71" s="51">
        <f t="shared" ref="AA71:AF71" si="176">AA69-AA70</f>
        <v>1157.9000000000001</v>
      </c>
      <c r="AB71" s="51">
        <f t="shared" si="176"/>
        <v>1047.4000000000001</v>
      </c>
      <c r="AC71" s="51">
        <f t="shared" si="176"/>
        <v>1491.6000000000006</v>
      </c>
      <c r="AD71" s="51">
        <f t="shared" si="176"/>
        <v>999.19999999999982</v>
      </c>
      <c r="AE71" s="51">
        <f t="shared" si="176"/>
        <v>1297.5999999999999</v>
      </c>
      <c r="AF71" s="51">
        <f t="shared" si="176"/>
        <v>1357.7999999999997</v>
      </c>
      <c r="AG71" s="51">
        <f t="shared" ref="AG71:AM71" si="177">AG69-AG70</f>
        <v>1340.6999999999998</v>
      </c>
      <c r="AH71" s="51">
        <f t="shared" si="177"/>
        <v>1248.8000000000006</v>
      </c>
      <c r="AI71" s="51">
        <f>AI69-AI70</f>
        <v>1374.9000000000005</v>
      </c>
      <c r="AJ71" s="51">
        <f>AJ69-AJ70</f>
        <v>1329.5999999999985</v>
      </c>
      <c r="AK71" s="51">
        <f>AK69-AK70</f>
        <v>1254</v>
      </c>
      <c r="AL71" s="51">
        <f t="shared" si="177"/>
        <v>969.60000000000059</v>
      </c>
      <c r="AM71" s="51">
        <f t="shared" si="177"/>
        <v>1027.3</v>
      </c>
      <c r="AN71" s="51">
        <f t="shared" ref="AN71:AP71" si="178">AN69-AN70</f>
        <v>923.39999999999907</v>
      </c>
      <c r="AO71" s="51">
        <f t="shared" si="178"/>
        <v>887.49999999999989</v>
      </c>
      <c r="AP71" s="51">
        <f t="shared" si="178"/>
        <v>1031.2</v>
      </c>
      <c r="AQ71" s="51">
        <f t="shared" ref="AQ71:AU71" si="179">AQ69-AQ70</f>
        <v>1074.2999999999997</v>
      </c>
      <c r="AR71" s="51">
        <f t="shared" si="179"/>
        <v>1269.7</v>
      </c>
      <c r="AS71" s="51">
        <f t="shared" si="179"/>
        <v>1203.0999999999999</v>
      </c>
      <c r="AT71" s="51">
        <f>AT69-AT70</f>
        <v>820.00000000000023</v>
      </c>
      <c r="AU71" s="51">
        <f t="shared" si="179"/>
        <v>647.30000000000075</v>
      </c>
      <c r="AV71" s="51">
        <f t="shared" ref="AV71:AW71" si="180">AV69-AV70</f>
        <v>625.90000000000043</v>
      </c>
      <c r="AW71" s="51">
        <f t="shared" si="180"/>
        <v>444.9000000000002</v>
      </c>
      <c r="AX71" s="51">
        <f t="shared" ref="AX71" si="181">AX69-AX70</f>
        <v>660.29999999999984</v>
      </c>
      <c r="AY71" s="51">
        <f t="shared" ref="AY71:AZ71" si="182">AY69-AY70</f>
        <v>708.0999999999998</v>
      </c>
      <c r="AZ71" s="51">
        <f t="shared" si="182"/>
        <v>1184.2999999999995</v>
      </c>
      <c r="BA71" s="51">
        <f t="shared" ref="BA71:BB71" si="183">BA69-BA70</f>
        <v>669.09999999999934</v>
      </c>
      <c r="BB71" s="51">
        <f t="shared" si="183"/>
        <v>699.10000000000014</v>
      </c>
      <c r="BC71" s="51">
        <f t="shared" ref="BC71:BD71" si="184">BC69-BC70</f>
        <v>869.50000000000023</v>
      </c>
      <c r="BD71" s="51">
        <f t="shared" si="184"/>
        <v>929.89999999999964</v>
      </c>
      <c r="BE71" s="51">
        <f t="shared" ref="BE71:BF71" si="185">BE69-BE70</f>
        <v>769.09999999999945</v>
      </c>
      <c r="BF71" s="51">
        <f t="shared" si="185"/>
        <v>917.80000000000018</v>
      </c>
      <c r="BG71" s="51">
        <f t="shared" ref="BG71:BH71" si="186">BG69-BG70</f>
        <v>804.10000000000014</v>
      </c>
      <c r="BH71" s="51">
        <f t="shared" si="186"/>
        <v>937.20000000000027</v>
      </c>
      <c r="BI71" s="51">
        <f t="shared" ref="BI71:BJ71" si="187">BI69-BI70</f>
        <v>1067.2999999999997</v>
      </c>
      <c r="BJ71" s="51">
        <f t="shared" si="187"/>
        <v>1113.4999999999991</v>
      </c>
      <c r="BK71" s="51">
        <f t="shared" ref="BK71:BL71" si="188">BK69-BK70</f>
        <v>1160.6999999999998</v>
      </c>
      <c r="BL71" s="51">
        <f t="shared" si="188"/>
        <v>1362.9999999999998</v>
      </c>
      <c r="BM71" s="51">
        <f t="shared" ref="BM71:BN71" si="189">BM69-BM70</f>
        <v>1293.5999999999999</v>
      </c>
      <c r="BN71" s="51">
        <f t="shared" si="189"/>
        <v>1544.9000000000003</v>
      </c>
      <c r="BO71" s="51">
        <f t="shared" ref="BO71:CA71" si="190">BO69-BO70</f>
        <v>1974.3999999999992</v>
      </c>
      <c r="BP71" s="51">
        <f t="shared" si="190"/>
        <v>2357.4000000000005</v>
      </c>
      <c r="BQ71" s="51">
        <f t="shared" si="190"/>
        <v>2306.5</v>
      </c>
      <c r="BR71" s="51">
        <f t="shared" si="190"/>
        <v>2563.4</v>
      </c>
      <c r="BS71" s="51">
        <f t="shared" si="190"/>
        <v>1431.4999999999975</v>
      </c>
      <c r="BT71" s="51">
        <f t="shared" si="190"/>
        <v>1228.4999999999986</v>
      </c>
      <c r="BU71" s="51">
        <f t="shared" si="190"/>
        <v>1164.1999999999989</v>
      </c>
      <c r="BV71" s="51">
        <f t="shared" si="190"/>
        <v>1892.6999999999991</v>
      </c>
      <c r="BW71" s="51">
        <f t="shared" si="190"/>
        <v>1777.5000000000007</v>
      </c>
      <c r="BX71" s="51">
        <f t="shared" si="190"/>
        <v>1698.2999999999972</v>
      </c>
      <c r="BY71" s="51">
        <f t="shared" si="190"/>
        <v>1693.5999999999979</v>
      </c>
      <c r="BZ71" s="51">
        <f t="shared" si="190"/>
        <v>2207.1999999999994</v>
      </c>
      <c r="CA71" s="51">
        <f t="shared" si="190"/>
        <v>2538.4999999999991</v>
      </c>
      <c r="CB71" s="51">
        <f>+CB69-CB70</f>
        <v>1703.7000000000016</v>
      </c>
      <c r="CC71" s="51">
        <f t="shared" ref="CC71:CL71" si="191">+CC69-CC70</f>
        <v>1977.4287000000008</v>
      </c>
      <c r="CD71" s="51">
        <f t="shared" si="191"/>
        <v>2027.400000000001</v>
      </c>
      <c r="CE71" s="51">
        <f t="shared" si="191"/>
        <v>1504.4999999999991</v>
      </c>
      <c r="CF71" s="51">
        <f t="shared" si="191"/>
        <v>1481.2999999999988</v>
      </c>
      <c r="CG71" s="51">
        <f t="shared" si="191"/>
        <v>3795.3845999999999</v>
      </c>
      <c r="CH71" s="51">
        <f t="shared" si="191"/>
        <v>2864.0000000000005</v>
      </c>
      <c r="CI71" s="51">
        <f t="shared" si="191"/>
        <v>2272</v>
      </c>
      <c r="CJ71" s="51">
        <f t="shared" si="191"/>
        <v>903.50070000000005</v>
      </c>
      <c r="CK71" s="51">
        <f t="shared" si="191"/>
        <v>2147.1866999999997</v>
      </c>
      <c r="CL71" s="51">
        <f t="shared" si="191"/>
        <v>1337.9867000000006</v>
      </c>
      <c r="CP71" s="51">
        <f t="shared" ref="CP71:CV71" si="192">CP69-CP70</f>
        <v>3101</v>
      </c>
      <c r="CQ71" s="51">
        <f t="shared" si="192"/>
        <v>2762</v>
      </c>
      <c r="CR71" s="51">
        <f t="shared" si="192"/>
        <v>2802</v>
      </c>
      <c r="CS71" s="51">
        <f t="shared" si="192"/>
        <v>3073</v>
      </c>
      <c r="CT71" s="51">
        <f t="shared" si="192"/>
        <v>3134</v>
      </c>
      <c r="CU71" s="51">
        <f t="shared" si="192"/>
        <v>3689.4999999999982</v>
      </c>
      <c r="CV71" s="51">
        <f t="shared" si="192"/>
        <v>5020.730520000001</v>
      </c>
      <c r="CW71" s="51">
        <f>CW69-CW70</f>
        <v>9301.0999999999985</v>
      </c>
      <c r="CX71" s="51">
        <f>CX69-CX70</f>
        <v>4696.0999999999995</v>
      </c>
      <c r="CY71" s="51">
        <f>CY69-CY70</f>
        <v>4062.4999999999959</v>
      </c>
      <c r="CZ71" s="51">
        <f>CZ69-CZ70</f>
        <v>4518.0000000000018</v>
      </c>
      <c r="DA71" s="51">
        <f t="shared" ref="DA71:DD71" si="193">DA69-DA70</f>
        <v>3268.2</v>
      </c>
      <c r="DB71" s="51">
        <f t="shared" si="193"/>
        <v>-5139.2339999999995</v>
      </c>
      <c r="DC71" s="51">
        <f t="shared" si="193"/>
        <v>-4111.3872000000001</v>
      </c>
      <c r="DD71" s="51">
        <f t="shared" si="193"/>
        <v>0</v>
      </c>
      <c r="DE71" s="51">
        <f>DE69-DE70</f>
        <v>0</v>
      </c>
      <c r="DF71" s="51">
        <f>DF69-DF70</f>
        <v>4447.8000000000029</v>
      </c>
      <c r="DG71" s="51">
        <f t="shared" ref="DG71:DJ71" si="194">DG69-DG70</f>
        <v>5784.8999999999978</v>
      </c>
      <c r="DH71" s="51">
        <f t="shared" si="194"/>
        <v>5789.4000000000015</v>
      </c>
      <c r="DI71" s="51">
        <f t="shared" si="194"/>
        <v>7137.6</v>
      </c>
      <c r="DJ71" s="51">
        <f t="shared" si="194"/>
        <v>8332.2999999999993</v>
      </c>
      <c r="DK71" s="51">
        <f>+DK69-DK70</f>
        <v>8020.228700000006</v>
      </c>
      <c r="DL71" s="51">
        <f t="shared" ref="DL71:DQ71" si="195">+DL69-DL70</f>
        <v>9650.9845999999943</v>
      </c>
      <c r="DM71" s="51">
        <f>+DM69-DM70</f>
        <v>6305.9895599999982</v>
      </c>
      <c r="DN71" s="51">
        <f t="shared" si="195"/>
        <v>16898.036248959997</v>
      </c>
      <c r="DO71" s="51">
        <f t="shared" si="195"/>
        <v>21191.65049266176</v>
      </c>
      <c r="DP71" s="51">
        <f t="shared" si="195"/>
        <v>26704.473477348416</v>
      </c>
      <c r="DQ71" s="51">
        <f t="shared" si="195"/>
        <v>31322.412237104505</v>
      </c>
      <c r="DR71" s="51">
        <f>+DR69-DR70</f>
        <v>35081.195704483391</v>
      </c>
      <c r="DS71" s="51">
        <f>+DS69-DS70</f>
        <v>37791.068578442944</v>
      </c>
      <c r="DT71" s="54">
        <f>+DS71*(1+$DU$87)</f>
        <v>38546.889950011806</v>
      </c>
      <c r="DU71" s="54">
        <f t="shared" ref="DU71:GF71" si="196">+DT71*(1+$DU$87)</f>
        <v>39317.827749012045</v>
      </c>
      <c r="DV71" s="54">
        <f t="shared" si="196"/>
        <v>40104.18430399229</v>
      </c>
      <c r="DW71" s="54">
        <f t="shared" si="196"/>
        <v>40906.267990072134</v>
      </c>
      <c r="DX71" s="54">
        <f t="shared" si="196"/>
        <v>41724.393349873579</v>
      </c>
      <c r="DY71" s="54">
        <f t="shared" si="196"/>
        <v>42558.88121687105</v>
      </c>
      <c r="DZ71" s="54">
        <f t="shared" si="196"/>
        <v>43410.058841208469</v>
      </c>
      <c r="EA71" s="54">
        <f t="shared" si="196"/>
        <v>44278.260018032641</v>
      </c>
      <c r="EB71" s="54">
        <f t="shared" si="196"/>
        <v>45163.825218393293</v>
      </c>
      <c r="EC71" s="54">
        <f t="shared" si="196"/>
        <v>46067.101722761159</v>
      </c>
      <c r="ED71" s="54">
        <f t="shared" si="196"/>
        <v>46988.443757216381</v>
      </c>
      <c r="EE71" s="54">
        <f t="shared" si="196"/>
        <v>47928.212632360708</v>
      </c>
      <c r="EF71" s="54">
        <f t="shared" si="196"/>
        <v>48886.776885007923</v>
      </c>
      <c r="EG71" s="54">
        <f t="shared" si="196"/>
        <v>49864.512422708081</v>
      </c>
      <c r="EH71" s="54">
        <f t="shared" si="196"/>
        <v>50861.802671162244</v>
      </c>
      <c r="EI71" s="54">
        <f t="shared" si="196"/>
        <v>51879.038724585487</v>
      </c>
      <c r="EJ71" s="54">
        <f t="shared" si="196"/>
        <v>52916.619499077198</v>
      </c>
      <c r="EK71" s="54">
        <f t="shared" si="196"/>
        <v>53974.951889058742</v>
      </c>
      <c r="EL71" s="54">
        <f t="shared" si="196"/>
        <v>55054.45092683992</v>
      </c>
      <c r="EM71" s="54">
        <f t="shared" si="196"/>
        <v>56155.539945376717</v>
      </c>
      <c r="EN71" s="54">
        <f t="shared" si="196"/>
        <v>57278.650744284249</v>
      </c>
      <c r="EO71" s="54">
        <f t="shared" si="196"/>
        <v>58424.223759169938</v>
      </c>
      <c r="EP71" s="54">
        <f t="shared" si="196"/>
        <v>59592.70823435334</v>
      </c>
      <c r="EQ71" s="54">
        <f t="shared" si="196"/>
        <v>60784.562399040406</v>
      </c>
      <c r="ER71" s="54">
        <f t="shared" si="196"/>
        <v>62000.253647021214</v>
      </c>
      <c r="ES71" s="54">
        <f t="shared" si="196"/>
        <v>63240.258719961639</v>
      </c>
      <c r="ET71" s="54">
        <f t="shared" si="196"/>
        <v>64505.063894360872</v>
      </c>
      <c r="EU71" s="54">
        <f t="shared" si="196"/>
        <v>65795.165172248089</v>
      </c>
      <c r="EV71" s="54">
        <f t="shared" si="196"/>
        <v>67111.068475693057</v>
      </c>
      <c r="EW71" s="54">
        <f t="shared" si="196"/>
        <v>68453.28984520692</v>
      </c>
      <c r="EX71" s="54">
        <f t="shared" si="196"/>
        <v>69822.355642111055</v>
      </c>
      <c r="EY71" s="54">
        <f t="shared" si="196"/>
        <v>71218.802754953271</v>
      </c>
      <c r="EZ71" s="54">
        <f t="shared" si="196"/>
        <v>72643.178810052341</v>
      </c>
      <c r="FA71" s="54">
        <f t="shared" si="196"/>
        <v>74096.042386253393</v>
      </c>
      <c r="FB71" s="54">
        <f t="shared" si="196"/>
        <v>75577.963233978458</v>
      </c>
      <c r="FC71" s="54">
        <f t="shared" si="196"/>
        <v>77089.522498658029</v>
      </c>
      <c r="FD71" s="54">
        <f t="shared" si="196"/>
        <v>78631.312948631195</v>
      </c>
      <c r="FE71" s="54">
        <f t="shared" si="196"/>
        <v>80203.93920760382</v>
      </c>
      <c r="FF71" s="54">
        <f t="shared" si="196"/>
        <v>81808.0179917559</v>
      </c>
      <c r="FG71" s="54">
        <f t="shared" si="196"/>
        <v>83444.178351591021</v>
      </c>
      <c r="FH71" s="54">
        <f t="shared" si="196"/>
        <v>85113.061918622843</v>
      </c>
      <c r="FI71" s="54">
        <f t="shared" si="196"/>
        <v>86815.323156995306</v>
      </c>
      <c r="FJ71" s="54">
        <f t="shared" si="196"/>
        <v>88551.629620135209</v>
      </c>
      <c r="FK71" s="54">
        <f t="shared" si="196"/>
        <v>90322.662212537922</v>
      </c>
      <c r="FL71" s="54">
        <f t="shared" si="196"/>
        <v>92129.115456788684</v>
      </c>
      <c r="FM71" s="54">
        <f t="shared" si="196"/>
        <v>93971.697765924459</v>
      </c>
      <c r="FN71" s="54">
        <f t="shared" si="196"/>
        <v>95851.131721242942</v>
      </c>
      <c r="FO71" s="54">
        <f t="shared" si="196"/>
        <v>97768.154355667808</v>
      </c>
      <c r="FP71" s="54">
        <f t="shared" si="196"/>
        <v>99723.517442781173</v>
      </c>
      <c r="FQ71" s="54">
        <f t="shared" si="196"/>
        <v>101717.9877916368</v>
      </c>
      <c r="FR71" s="54">
        <f t="shared" si="196"/>
        <v>103752.34754746953</v>
      </c>
      <c r="FS71" s="54">
        <f t="shared" si="196"/>
        <v>105827.39449841893</v>
      </c>
      <c r="FT71" s="54">
        <f t="shared" si="196"/>
        <v>107943.94238838731</v>
      </c>
      <c r="FU71" s="54">
        <f t="shared" si="196"/>
        <v>110102.82123615505</v>
      </c>
      <c r="FV71" s="54">
        <f t="shared" si="196"/>
        <v>112304.87766087816</v>
      </c>
      <c r="FW71" s="54">
        <f t="shared" si="196"/>
        <v>114550.97521409573</v>
      </c>
      <c r="FX71" s="54">
        <f t="shared" si="196"/>
        <v>116841.99471837764</v>
      </c>
      <c r="FY71" s="54">
        <f t="shared" si="196"/>
        <v>119178.8346127452</v>
      </c>
      <c r="FZ71" s="54">
        <f t="shared" si="196"/>
        <v>121562.4113050001</v>
      </c>
      <c r="GA71" s="54">
        <f t="shared" si="196"/>
        <v>123993.65953110011</v>
      </c>
      <c r="GB71" s="54">
        <f t="shared" si="196"/>
        <v>126473.53272172212</v>
      </c>
      <c r="GC71" s="54">
        <f t="shared" si="196"/>
        <v>129003.00337615657</v>
      </c>
      <c r="GD71" s="54">
        <f t="shared" si="196"/>
        <v>131583.06344367971</v>
      </c>
      <c r="GE71" s="54">
        <f t="shared" si="196"/>
        <v>134214.72471255332</v>
      </c>
      <c r="GF71" s="54">
        <f t="shared" si="196"/>
        <v>136899.0192068044</v>
      </c>
      <c r="GG71" s="54">
        <f t="shared" ref="GG71:GS71" si="197">+GF71*(1+$DU$87)</f>
        <v>139636.99959094048</v>
      </c>
      <c r="GH71" s="54">
        <f t="shared" si="197"/>
        <v>142429.7395827593</v>
      </c>
      <c r="GI71" s="54">
        <f t="shared" si="197"/>
        <v>145278.33437441449</v>
      </c>
      <c r="GJ71" s="54">
        <f t="shared" si="197"/>
        <v>148183.90106190278</v>
      </c>
      <c r="GK71" s="54">
        <f t="shared" si="197"/>
        <v>151147.57908314085</v>
      </c>
      <c r="GL71" s="54">
        <f t="shared" si="197"/>
        <v>154170.53066480366</v>
      </c>
      <c r="GM71" s="54">
        <f t="shared" si="197"/>
        <v>157253.94127809975</v>
      </c>
      <c r="GN71" s="54">
        <f t="shared" si="197"/>
        <v>160399.02010366175</v>
      </c>
      <c r="GO71" s="54">
        <f t="shared" si="197"/>
        <v>163607.00050573499</v>
      </c>
      <c r="GP71" s="54">
        <f t="shared" si="197"/>
        <v>166879.14051584969</v>
      </c>
      <c r="GQ71" s="54">
        <f t="shared" si="197"/>
        <v>170216.72332616668</v>
      </c>
      <c r="GR71" s="54">
        <f t="shared" si="197"/>
        <v>173621.05779269003</v>
      </c>
      <c r="GS71" s="54">
        <f t="shared" si="197"/>
        <v>177093.47894854384</v>
      </c>
    </row>
    <row r="72" spans="2:201" s="58" customFormat="1" x14ac:dyDescent="0.15">
      <c r="B72" s="58" t="s">
        <v>56</v>
      </c>
      <c r="C72" s="59"/>
      <c r="D72" s="59"/>
      <c r="E72" s="59"/>
      <c r="F72" s="59"/>
      <c r="G72" s="59"/>
      <c r="H72" s="59"/>
      <c r="I72" s="59"/>
      <c r="J72" s="59">
        <f t="shared" ref="J72:S72" si="198">J71/J73</f>
        <v>0.4500550863018733</v>
      </c>
      <c r="K72" s="59">
        <f t="shared" si="198"/>
        <v>0.41270581603614886</v>
      </c>
      <c r="L72" s="59">
        <f t="shared" si="198"/>
        <v>0.20724770642201859</v>
      </c>
      <c r="M72" s="59">
        <f t="shared" si="198"/>
        <v>0.32761992056217532</v>
      </c>
      <c r="N72" s="59">
        <f t="shared" si="198"/>
        <v>0.40905349794238721</v>
      </c>
      <c r="O72" s="59">
        <f t="shared" si="198"/>
        <v>0.31941122355105822</v>
      </c>
      <c r="P72" s="59">
        <f t="shared" si="198"/>
        <v>0.34736939095181057</v>
      </c>
      <c r="Q72" s="59">
        <f t="shared" si="198"/>
        <v>0.43905995147329013</v>
      </c>
      <c r="R72" s="59">
        <f t="shared" si="198"/>
        <v>1.9411494109340131</v>
      </c>
      <c r="S72" s="59">
        <f t="shared" si="198"/>
        <v>0.84706650921799576</v>
      </c>
      <c r="T72" s="59">
        <f t="shared" ref="T72:Z72" si="199">T71/T73</f>
        <v>0.50877207469820052</v>
      </c>
      <c r="U72" s="59">
        <f t="shared" si="199"/>
        <v>2.117813888471034</v>
      </c>
      <c r="V72" s="59">
        <f t="shared" si="199"/>
        <v>2.3042440483381479</v>
      </c>
      <c r="W72" s="59">
        <f t="shared" si="199"/>
        <v>2.4963987218204564</v>
      </c>
      <c r="X72" s="59">
        <f t="shared" si="199"/>
        <v>2.4096936275406082</v>
      </c>
      <c r="Y72" s="59">
        <f t="shared" si="199"/>
        <v>2.4881693125175399</v>
      </c>
      <c r="Z72" s="59">
        <f t="shared" si="199"/>
        <v>1.1054354299305693</v>
      </c>
      <c r="AA72" s="59">
        <f t="shared" ref="AA72:AF72" si="200">AA71/AA73</f>
        <v>1.0552687795737732</v>
      </c>
      <c r="AB72" s="59">
        <f t="shared" si="200"/>
        <v>0.95460042854031091</v>
      </c>
      <c r="AC72" s="59">
        <f t="shared" si="200"/>
        <v>1.3588746375286636</v>
      </c>
      <c r="AD72" s="59">
        <f t="shared" si="200"/>
        <v>0.90717029507547786</v>
      </c>
      <c r="AE72" s="59">
        <f t="shared" si="200"/>
        <v>1.1759950553105565</v>
      </c>
      <c r="AF72" s="59">
        <f t="shared" si="200"/>
        <v>1.2301063501137424</v>
      </c>
      <c r="AG72" s="59">
        <f>AG71/AG73</f>
        <v>1.2130858000104956</v>
      </c>
      <c r="AH72" s="59">
        <f>AH71/AH73</f>
        <v>1.1256930791689996</v>
      </c>
      <c r="AI72" s="59">
        <f>+AI71/AI73</f>
        <v>1.236420863309353</v>
      </c>
      <c r="AJ72" s="59">
        <f t="shared" ref="AJ72:AP72" si="201">AJ71/AJ73</f>
        <v>1.1491789109766626</v>
      </c>
      <c r="AK72" s="59">
        <f t="shared" si="201"/>
        <v>1.125833938596263</v>
      </c>
      <c r="AL72" s="59">
        <f t="shared" si="201"/>
        <v>0.86959641255605435</v>
      </c>
      <c r="AM72" s="59">
        <f t="shared" si="201"/>
        <v>0.91970961062075252</v>
      </c>
      <c r="AN72" s="59">
        <f t="shared" si="201"/>
        <v>0.82593917710196696</v>
      </c>
      <c r="AO72" s="59">
        <f t="shared" si="201"/>
        <v>0.79266479166089832</v>
      </c>
      <c r="AP72" s="59">
        <f t="shared" si="201"/>
        <v>0.92577297374941636</v>
      </c>
      <c r="AQ72" s="59">
        <f t="shared" ref="AQ72:AU72" si="202">AQ71/AQ73</f>
        <v>0.98390293403280205</v>
      </c>
      <c r="AR72" s="59">
        <f t="shared" si="202"/>
        <v>1.1712699843271033</v>
      </c>
      <c r="AS72" s="59">
        <f t="shared" si="202"/>
        <v>1.1096077774918676</v>
      </c>
      <c r="AT72" s="59">
        <f t="shared" si="202"/>
        <v>0.75997983273029257</v>
      </c>
      <c r="AU72" s="59">
        <f t="shared" si="202"/>
        <v>0.60167163024847725</v>
      </c>
      <c r="AV72" s="59">
        <f t="shared" ref="AV72:AW72" si="203">AV71/AV73</f>
        <v>0.58146556449260467</v>
      </c>
      <c r="AW72" s="59">
        <f t="shared" si="203"/>
        <v>0.41409698190408312</v>
      </c>
      <c r="AX72" s="59">
        <f t="shared" ref="AX72" si="204">AX71/AX73</f>
        <v>0.61722567202630041</v>
      </c>
      <c r="AY72" s="59">
        <f t="shared" ref="AY72:AZ72" si="205">AY71/AY73</f>
        <v>0.66361397366161945</v>
      </c>
      <c r="AZ72" s="59">
        <f t="shared" si="205"/>
        <v>1.1114093304704269</v>
      </c>
      <c r="BA72" s="59">
        <f t="shared" ref="BA72:BB72" si="206">BA71/BA73</f>
        <v>0.62816912780157641</v>
      </c>
      <c r="BB72" s="59">
        <f t="shared" si="206"/>
        <v>0.65649788288588629</v>
      </c>
      <c r="BC72" s="59">
        <f t="shared" ref="BC72:BD72" si="207">BC71/BC73</f>
        <v>0.81791030736307424</v>
      </c>
      <c r="BD72" s="59">
        <f t="shared" si="207"/>
        <v>0.87719546488340971</v>
      </c>
      <c r="BE72" s="59">
        <f t="shared" ref="BE72:BF72" si="208">BE71/BE73</f>
        <v>0.72502842232080689</v>
      </c>
      <c r="BF72" s="59">
        <f t="shared" si="208"/>
        <v>0.86462715897721909</v>
      </c>
      <c r="BG72" s="59">
        <f t="shared" ref="BG72:BH72" si="209">BG71/BG73</f>
        <v>0.76123774739516781</v>
      </c>
      <c r="BH72" s="59">
        <f t="shared" si="209"/>
        <v>0.88656809603541764</v>
      </c>
      <c r="BI72" s="59">
        <f t="shared" ref="BI72:BJ72" si="210">BI71/BI73</f>
        <v>1.0106768305674578</v>
      </c>
      <c r="BJ72" s="59">
        <f t="shared" si="210"/>
        <v>1.0593754489382929</v>
      </c>
      <c r="BK72" s="59">
        <f t="shared" ref="BK72:BL72" si="211">BK71/BK73</f>
        <v>1.10559809647003</v>
      </c>
      <c r="BL72" s="59">
        <f t="shared" si="211"/>
        <v>1.3230312266431112</v>
      </c>
      <c r="BM72" s="59">
        <f t="shared" ref="BM72:BN72" si="212">BM71/BM73</f>
        <v>1.2604526170761319</v>
      </c>
      <c r="BN72" s="59">
        <f t="shared" si="212"/>
        <v>1.5171587522157357</v>
      </c>
      <c r="BO72" s="59">
        <f t="shared" ref="BO72:CI72" si="213">BO71/BO73</f>
        <v>2.0065020259125745</v>
      </c>
      <c r="BP72" s="59">
        <f t="shared" si="213"/>
        <v>2.5495603646864158</v>
      </c>
      <c r="BQ72" s="59">
        <f t="shared" si="213"/>
        <v>2.5112852685055542</v>
      </c>
      <c r="BR72" s="59">
        <f t="shared" si="213"/>
        <v>2.8025162953520257</v>
      </c>
      <c r="BS72" s="59">
        <f t="shared" si="213"/>
        <v>1.5701212991368967</v>
      </c>
      <c r="BT72" s="59">
        <f t="shared" si="213"/>
        <v>1.3486809603794077</v>
      </c>
      <c r="BU72" s="59">
        <f t="shared" si="213"/>
        <v>1.2773432314084667</v>
      </c>
      <c r="BV72" s="59">
        <f t="shared" si="213"/>
        <v>2.0739849505419174</v>
      </c>
      <c r="BW72" s="59">
        <f t="shared" si="213"/>
        <v>1.9481587023235432</v>
      </c>
      <c r="BX72" s="59">
        <f t="shared" si="213"/>
        <v>1.8654765461607379</v>
      </c>
      <c r="BY72" s="59">
        <f t="shared" si="213"/>
        <v>1.8595642497235774</v>
      </c>
      <c r="BZ72" s="59">
        <f t="shared" si="213"/>
        <v>2.4266811792579883</v>
      </c>
      <c r="CA72" s="59">
        <f t="shared" si="213"/>
        <v>2.8006398940864949</v>
      </c>
      <c r="CB72" s="59">
        <f t="shared" si="213"/>
        <v>1.8868363346401771</v>
      </c>
      <c r="CC72" s="59">
        <f t="shared" si="213"/>
        <v>2.1899890358163341</v>
      </c>
      <c r="CD72" s="59">
        <f t="shared" si="213"/>
        <v>2.2408845934486687</v>
      </c>
      <c r="CE72" s="59">
        <f t="shared" si="213"/>
        <v>1.6655909609723631</v>
      </c>
      <c r="CF72" s="59">
        <f t="shared" si="213"/>
        <v>1.6409678087601725</v>
      </c>
      <c r="CG72" s="59">
        <f t="shared" si="213"/>
        <v>4.204485216002233</v>
      </c>
      <c r="CH72" s="59">
        <f t="shared" si="213"/>
        <v>3.1682116860992506</v>
      </c>
      <c r="CI72" s="59">
        <f t="shared" si="213"/>
        <v>2.5138249306817202</v>
      </c>
      <c r="CJ72" s="59">
        <f t="shared" ref="CJ72:CL72" si="214">CJ71/CJ73</f>
        <v>0.99966663052305704</v>
      </c>
      <c r="CK72" s="59">
        <f t="shared" si="214"/>
        <v>2.3757268738064306</v>
      </c>
      <c r="CL72" s="59">
        <f t="shared" si="214"/>
        <v>1.4803980296569388</v>
      </c>
      <c r="CP72" s="59">
        <f t="shared" ref="CP72:CU72" si="215">CP71/CP73</f>
        <v>2.842346471127406</v>
      </c>
      <c r="CQ72" s="59">
        <f t="shared" si="215"/>
        <v>2.5456221198156683</v>
      </c>
      <c r="CR72" s="59">
        <f t="shared" si="215"/>
        <v>2.5920444033302497</v>
      </c>
      <c r="CS72" s="59">
        <f t="shared" si="215"/>
        <v>2.8218549127640036</v>
      </c>
      <c r="CT72" s="59">
        <f t="shared" si="215"/>
        <v>2.8752293577981654</v>
      </c>
      <c r="CU72" s="59">
        <f t="shared" si="215"/>
        <v>3.3973296500920793</v>
      </c>
      <c r="CV72" s="59">
        <f>CV71/CV73</f>
        <v>4.6034064101817682</v>
      </c>
      <c r="CW72" s="59">
        <f>CW71/CW73</f>
        <v>8.4973446654406342</v>
      </c>
      <c r="CX72" s="59">
        <f>CX71/CX73</f>
        <v>4.275411286763509</v>
      </c>
      <c r="CY72" s="59">
        <f>CY71/CY73</f>
        <v>3.6749972635404955</v>
      </c>
      <c r="CZ72" s="59">
        <f>CZ71/CZ73</f>
        <v>4.0179277124291426</v>
      </c>
      <c r="DA72" s="59">
        <f t="shared" ref="DA72:DF72" si="216">DA71/DA73</f>
        <v>2.9255428662478531</v>
      </c>
      <c r="DB72" s="59">
        <f t="shared" si="216"/>
        <v>-4.6004067580559385</v>
      </c>
      <c r="DC72" s="59">
        <f t="shared" si="216"/>
        <v>-3.6803254064447515</v>
      </c>
      <c r="DD72" s="59">
        <f t="shared" si="216"/>
        <v>0</v>
      </c>
      <c r="DE72" s="59">
        <f t="shared" si="216"/>
        <v>0</v>
      </c>
      <c r="DF72" s="59">
        <f t="shared" si="216"/>
        <v>4.2278543339831955</v>
      </c>
      <c r="DG72" s="59">
        <f t="shared" ref="DG72:DS72" si="217">DG71/DG73</f>
        <v>5.5964832001021589</v>
      </c>
      <c r="DH72" s="59">
        <f t="shared" si="217"/>
        <v>6.1873453003364398</v>
      </c>
      <c r="DI72" s="59" t="e">
        <f t="shared" si="217"/>
        <v>#DIV/0!</v>
      </c>
      <c r="DJ72" s="59">
        <f t="shared" si="217"/>
        <v>9.1486073635293117</v>
      </c>
      <c r="DK72" s="59">
        <f t="shared" si="217"/>
        <v>8.8694521334184184</v>
      </c>
      <c r="DL72" s="59">
        <f t="shared" si="217"/>
        <v>10.685735085578186</v>
      </c>
      <c r="DM72" s="59">
        <f>DM71/DM73</f>
        <v>6.9820994109328254</v>
      </c>
      <c r="DN72" s="59">
        <f t="shared" si="217"/>
        <v>18.709794524268951</v>
      </c>
      <c r="DO72" s="59">
        <f t="shared" si="217"/>
        <v>23.463757593266305</v>
      </c>
      <c r="DP72" s="59">
        <f t="shared" si="217"/>
        <v>29.567649416702441</v>
      </c>
      <c r="DQ72" s="59">
        <f t="shared" si="217"/>
        <v>34.680710132619147</v>
      </c>
      <c r="DR72" s="59">
        <f t="shared" si="217"/>
        <v>38.842499425751143</v>
      </c>
      <c r="DS72" s="59">
        <f t="shared" si="217"/>
        <v>41.842916983844255</v>
      </c>
    </row>
    <row r="73" spans="2:201" x14ac:dyDescent="0.15">
      <c r="B73" t="s">
        <v>84</v>
      </c>
      <c r="C73" s="51"/>
      <c r="D73" s="51"/>
      <c r="E73" s="51"/>
      <c r="F73" s="51"/>
      <c r="G73" s="51"/>
      <c r="H73" s="51"/>
      <c r="I73" s="51"/>
      <c r="J73" s="51">
        <v>1089.2</v>
      </c>
      <c r="K73" s="51">
        <v>1089</v>
      </c>
      <c r="L73" s="51">
        <v>1090</v>
      </c>
      <c r="M73" s="51">
        <v>1091</v>
      </c>
      <c r="N73" s="51">
        <v>1093.5</v>
      </c>
      <c r="O73" s="51">
        <v>1087</v>
      </c>
      <c r="P73" s="51">
        <v>1085.3</v>
      </c>
      <c r="Q73" s="51">
        <v>1086.412</v>
      </c>
      <c r="R73" s="51">
        <v>1089.097</v>
      </c>
      <c r="S73" s="51">
        <v>1089.8789999999999</v>
      </c>
      <c r="T73" s="51">
        <f>S73</f>
        <v>1089.8789999999999</v>
      </c>
      <c r="U73" s="51">
        <v>1090.2280000000001</v>
      </c>
      <c r="V73" s="51">
        <v>1092.636</v>
      </c>
      <c r="W73" s="51">
        <v>1094.056</v>
      </c>
      <c r="X73" s="51">
        <v>1093.8320000000001</v>
      </c>
      <c r="Y73" s="51">
        <v>1093.9770000000001</v>
      </c>
      <c r="Z73" s="51">
        <v>1096.491</v>
      </c>
      <c r="AA73" s="51">
        <v>1097.2560000000001</v>
      </c>
      <c r="AB73" s="51">
        <v>1097.213</v>
      </c>
      <c r="AC73" s="51">
        <v>1097.673</v>
      </c>
      <c r="AD73" s="51">
        <v>1101.4469999999999</v>
      </c>
      <c r="AE73" s="51">
        <v>1103.4059999999999</v>
      </c>
      <c r="AF73" s="51">
        <v>1103.807</v>
      </c>
      <c r="AG73" s="51">
        <v>1105.1980000000001</v>
      </c>
      <c r="AH73" s="51">
        <v>1109.3610000000001</v>
      </c>
      <c r="AI73" s="51">
        <v>1112</v>
      </c>
      <c r="AJ73" s="51">
        <v>1157</v>
      </c>
      <c r="AK73" s="51">
        <v>1113.8409999999999</v>
      </c>
      <c r="AL73" s="51">
        <v>1115</v>
      </c>
      <c r="AM73" s="51">
        <v>1116.9829999999999</v>
      </c>
      <c r="AN73" s="51">
        <v>1118</v>
      </c>
      <c r="AO73" s="51">
        <v>1119.6410000000001</v>
      </c>
      <c r="AP73" s="51">
        <v>1113.8800000000001</v>
      </c>
      <c r="AQ73" s="51">
        <v>1091.876</v>
      </c>
      <c r="AR73" s="51">
        <v>1084.037</v>
      </c>
      <c r="AS73" s="51">
        <v>1084.2570000000001</v>
      </c>
      <c r="AT73" s="51">
        <v>1078.9760000000001</v>
      </c>
      <c r="AU73" s="51">
        <v>1075.836</v>
      </c>
      <c r="AV73" s="51">
        <v>1076.4179999999999</v>
      </c>
      <c r="AW73" s="51">
        <v>1074.386</v>
      </c>
      <c r="AX73" s="51">
        <v>1069.787</v>
      </c>
      <c r="AY73" s="51">
        <v>1067.0360000000001</v>
      </c>
      <c r="AZ73" s="51">
        <v>1065.5840000000001</v>
      </c>
      <c r="BA73" s="51">
        <v>1065.1590000000001</v>
      </c>
      <c r="BB73" s="51">
        <v>1064.893</v>
      </c>
      <c r="BC73" s="51">
        <v>1063.075</v>
      </c>
      <c r="BD73" s="51">
        <v>1060.0830000000001</v>
      </c>
      <c r="BE73" s="51">
        <v>1060.7860000000001</v>
      </c>
      <c r="BF73" s="51">
        <v>1061.498</v>
      </c>
      <c r="BG73" s="51">
        <v>1056.306</v>
      </c>
      <c r="BH73" s="51">
        <v>1057.1099999999999</v>
      </c>
      <c r="BI73" s="51">
        <v>1056.0250000000001</v>
      </c>
      <c r="BJ73" s="51">
        <v>1051.0909999999999</v>
      </c>
      <c r="BK73" s="51">
        <v>1049.8389999999999</v>
      </c>
      <c r="BL73" s="51">
        <v>1030.21</v>
      </c>
      <c r="BM73" s="51">
        <v>1026.298</v>
      </c>
      <c r="BN73" s="51">
        <v>1018.285</v>
      </c>
      <c r="BO73" s="51">
        <v>984.00099999999998</v>
      </c>
      <c r="BP73" s="51">
        <v>924.63</v>
      </c>
      <c r="BQ73" s="51">
        <v>918.45399999999995</v>
      </c>
      <c r="BR73" s="51">
        <v>914.678</v>
      </c>
      <c r="BS73" s="51">
        <v>911.71299999999997</v>
      </c>
      <c r="BT73" s="51">
        <v>910.89</v>
      </c>
      <c r="BU73" s="51">
        <v>911.423</v>
      </c>
      <c r="BV73" s="51">
        <v>912.59100000000001</v>
      </c>
      <c r="BW73" s="51">
        <v>912.4</v>
      </c>
      <c r="BX73" s="51">
        <v>910.38400000000001</v>
      </c>
      <c r="BY73" s="51">
        <v>910.75099999999998</v>
      </c>
      <c r="BZ73" s="51">
        <v>909.55499999999995</v>
      </c>
      <c r="CA73" s="51">
        <v>906.4</v>
      </c>
      <c r="CB73" s="51">
        <v>902.94</v>
      </c>
      <c r="CC73" s="51">
        <f t="shared" ref="CC73:CG73" si="218">+CB73</f>
        <v>902.94</v>
      </c>
      <c r="CD73" s="51">
        <v>904.73199999999997</v>
      </c>
      <c r="CE73" s="51">
        <v>903.28300000000002</v>
      </c>
      <c r="CF73" s="51">
        <v>902.69899999999996</v>
      </c>
      <c r="CG73" s="51">
        <f t="shared" si="218"/>
        <v>902.69899999999996</v>
      </c>
      <c r="CH73" s="51">
        <v>903.98</v>
      </c>
      <c r="CI73" s="51">
        <v>903.80200000000002</v>
      </c>
      <c r="CJ73" s="51">
        <f t="shared" ref="CJ73:CL73" si="219">+CI73</f>
        <v>903.80200000000002</v>
      </c>
      <c r="CK73" s="51">
        <f t="shared" si="219"/>
        <v>903.80200000000002</v>
      </c>
      <c r="CL73" s="51">
        <f t="shared" si="219"/>
        <v>903.80200000000002</v>
      </c>
      <c r="CP73" s="51">
        <v>1091</v>
      </c>
      <c r="CQ73" s="51">
        <v>1085</v>
      </c>
      <c r="CR73" s="51">
        <v>1081</v>
      </c>
      <c r="CS73" s="51">
        <v>1089</v>
      </c>
      <c r="CT73" s="51">
        <v>1090</v>
      </c>
      <c r="CU73" s="51">
        <v>1086</v>
      </c>
      <c r="CV73" s="51">
        <f>AVERAGE(S73:V73)</f>
        <v>1090.6554999999998</v>
      </c>
      <c r="CW73" s="51">
        <f>AVERAGE(W73:Z73)</f>
        <v>1094.5889999999999</v>
      </c>
      <c r="CX73" s="51">
        <f>AVERAGE(AA73:AD73)</f>
        <v>1098.39725</v>
      </c>
      <c r="CY73" s="51">
        <f>AVERAGE(AE73:AH73)</f>
        <v>1105.443</v>
      </c>
      <c r="CZ73" s="51">
        <f>AVERAGE(AI73:AL73)</f>
        <v>1124.4602500000001</v>
      </c>
      <c r="DA73" s="51">
        <f>AVERAGE(AM73:AP73)</f>
        <v>1117.1260000000002</v>
      </c>
      <c r="DB73" s="51">
        <f t="shared" ref="DB73:DE73" si="220">DA73</f>
        <v>1117.1260000000002</v>
      </c>
      <c r="DC73" s="51">
        <f t="shared" si="220"/>
        <v>1117.1260000000002</v>
      </c>
      <c r="DD73" s="51">
        <f t="shared" si="220"/>
        <v>1117.1260000000002</v>
      </c>
      <c r="DE73" s="51">
        <f t="shared" si="220"/>
        <v>1117.1260000000002</v>
      </c>
      <c r="DF73" s="51">
        <v>1052.0229999999999</v>
      </c>
      <c r="DG73" s="51">
        <v>1033.6669999999999</v>
      </c>
      <c r="DH73" s="51">
        <v>935.68399999999997</v>
      </c>
      <c r="DI73" s="51"/>
      <c r="DJ73" s="51">
        <f>AVERAGE(BW73:BZ73)</f>
        <v>910.77249999999992</v>
      </c>
      <c r="DK73" s="49">
        <f>AVERAGE(CA73:CD73)</f>
        <v>904.25300000000004</v>
      </c>
      <c r="DL73" s="49">
        <f>AVERAGE(CE73:CH73)</f>
        <v>903.16525000000001</v>
      </c>
      <c r="DM73" s="49">
        <f>+DL73</f>
        <v>903.16525000000001</v>
      </c>
      <c r="DN73" s="49">
        <f t="shared" ref="DN73:DS73" si="221">+DM73</f>
        <v>903.16525000000001</v>
      </c>
      <c r="DO73" s="49">
        <f t="shared" si="221"/>
        <v>903.16525000000001</v>
      </c>
      <c r="DP73" s="49">
        <f t="shared" si="221"/>
        <v>903.16525000000001</v>
      </c>
      <c r="DQ73" s="49">
        <f t="shared" si="221"/>
        <v>903.16525000000001</v>
      </c>
      <c r="DR73" s="49">
        <f t="shared" si="221"/>
        <v>903.16525000000001</v>
      </c>
      <c r="DS73" s="49">
        <f t="shared" si="221"/>
        <v>903.16525000000001</v>
      </c>
    </row>
    <row r="74" spans="2:201" x14ac:dyDescent="0.15">
      <c r="Q74" s="51"/>
    </row>
    <row r="75" spans="2:201" s="55" customFormat="1" x14ac:dyDescent="0.15">
      <c r="B75" s="55" t="s">
        <v>381</v>
      </c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1">
        <f t="shared" ref="X75:AP75" si="222">X61/T61-1</f>
        <v>0.59843101721588976</v>
      </c>
      <c r="Y75" s="61">
        <f t="shared" si="222"/>
        <v>0.15215364534775344</v>
      </c>
      <c r="Z75" s="61">
        <f t="shared" si="222"/>
        <v>-0.21831165519000262</v>
      </c>
      <c r="AA75" s="61">
        <f t="shared" si="222"/>
        <v>-0.21628376429876006</v>
      </c>
      <c r="AB75" s="61">
        <f t="shared" si="222"/>
        <v>-0.23718952785858127</v>
      </c>
      <c r="AC75" s="61">
        <f t="shared" si="222"/>
        <v>-0.18168576851211593</v>
      </c>
      <c r="AD75" s="61">
        <f t="shared" si="222"/>
        <v>0.13885423663755869</v>
      </c>
      <c r="AE75" s="61">
        <f t="shared" si="222"/>
        <v>0.12136636820802149</v>
      </c>
      <c r="AF75" s="61">
        <f t="shared" si="222"/>
        <v>0.12422020142759349</v>
      </c>
      <c r="AG75" s="61">
        <f t="shared" si="222"/>
        <v>1.6684645810859378E-2</v>
      </c>
      <c r="AH75" s="61">
        <f t="shared" si="222"/>
        <v>4.2669362992922233E-2</v>
      </c>
      <c r="AI75" s="61">
        <f t="shared" si="222"/>
        <v>6.4479081214109835E-2</v>
      </c>
      <c r="AJ75" s="61">
        <f t="shared" si="222"/>
        <v>8.768939064484127E-2</v>
      </c>
      <c r="AK75" s="61">
        <f t="shared" si="222"/>
        <v>8.7235622833698789E-2</v>
      </c>
      <c r="AL75" s="61">
        <f t="shared" si="222"/>
        <v>-2.2611197310576814E-2</v>
      </c>
      <c r="AM75" s="61">
        <f t="shared" si="222"/>
        <v>-4.0553500479517668E-2</v>
      </c>
      <c r="AN75" s="61">
        <f t="shared" si="222"/>
        <v>-0.10432126407369491</v>
      </c>
      <c r="AO75" s="61">
        <f t="shared" si="222"/>
        <v>-0.11476716383923491</v>
      </c>
      <c r="AP75" s="61">
        <f t="shared" si="222"/>
        <v>-1.4882674912770955E-2</v>
      </c>
      <c r="AQ75" s="61">
        <f t="shared" ref="AQ75:AT75" si="223">AQ61/AM61-1</f>
        <v>-7.1397972297715384E-5</v>
      </c>
      <c r="AR75" s="61">
        <f t="shared" si="223"/>
        <v>5.8780466029819012E-2</v>
      </c>
      <c r="AS75" s="61">
        <f t="shared" si="223"/>
        <v>6.0652273771244936E-2</v>
      </c>
      <c r="AT75" s="61">
        <f t="shared" si="223"/>
        <v>-2.492739999664273E-2</v>
      </c>
      <c r="AU75" s="61">
        <f t="shared" ref="AU75" si="224">AU61/AQ61-1</f>
        <v>-0.16403070332024272</v>
      </c>
      <c r="AV75" s="61">
        <f t="shared" ref="AV75" si="225">AV61/AR61-1</f>
        <v>-0.16764760443192728</v>
      </c>
      <c r="AW75" s="61">
        <f t="shared" ref="AW75" si="226">AW61/AS61-1</f>
        <v>-0.155389252676437</v>
      </c>
      <c r="AX75" s="61">
        <f t="shared" ref="AX75" si="227">AX61/AT61-1</f>
        <v>-0.11835490979203966</v>
      </c>
      <c r="AY75" s="61">
        <f t="shared" ref="AY75:BB75" si="228">AY61/AU61-1</f>
        <v>-8.1996967820462396E-3</v>
      </c>
      <c r="AZ75" s="61">
        <f t="shared" si="228"/>
        <v>8.73247426857926E-3</v>
      </c>
      <c r="BA75" s="61">
        <f t="shared" si="228"/>
        <v>1.7249159077856957E-2</v>
      </c>
      <c r="BB75" s="61">
        <f t="shared" si="228"/>
        <v>4.9655360943510418E-2</v>
      </c>
      <c r="BC75" s="61">
        <f t="shared" ref="BC75" si="229">BC61/AY61-1</f>
        <v>4.7451934462936274E-2</v>
      </c>
      <c r="BD75" s="61">
        <f t="shared" ref="BD75" si="230">BD61/AZ61-1</f>
        <v>8.5584590354911949E-2</v>
      </c>
      <c r="BE75" s="61">
        <f t="shared" ref="BE75" si="231">BE61/BA61-1</f>
        <v>4.6777022803798696E-2</v>
      </c>
      <c r="BF75" s="61">
        <f t="shared" ref="BF75" si="232">BF61/BB61-1</f>
        <v>7.1601309621251552E-2</v>
      </c>
      <c r="BG75" s="61">
        <f t="shared" ref="BG75" si="233">BG61/BC61-1</f>
        <v>7.4654169492918809E-2</v>
      </c>
      <c r="BH75" s="61">
        <f t="shared" ref="BH75:BO75" si="234">BH61/BD61-1</f>
        <v>7.761619301361744E-2</v>
      </c>
      <c r="BI75" s="61">
        <f t="shared" si="234"/>
        <v>8.9816437775680491E-2</v>
      </c>
      <c r="BJ75" s="61">
        <f t="shared" si="234"/>
        <v>6.9473136012498937E-2</v>
      </c>
      <c r="BK75" s="61">
        <f t="shared" si="234"/>
        <v>9.0220530573991597E-2</v>
      </c>
      <c r="BL75" s="61">
        <f t="shared" si="234"/>
        <v>9.115258485998301E-2</v>
      </c>
      <c r="BM75" s="61">
        <f t="shared" si="234"/>
        <v>7.1385648639094912E-2</v>
      </c>
      <c r="BN75" s="61">
        <f t="shared" si="234"/>
        <v>4.5108510396545842E-2</v>
      </c>
      <c r="BO75" s="61">
        <f t="shared" si="234"/>
        <v>4.7684210526315551E-2</v>
      </c>
      <c r="BP75" s="61">
        <f>BP61/BL61-1</f>
        <v>4.8778952668680819E-2</v>
      </c>
      <c r="BQ75" s="61">
        <f>BQ61/BM61-1</f>
        <v>7.0340982200300273E-2</v>
      </c>
      <c r="BR75" s="61">
        <f>BR61/BN61-1</f>
        <v>0.13726586525020945</v>
      </c>
      <c r="BS75" s="61">
        <f>BS61/BO61-1</f>
        <v>-1.8754814293848066E-2</v>
      </c>
      <c r="BT75" s="61">
        <f t="shared" ref="BT75:CA75" si="235">BT61/BP61-1</f>
        <v>-0.17490847986557068</v>
      </c>
      <c r="BU75" s="61">
        <f t="shared" si="235"/>
        <v>-0.1152381979871463</v>
      </c>
      <c r="BV75" s="61">
        <f t="shared" si="235"/>
        <v>1.6073964820277453E-2</v>
      </c>
      <c r="BW75" s="61">
        <f t="shared" si="235"/>
        <v>0.16140482610328055</v>
      </c>
      <c r="BX75" s="61">
        <f t="shared" si="235"/>
        <v>0.22558824599047145</v>
      </c>
      <c r="BY75" s="61">
        <f t="shared" si="235"/>
        <v>0.17984182838030871</v>
      </c>
      <c r="BZ75" s="61">
        <f t="shared" si="235"/>
        <v>7.5240924181126712E-2</v>
      </c>
      <c r="CA75" s="61">
        <f t="shared" si="235"/>
        <v>0.14759903608792735</v>
      </c>
      <c r="CB75" s="61">
        <f t="shared" ref="CB75" si="236">CB61/BX61-1</f>
        <v>-3.7403560830859939E-2</v>
      </c>
      <c r="CC75" s="61">
        <f t="shared" ref="CC75" si="237">CC61/BY61-1</f>
        <v>2.4907721836704866E-2</v>
      </c>
      <c r="CD75" s="61">
        <f t="shared" ref="CD75" si="238">CD61/BZ61-1</f>
        <v>-8.7188589857372989E-2</v>
      </c>
      <c r="CE75" s="61">
        <f t="shared" ref="CE75" si="239">CE61/CA61-1</f>
        <v>-0.10882062969744299</v>
      </c>
      <c r="CF75" s="61">
        <f t="shared" ref="CF75" si="240">CF61/CB61-1</f>
        <v>0.19192650934817079</v>
      </c>
      <c r="CG75" s="61">
        <f t="shared" ref="CG75" si="241">CG61/CC61-1</f>
        <v>0.36833916763905084</v>
      </c>
      <c r="CH75" s="61">
        <f t="shared" ref="CH75" si="242">CH61/CD61-1</f>
        <v>0.2808665644171775</v>
      </c>
      <c r="CI75" s="61">
        <f>CI61/CE61-1</f>
        <v>0.25971954828884236</v>
      </c>
      <c r="CJ75" s="61">
        <f t="shared" ref="CJ75" si="243">CJ61/CF61-1</f>
        <v>-7.8351501984973537E-2</v>
      </c>
      <c r="CK75" s="61">
        <f t="shared" ref="CK75" si="244">CK61/CG61-1</f>
        <v>-0.20175604825974358</v>
      </c>
      <c r="CL75" s="61">
        <f t="shared" ref="CL75" si="245">CL61/CH61-1</f>
        <v>-0.14071888297303647</v>
      </c>
      <c r="CM75" s="61"/>
      <c r="CN75" s="61"/>
      <c r="CO75" s="61"/>
      <c r="CP75" s="60"/>
      <c r="CQ75" s="60"/>
      <c r="CR75" s="60"/>
      <c r="CS75" s="60"/>
      <c r="CT75" s="62">
        <f t="shared" ref="CT75:DF75" si="246">CT61/CS61-1</f>
        <v>5.7074825023450515E-2</v>
      </c>
      <c r="CU75" s="62">
        <f t="shared" si="246"/>
        <v>7.7372013651876959E-2</v>
      </c>
      <c r="CV75" s="62">
        <f t="shared" si="246"/>
        <v>0.17162226375645462</v>
      </c>
      <c r="CW75" s="62">
        <f t="shared" si="246"/>
        <v>6.0167880685474406E-2</v>
      </c>
      <c r="CX75" s="62">
        <f t="shared" si="246"/>
        <v>6.985394754409513E-2</v>
      </c>
      <c r="CY75" s="62">
        <f t="shared" si="246"/>
        <v>4.383313819191037E-2</v>
      </c>
      <c r="CZ75" s="62">
        <f t="shared" si="246"/>
        <v>9.0596424558550881E-2</v>
      </c>
      <c r="DA75" s="62">
        <f t="shared" si="246"/>
        <v>-7.8559971186021871E-2</v>
      </c>
      <c r="DB75" s="62">
        <f t="shared" si="246"/>
        <v>5.0523827920823772E-2</v>
      </c>
      <c r="DC75" s="62">
        <f t="shared" si="246"/>
        <v>-0.15132111226966538</v>
      </c>
      <c r="DD75" s="62">
        <f t="shared" si="246"/>
        <v>1.7491180488998559E-2</v>
      </c>
      <c r="DE75" s="62">
        <f t="shared" si="246"/>
        <v>6.3300715978495958E-2</v>
      </c>
      <c r="DF75" s="62">
        <f t="shared" si="246"/>
        <v>-5.8806621399390302E-2</v>
      </c>
      <c r="DG75" s="62">
        <f t="shared" ref="DG75:DI75" si="247">DG61/DF61-1</f>
        <v>7.6038469818414667E-2</v>
      </c>
      <c r="DH75" s="62">
        <f t="shared" si="247"/>
        <v>3.8454559412643308E-2</v>
      </c>
      <c r="DI75" s="62">
        <f t="shared" si="247"/>
        <v>9.9487441418675937E-2</v>
      </c>
      <c r="DJ75" s="62">
        <f t="shared" ref="DJ75" si="248">DJ61/DI61-1</f>
        <v>0.15397780757052804</v>
      </c>
      <c r="DK75" s="62">
        <f t="shared" ref="DK75:DS75" si="249">DK61/DJ61-1</f>
        <v>7.8958984409487343E-3</v>
      </c>
      <c r="DL75" s="62">
        <f t="shared" si="249"/>
        <v>0.17529193717350822</v>
      </c>
      <c r="DM75" s="62">
        <f t="shared" si="249"/>
        <v>-6.0539032293644546E-2</v>
      </c>
      <c r="DN75" s="62">
        <f t="shared" si="249"/>
        <v>0.17556451792032202</v>
      </c>
      <c r="DO75" s="62">
        <f t="shared" si="249"/>
        <v>0.20914964987488482</v>
      </c>
      <c r="DP75" s="62">
        <f t="shared" si="249"/>
        <v>0.22355012369776817</v>
      </c>
      <c r="DQ75" s="62">
        <f t="shared" si="249"/>
        <v>0.1318737497163307</v>
      </c>
      <c r="DR75" s="62">
        <f t="shared" si="249"/>
        <v>7.4802324538867593E-2</v>
      </c>
      <c r="DS75" s="62">
        <f t="shared" si="249"/>
        <v>-7.6712670448024878E-2</v>
      </c>
    </row>
    <row r="76" spans="2:201" s="38" customFormat="1" x14ac:dyDescent="0.15">
      <c r="B76" s="38" t="s">
        <v>379</v>
      </c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>
        <f t="shared" ref="BB76" si="250">+BB5/AX5-1</f>
        <v>10.029411764705882</v>
      </c>
      <c r="BC76" s="66">
        <f t="shared" ref="BC76" si="251">+BC5/AY5-1</f>
        <v>6.8469945355191246</v>
      </c>
      <c r="BD76" s="66">
        <f t="shared" ref="BD76" si="252">+BD5/AZ5-1</f>
        <v>3.544018058690745</v>
      </c>
      <c r="BE76" s="66">
        <f t="shared" ref="BE76" si="253">+BE5/BA5-1</f>
        <v>2.3052917232021706</v>
      </c>
      <c r="BF76" s="66">
        <f t="shared" ref="BF76" si="254">+BF5/BB5-1</f>
        <v>1.9955555555555557</v>
      </c>
      <c r="BG76" s="66">
        <f t="shared" ref="BG76" si="255">+BG5/BC5-1</f>
        <v>1.5967966573816157</v>
      </c>
      <c r="BH76" s="66">
        <f t="shared" ref="BH76:BK76" si="256">+BH5/BD5-1</f>
        <v>1.3854942871336311</v>
      </c>
      <c r="BI76" s="66">
        <f t="shared" si="256"/>
        <v>1.1662561576354684</v>
      </c>
      <c r="BJ76" s="66">
        <f t="shared" si="256"/>
        <v>0.9258160237388724</v>
      </c>
      <c r="BK76" s="66">
        <f t="shared" si="256"/>
        <v>0.81898632341110211</v>
      </c>
      <c r="BL76" s="66">
        <f t="shared" ref="BL76" si="257">+BL5/BH5-1</f>
        <v>0.62390670553935856</v>
      </c>
      <c r="BM76" s="66">
        <f t="shared" ref="BM76" si="258">+BM5/BI5-1</f>
        <v>0.54671214705324989</v>
      </c>
      <c r="BN76" s="66">
        <f t="shared" ref="BN76" si="259">+BN5/BJ5-1</f>
        <v>0.42480739599383677</v>
      </c>
      <c r="BO76" s="66">
        <f t="shared" ref="BO76" si="260">+BO5/BK5-1</f>
        <v>0.29691876750700286</v>
      </c>
      <c r="BP76" s="66">
        <f t="shared" ref="BP76:CH76" si="261">+BP5/BL5-1</f>
        <v>0.31892793023852284</v>
      </c>
      <c r="BQ76" s="66">
        <f t="shared" si="261"/>
        <v>0.23927958833619201</v>
      </c>
      <c r="BR76" s="66">
        <f t="shared" si="261"/>
        <v>0.3064777765761868</v>
      </c>
      <c r="BS76" s="66">
        <f t="shared" si="261"/>
        <v>0.39752188245992959</v>
      </c>
      <c r="BT76" s="66">
        <f t="shared" si="261"/>
        <v>0.19572192513368969</v>
      </c>
      <c r="BU76" s="66">
        <f t="shared" si="261"/>
        <v>9.4018783984181731E-2</v>
      </c>
      <c r="BV76" s="66">
        <f t="shared" si="261"/>
        <v>0.24360566178296517</v>
      </c>
      <c r="BW76" s="66">
        <f t="shared" si="261"/>
        <v>0.18138929559134542</v>
      </c>
      <c r="BX76" s="66">
        <f t="shared" si="261"/>
        <v>0.24865831842576025</v>
      </c>
      <c r="BY76" s="66">
        <f t="shared" si="261"/>
        <v>0.44596060003614668</v>
      </c>
      <c r="BZ76" s="66">
        <f t="shared" si="261"/>
        <v>0.25379392971246006</v>
      </c>
      <c r="CA76" s="66">
        <f t="shared" si="261"/>
        <v>0.19891214541448621</v>
      </c>
      <c r="CB76" s="66">
        <f t="shared" si="261"/>
        <v>0.24505079447772871</v>
      </c>
      <c r="CC76" s="66">
        <f t="shared" si="261"/>
        <v>0.15642772326729593</v>
      </c>
      <c r="CD76" s="66">
        <f t="shared" si="261"/>
        <v>2.7870680044593144E-2</v>
      </c>
      <c r="CE76" s="66">
        <f t="shared" si="261"/>
        <v>0.13541606845460286</v>
      </c>
      <c r="CF76" s="66">
        <f t="shared" si="261"/>
        <v>-5.1990166849730679E-2</v>
      </c>
      <c r="CG76" s="66">
        <f t="shared" si="261"/>
        <v>-9.5546908776480866E-2</v>
      </c>
      <c r="CH76" s="66">
        <f t="shared" si="261"/>
        <v>-0.13784732982129955</v>
      </c>
      <c r="CI76" s="66">
        <f>+CI5/CE5-1</f>
        <v>-0.26341611451115265</v>
      </c>
      <c r="CJ76" s="66">
        <f t="shared" ref="CJ76" si="262">+CJ5/CF5-1</f>
        <v>-0.25169655172413796</v>
      </c>
      <c r="CK76" s="66">
        <f t="shared" ref="CK76" si="263">+CK5/CG5-1</f>
        <v>-0.24934273422562137</v>
      </c>
      <c r="CL76" s="66">
        <f t="shared" ref="CL76" si="264">+CL5/CH5-1</f>
        <v>-0.30731444317977596</v>
      </c>
      <c r="CM76" s="66"/>
      <c r="CN76" s="66"/>
      <c r="CO76" s="66"/>
      <c r="CP76" s="48"/>
      <c r="CQ76" s="48"/>
      <c r="CR76" s="48"/>
      <c r="CS76" s="48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  <c r="DG76" s="67"/>
      <c r="DH76" s="67"/>
      <c r="DI76" s="67"/>
      <c r="DJ76" s="67"/>
    </row>
    <row r="77" spans="2:201" s="38" customFormat="1" x14ac:dyDescent="0.15">
      <c r="B77" s="38" t="s">
        <v>713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  <c r="BR77" s="66"/>
      <c r="BS77" s="66"/>
      <c r="BT77" s="66"/>
      <c r="BU77" s="66"/>
      <c r="BV77" s="66"/>
      <c r="BW77" s="66"/>
      <c r="BX77" s="66"/>
      <c r="BY77" s="66"/>
      <c r="BZ77" s="66"/>
      <c r="CA77" s="66"/>
      <c r="CB77" s="66"/>
      <c r="CC77" s="66"/>
      <c r="CD77" s="66"/>
      <c r="CE77" s="66"/>
      <c r="CF77" s="66"/>
      <c r="CG77" s="66"/>
      <c r="CH77" s="66"/>
      <c r="CI77" s="66">
        <f>CI6/CE6-1</f>
        <v>2.177660510114336</v>
      </c>
      <c r="CJ77" s="66">
        <f t="shared" ref="CJ77:CL77" si="265">CJ6/CF6-1</f>
        <v>1.1501480044911707</v>
      </c>
      <c r="CK77" s="66">
        <f t="shared" si="265"/>
        <v>0.70758532604839286</v>
      </c>
      <c r="CL77" s="66">
        <f t="shared" si="265"/>
        <v>0.22710373594486777</v>
      </c>
      <c r="CM77" s="66"/>
      <c r="CN77" s="66"/>
      <c r="CO77" s="66"/>
      <c r="CP77" s="48"/>
      <c r="CQ77" s="48"/>
      <c r="CR77" s="48"/>
      <c r="CS77" s="48"/>
      <c r="CT77" s="67"/>
      <c r="CU77" s="67"/>
      <c r="CV77" s="67"/>
      <c r="CW77" s="67"/>
      <c r="CX77" s="67"/>
      <c r="CY77" s="67"/>
      <c r="CZ77" s="67"/>
      <c r="DA77" s="67"/>
      <c r="DB77" s="67"/>
      <c r="DC77" s="67"/>
      <c r="DD77" s="67"/>
      <c r="DE77" s="67"/>
      <c r="DF77" s="67"/>
      <c r="DG77" s="67"/>
      <c r="DH77" s="67"/>
      <c r="DI77" s="67"/>
      <c r="DJ77" s="67"/>
    </row>
    <row r="78" spans="2:201" s="38" customFormat="1" x14ac:dyDescent="0.15">
      <c r="B78" s="38" t="s">
        <v>492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>
        <f t="shared" ref="BH78:BO78" si="266">+BH9/BD9-1</f>
        <v>6.1865284974093253</v>
      </c>
      <c r="BI78" s="66">
        <f t="shared" si="266"/>
        <v>3.6553846153846159</v>
      </c>
      <c r="BJ78" s="66">
        <f t="shared" si="266"/>
        <v>1.8140293637846656</v>
      </c>
      <c r="BK78" s="66">
        <f t="shared" si="266"/>
        <v>0.51656314699792971</v>
      </c>
      <c r="BL78" s="66">
        <f t="shared" si="266"/>
        <v>0.58687815428983425</v>
      </c>
      <c r="BM78" s="66">
        <f t="shared" si="266"/>
        <v>0.74421678783873069</v>
      </c>
      <c r="BN78" s="66">
        <f t="shared" si="266"/>
        <v>0.77971014492753632</v>
      </c>
      <c r="BO78" s="66">
        <f t="shared" si="266"/>
        <v>0.72354948805460761</v>
      </c>
      <c r="BP78" s="66">
        <f>+BP9/BL9-1</f>
        <v>0.607451158564289</v>
      </c>
      <c r="BQ78" s="66">
        <f>+BQ9/BM9-1</f>
        <v>0.28836680560818495</v>
      </c>
      <c r="BR78" s="66">
        <f>+BR9/BN9-1</f>
        <v>0.36840390879478835</v>
      </c>
      <c r="BS78" s="66">
        <f>+BS9/BO9-1</f>
        <v>0.75643564356435644</v>
      </c>
      <c r="BT78" s="66">
        <f>+BT9/BP9-1</f>
        <v>0.11701526286037311</v>
      </c>
      <c r="BU78" s="66">
        <f>+BU9/BQ9-1</f>
        <v>0.33676470588235285</v>
      </c>
      <c r="BV78" s="66">
        <f>+BV9/BR9-1</f>
        <v>0.17900499880980725</v>
      </c>
      <c r="BW78" s="66">
        <f>+BW9/BS9-1</f>
        <v>-9.0868094701240132E-2</v>
      </c>
      <c r="BX78" s="66">
        <f>+BX9/BT9-1</f>
        <v>0.44003036437246967</v>
      </c>
      <c r="BY78" s="66">
        <f>+BY9/BU9-1</f>
        <v>0.304950495049505</v>
      </c>
      <c r="BZ78" s="66">
        <f>+BZ9/BV9-1</f>
        <v>0.30708661417322825</v>
      </c>
      <c r="CA78" s="66">
        <f>+CA9/BW9-1</f>
        <v>0.21056547619047628</v>
      </c>
      <c r="CB78" s="66">
        <f>+CB9/BX9-1</f>
        <v>6.519065190651907E-2</v>
      </c>
      <c r="CC78" s="66">
        <f>+CC9/BY9-1</f>
        <v>0.14634968807958182</v>
      </c>
      <c r="CD78" s="66">
        <f>+CD9/BZ9-1</f>
        <v>9.3296261970960748E-2</v>
      </c>
      <c r="CE78" s="66">
        <f>+CE9/CA9-1</f>
        <v>7.9696783446015163E-2</v>
      </c>
      <c r="CF78" s="66">
        <f>+CF9/CB9-1</f>
        <v>0.16116793137578345</v>
      </c>
      <c r="CG78" s="66">
        <f>+CG9/CC9-1</f>
        <v>9.4572731284012557E-2</v>
      </c>
      <c r="CH78" s="66">
        <f>+CH9/CD9-1</f>
        <v>0.10850522746538571</v>
      </c>
      <c r="CI78" s="66">
        <f>+CI9/CE9-1</f>
        <v>0.1461100569259961</v>
      </c>
      <c r="CJ78" s="66">
        <f>+CJ9/CF9-1</f>
        <v>-0.11351044182412273</v>
      </c>
      <c r="CK78" s="66">
        <f>+CK9/CG9-1</f>
        <v>-0.1346412254770224</v>
      </c>
      <c r="CL78" s="66">
        <f>+CL9/CH9-1</f>
        <v>-0.15370889625286777</v>
      </c>
      <c r="CM78" s="66"/>
      <c r="CN78" s="66"/>
      <c r="CO78" s="66"/>
      <c r="CP78" s="48"/>
      <c r="CQ78" s="48"/>
      <c r="CR78" s="48"/>
      <c r="CS78" s="48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7"/>
      <c r="DE78" s="67"/>
      <c r="DF78" s="67"/>
      <c r="DG78" s="67"/>
      <c r="DH78" s="67"/>
      <c r="DI78" s="67"/>
      <c r="DJ78" s="67"/>
    </row>
    <row r="79" spans="2:201" s="38" customFormat="1" x14ac:dyDescent="0.15">
      <c r="B79" s="38" t="s">
        <v>493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>
        <f>+BN10/BJ10-1</f>
        <v>2.9571428571428569</v>
      </c>
      <c r="BO79" s="66">
        <f>+BO10/BK10-1</f>
        <v>2.6835016835016838</v>
      </c>
      <c r="BP79" s="66">
        <f>+BP10/BL10-1</f>
        <v>1.3206239168110918</v>
      </c>
      <c r="BQ79" s="66">
        <f>+BQ10/BM10-1</f>
        <v>0.86035502958579868</v>
      </c>
      <c r="BR79" s="66">
        <f>+BR10/BN10-1</f>
        <v>1.1552346570397112</v>
      </c>
      <c r="BS79" s="66">
        <f>+BS10/BO10-1</f>
        <v>0.71846435100548445</v>
      </c>
      <c r="BT79" s="66">
        <f>+BT10/BP10-1</f>
        <v>0.55787901418969366</v>
      </c>
      <c r="BU79" s="66">
        <f>+BU10/BQ10-1</f>
        <v>0.49109414758269732</v>
      </c>
      <c r="BV79" s="66">
        <f>+BV10/BR10-1</f>
        <v>0.57230597431602481</v>
      </c>
      <c r="BW79" s="66">
        <f>+BW10/BS10-1</f>
        <v>0.43085106382978733</v>
      </c>
      <c r="BX79" s="66">
        <f>+BX10/BT10-1</f>
        <v>0.63614573346116976</v>
      </c>
      <c r="BY79" s="66">
        <f>+BY10/BU10-1</f>
        <v>0.43131399317406149</v>
      </c>
      <c r="BZ79" s="66">
        <f>+BZ10/BV10-1</f>
        <v>0.43501420454545459</v>
      </c>
      <c r="CA79" s="66">
        <f>+CA10/BW10-1</f>
        <v>0.7449814126394052</v>
      </c>
      <c r="CB79" s="66">
        <f>+CB10/BX10-1</f>
        <v>0.72428948139466742</v>
      </c>
      <c r="CC79" s="66">
        <f>+CC10/BY10-1</f>
        <v>0.84113263785394943</v>
      </c>
      <c r="CD79" s="66">
        <f>+CD10/BZ10-1</f>
        <v>0.99950507300173208</v>
      </c>
      <c r="CE79" s="66">
        <f>+CE10/CA10-1</f>
        <v>0.59970174691095024</v>
      </c>
      <c r="CF79" s="66">
        <f>+CF10/CB10-1</f>
        <v>0.57485131690739166</v>
      </c>
      <c r="CG79" s="66">
        <f>+CG10/CC10-1</f>
        <v>0.68398899141978298</v>
      </c>
      <c r="CH79" s="66">
        <f>+CH10/CD10-1</f>
        <v>0.41757425742574261</v>
      </c>
      <c r="CI79" s="66">
        <f>+CI10/CE10-1</f>
        <v>0.39872153415900913</v>
      </c>
      <c r="CJ79" s="66">
        <f>+CJ10/CF10-1</f>
        <v>0.154833836858006</v>
      </c>
      <c r="CK79" s="66">
        <f>+CK10/CG10-1</f>
        <v>4.8163814651028591E-2</v>
      </c>
      <c r="CL79" s="66">
        <f>+CL10/CH10-1</f>
        <v>-3.0644316396018945E-2</v>
      </c>
      <c r="CM79" s="66"/>
      <c r="CN79" s="66"/>
      <c r="CO79" s="66"/>
      <c r="CP79" s="48"/>
      <c r="CQ79" s="48"/>
      <c r="CR79" s="48"/>
      <c r="CS79" s="48"/>
      <c r="CT79" s="67"/>
      <c r="CU79" s="67"/>
      <c r="CV79" s="67"/>
      <c r="CW79" s="67"/>
      <c r="CX79" s="67"/>
      <c r="CY79" s="67"/>
      <c r="CZ79" s="67"/>
      <c r="DA79" s="67"/>
      <c r="DB79" s="67"/>
      <c r="DC79" s="67"/>
      <c r="DD79" s="67"/>
      <c r="DE79" s="67"/>
      <c r="DF79" s="67"/>
      <c r="DG79" s="67"/>
      <c r="DH79" s="67"/>
      <c r="DI79" s="67"/>
      <c r="DJ79" s="67"/>
    </row>
    <row r="80" spans="2:201" s="38" customFormat="1" x14ac:dyDescent="0.15">
      <c r="B80" s="38" t="s">
        <v>494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>
        <f t="shared" ref="BC80" si="267">+BC11/AY11-1</f>
        <v>0.97927461139896388</v>
      </c>
      <c r="BD80" s="66">
        <f t="shared" ref="BD80" si="268">+BD11/AZ11-1</f>
        <v>2.612612612612613</v>
      </c>
      <c r="BE80" s="66">
        <f t="shared" ref="BE80" si="269">+BE11/BA11-1</f>
        <v>2.0844155844155843</v>
      </c>
      <c r="BF80" s="66">
        <f t="shared" ref="BF80" si="270">+BF11/BB11-1</f>
        <v>4.212328767123287</v>
      </c>
      <c r="BG80" s="66">
        <f t="shared" ref="BG80" si="271">+BG11/BC11-1</f>
        <v>0.93717277486910988</v>
      </c>
      <c r="BH80" s="66">
        <f t="shared" ref="BH80:BO80" si="272">+BH11/BD11-1</f>
        <v>1.57356608478803</v>
      </c>
      <c r="BI80" s="66">
        <f t="shared" si="272"/>
        <v>1.6778947368421053</v>
      </c>
      <c r="BJ80" s="66">
        <f t="shared" si="272"/>
        <v>0.88173455978975035</v>
      </c>
      <c r="BK80" s="66">
        <f t="shared" si="272"/>
        <v>1.0405405405405403</v>
      </c>
      <c r="BL80" s="66">
        <f t="shared" si="272"/>
        <v>0.42635658914728669</v>
      </c>
      <c r="BM80" s="66">
        <f t="shared" si="272"/>
        <v>0.31210691823899372</v>
      </c>
      <c r="BN80" s="66">
        <f t="shared" si="272"/>
        <v>0.34916201117318435</v>
      </c>
      <c r="BO80" s="66">
        <f t="shared" si="272"/>
        <v>0.34834437086092707</v>
      </c>
      <c r="BP80" s="66">
        <f>+BP11/BL11-1</f>
        <v>0.57540760869565233</v>
      </c>
      <c r="BQ80" s="66">
        <f>+BQ11/BM11-1</f>
        <v>0.44218094667465535</v>
      </c>
      <c r="BR80" s="66">
        <f>+BR11/BN11-1</f>
        <v>0.38716356107660466</v>
      </c>
      <c r="BS80" s="66">
        <f>+BS11/BO11-1</f>
        <v>0.31385068762278978</v>
      </c>
      <c r="BT80" s="66">
        <f>+BT11/BP11-1</f>
        <v>0.1297973264338077</v>
      </c>
      <c r="BU80" s="66">
        <f>+BU11/BQ11-1</f>
        <v>0.29123390112172842</v>
      </c>
      <c r="BV80" s="66">
        <f>+BV11/BR11-1</f>
        <v>0.17014925373134338</v>
      </c>
      <c r="BW80" s="66">
        <f>+BW11/BS11-1</f>
        <v>0.16635514018691588</v>
      </c>
      <c r="BX80" s="66">
        <f>+BX11/BT11-1</f>
        <v>0.36068702290076327</v>
      </c>
      <c r="BY80" s="66">
        <f>+BY11/BU11-1</f>
        <v>0.25611325611325597</v>
      </c>
      <c r="BZ80" s="66">
        <f>+BZ11/BV11-1</f>
        <v>0.37723214285714279</v>
      </c>
      <c r="CA80" s="66">
        <f>+CA11/BW11-1</f>
        <v>0.34423076923076912</v>
      </c>
      <c r="CB80" s="66">
        <f>+CB11/BX11-1</f>
        <v>0.29312762973352036</v>
      </c>
      <c r="CC80" s="66">
        <f>+CC11/BY11-1</f>
        <v>0.46849385245901631</v>
      </c>
      <c r="CD80" s="66">
        <f>+CD11/BZ11-1</f>
        <v>0.41768927992590865</v>
      </c>
      <c r="CE80" s="66">
        <f>+CE11/CA11-1</f>
        <v>0.37696709585121613</v>
      </c>
      <c r="CF80" s="66">
        <f>+CF11/CB11-1</f>
        <v>0.44967462039045536</v>
      </c>
      <c r="CG80" s="66">
        <f>+CG11/CC11-1</f>
        <v>0.22239665096807948</v>
      </c>
      <c r="CH80" s="66">
        <f>+CH11/CD11-1</f>
        <v>0.30344602319124636</v>
      </c>
      <c r="CI80" s="66">
        <f>+CI11/CE11-1</f>
        <v>0.18874458874458866</v>
      </c>
      <c r="CJ80" s="66">
        <f>+CJ11/CF11-1</f>
        <v>5.7159958102648512E-2</v>
      </c>
      <c r="CK80" s="66">
        <f>+CK11/CG11-1</f>
        <v>3.6672374429223886E-2</v>
      </c>
      <c r="CL80" s="66">
        <f>+CL11/CH11-1</f>
        <v>-6.4653552186442864E-2</v>
      </c>
      <c r="CM80" s="66"/>
      <c r="CN80" s="66"/>
      <c r="CO80" s="66"/>
      <c r="CP80" s="48"/>
      <c r="CQ80" s="48"/>
      <c r="CR80" s="48"/>
      <c r="CS80" s="48"/>
      <c r="CT80" s="67"/>
      <c r="CU80" s="67"/>
      <c r="CV80" s="67"/>
      <c r="CW80" s="67"/>
      <c r="CX80" s="67"/>
      <c r="CY80" s="67"/>
      <c r="CZ80" s="67"/>
      <c r="DA80" s="67"/>
      <c r="DB80" s="67"/>
      <c r="DC80" s="67"/>
      <c r="DD80" s="67"/>
      <c r="DE80" s="67"/>
      <c r="DF80" s="67"/>
      <c r="DG80" s="67"/>
      <c r="DH80" s="67"/>
      <c r="DI80" s="67"/>
      <c r="DJ80" s="67"/>
    </row>
    <row r="81" spans="2:125" s="38" customFormat="1" x14ac:dyDescent="0.15">
      <c r="B81" s="38" t="s">
        <v>56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66">
        <f t="shared" ref="O81:AS81" si="273">O72/K72-1</f>
        <v>-0.22605591891372567</v>
      </c>
      <c r="P81" s="66">
        <f t="shared" si="273"/>
        <v>0.67610728701847322</v>
      </c>
      <c r="Q81" s="66">
        <f t="shared" si="273"/>
        <v>0.34015035080861589</v>
      </c>
      <c r="R81" s="66">
        <f t="shared" si="273"/>
        <v>3.7454658637521607</v>
      </c>
      <c r="S81" s="66">
        <f t="shared" si="273"/>
        <v>1.6519622566819141</v>
      </c>
      <c r="T81" s="66">
        <f t="shared" si="273"/>
        <v>0.46464279222800253</v>
      </c>
      <c r="U81" s="66">
        <f t="shared" si="273"/>
        <v>3.8235187048251413</v>
      </c>
      <c r="V81" s="66">
        <f t="shared" si="273"/>
        <v>0.1870513600647703</v>
      </c>
      <c r="W81" s="66">
        <f t="shared" si="273"/>
        <v>1.9471106396652482</v>
      </c>
      <c r="X81" s="66">
        <f t="shared" si="273"/>
        <v>3.7362930227057349</v>
      </c>
      <c r="Y81" s="66">
        <f t="shared" si="273"/>
        <v>0.17487628448498183</v>
      </c>
      <c r="Z81" s="66">
        <f t="shared" si="273"/>
        <v>-0.52026113261404561</v>
      </c>
      <c r="AA81" s="66">
        <f t="shared" si="273"/>
        <v>-0.57728356037442752</v>
      </c>
      <c r="AB81" s="66">
        <f t="shared" si="273"/>
        <v>-0.60384987633693532</v>
      </c>
      <c r="AC81" s="66">
        <f t="shared" si="273"/>
        <v>-0.45386568723743781</v>
      </c>
      <c r="AD81" s="66">
        <f t="shared" si="273"/>
        <v>-0.17935478589422826</v>
      </c>
      <c r="AE81" s="66">
        <f t="shared" si="273"/>
        <v>0.1144033426114861</v>
      </c>
      <c r="AF81" s="66">
        <f t="shared" si="273"/>
        <v>0.28860862968049394</v>
      </c>
      <c r="AG81" s="66">
        <f t="shared" si="273"/>
        <v>-0.10728645122357194</v>
      </c>
      <c r="AH81" s="66">
        <f t="shared" si="273"/>
        <v>0.24088397214917667</v>
      </c>
      <c r="AI81" s="66">
        <f t="shared" si="273"/>
        <v>5.1382705842108578E-2</v>
      </c>
      <c r="AJ81" s="66">
        <f t="shared" si="273"/>
        <v>-6.5788977619371525E-2</v>
      </c>
      <c r="AK81" s="66">
        <f t="shared" si="273"/>
        <v>-7.1925548393590666E-2</v>
      </c>
      <c r="AL81" s="66">
        <f t="shared" si="273"/>
        <v>-0.22750132460794636</v>
      </c>
      <c r="AM81" s="66">
        <f t="shared" si="273"/>
        <v>-0.25615165684029639</v>
      </c>
      <c r="AN81" s="66">
        <f t="shared" si="273"/>
        <v>-0.28127885987742418</v>
      </c>
      <c r="AO81" s="66">
        <f t="shared" si="273"/>
        <v>-0.29593098547977148</v>
      </c>
      <c r="AP81" s="66">
        <f t="shared" si="273"/>
        <v>6.4600727857465623E-2</v>
      </c>
      <c r="AQ81" s="66">
        <f t="shared" si="273"/>
        <v>6.9797382424570564E-2</v>
      </c>
      <c r="AR81" s="66">
        <f t="shared" si="273"/>
        <v>0.41810682529532461</v>
      </c>
      <c r="AS81" s="66">
        <f t="shared" si="273"/>
        <v>0.39984491447748982</v>
      </c>
      <c r="AT81" s="66">
        <f t="shared" ref="AT81" si="274">+AT72/AP72-1</f>
        <v>-0.17908617525056403</v>
      </c>
      <c r="AU81" s="66">
        <f t="shared" ref="AU81" si="275">+AU72/AQ72-1</f>
        <v>-0.38848476873388582</v>
      </c>
      <c r="AV81" s="66">
        <f t="shared" ref="AV81" si="276">+AV72/AR72-1</f>
        <v>-0.50355974944012782</v>
      </c>
      <c r="AW81" s="66">
        <f t="shared" ref="AW81" si="277">+AW72/AS72-1</f>
        <v>-0.6268077871262776</v>
      </c>
      <c r="AX81" s="66">
        <f t="shared" ref="AX81:BB81" si="278">+AX72/AT72-1</f>
        <v>-0.18783940646311048</v>
      </c>
      <c r="AY81" s="66">
        <f t="shared" si="278"/>
        <v>0.10295041397840432</v>
      </c>
      <c r="AZ81" s="66">
        <f t="shared" si="278"/>
        <v>0.91139320767904608</v>
      </c>
      <c r="BA81" s="66">
        <f t="shared" si="278"/>
        <v>0.5169613768087753</v>
      </c>
      <c r="BB81" s="66">
        <f t="shared" si="278"/>
        <v>6.3626988700353992E-2</v>
      </c>
      <c r="BC81" s="66">
        <f t="shared" ref="BC81" si="279">+BC72/AY72-1</f>
        <v>0.23250916922393094</v>
      </c>
      <c r="BD81" s="66">
        <f t="shared" ref="BD81" si="280">+BD72/AZ72-1</f>
        <v>-0.21073591805089609</v>
      </c>
      <c r="BE81" s="66">
        <f t="shared" ref="BE81" si="281">+BE72/BA72-1</f>
        <v>0.15419301941534758</v>
      </c>
      <c r="BF81" s="66">
        <f t="shared" ref="BF81" si="282">+BF72/BB72-1</f>
        <v>0.3170296226644651</v>
      </c>
      <c r="BG81" s="66">
        <f t="shared" ref="BG81" si="283">+BG72/BC72-1</f>
        <v>-6.9289455650238252E-2</v>
      </c>
      <c r="BH81" s="66">
        <f t="shared" ref="BH81:BK81" si="284">+BH72/BD72-1</f>
        <v>1.0684769275743689E-2</v>
      </c>
      <c r="BI81" s="66">
        <f t="shared" si="284"/>
        <v>0.39398235910848012</v>
      </c>
      <c r="BJ81" s="66">
        <f t="shared" si="284"/>
        <v>0.22523961679788629</v>
      </c>
      <c r="BK81" s="66">
        <f t="shared" si="284"/>
        <v>0.45236898755113963</v>
      </c>
      <c r="BL81" s="66">
        <f t="shared" ref="BL81" si="285">+BL72/BH72-1</f>
        <v>0.49230638070497101</v>
      </c>
      <c r="BM81" s="66">
        <f t="shared" ref="BM81" si="286">+BM72/BI72-1</f>
        <v>0.24713714508369033</v>
      </c>
      <c r="BN81" s="66">
        <f t="shared" ref="BN81" si="287">+BN72/BJ72-1</f>
        <v>0.43212564887758509</v>
      </c>
      <c r="BO81" s="66">
        <f t="shared" ref="BO81" si="288">+BO72/BK72-1</f>
        <v>0.81485662133370518</v>
      </c>
      <c r="BP81" s="66">
        <f t="shared" ref="BP81:BZ81" si="289">+BP72/BL72-1</f>
        <v>0.92705985568862292</v>
      </c>
      <c r="BQ81" s="66">
        <f t="shared" si="289"/>
        <v>0.99236784825039681</v>
      </c>
      <c r="BR81" s="66">
        <f t="shared" si="289"/>
        <v>0.84721360982104787</v>
      </c>
      <c r="BS81" s="66">
        <f t="shared" si="289"/>
        <v>-0.21748332228930001</v>
      </c>
      <c r="BT81" s="66">
        <f t="shared" si="289"/>
        <v>-0.47101430542308842</v>
      </c>
      <c r="BU81" s="66">
        <f t="shared" si="289"/>
        <v>-0.49135876858442151</v>
      </c>
      <c r="BV81" s="66">
        <f t="shared" si="289"/>
        <v>-0.25995614941414535</v>
      </c>
      <c r="BW81" s="66">
        <f t="shared" si="289"/>
        <v>0.24076955289661717</v>
      </c>
      <c r="BX81" s="66">
        <f t="shared" si="289"/>
        <v>0.38318594312768117</v>
      </c>
      <c r="BY81" s="66">
        <f t="shared" si="289"/>
        <v>0.45580624220564636</v>
      </c>
      <c r="BZ81" s="66">
        <f t="shared" si="289"/>
        <v>0.17005727482444555</v>
      </c>
      <c r="CA81" s="66">
        <f>+CA72/BW72-1</f>
        <v>0.43758303199128945</v>
      </c>
      <c r="CB81" s="66">
        <f t="shared" ref="CB81:CH81" si="290">+CB72/BX72-1</f>
        <v>1.1450043970479884E-2</v>
      </c>
      <c r="CC81" s="66">
        <f t="shared" si="290"/>
        <v>0.17768936251698442</v>
      </c>
      <c r="CD81" s="66">
        <f t="shared" si="290"/>
        <v>-7.656406923060699E-2</v>
      </c>
      <c r="CE81" s="66">
        <f t="shared" si="290"/>
        <v>-0.40528199841427992</v>
      </c>
      <c r="CF81" s="66">
        <f t="shared" si="290"/>
        <v>-0.1303072881129842</v>
      </c>
      <c r="CG81" s="66">
        <f t="shared" si="290"/>
        <v>0.91986587477821824</v>
      </c>
      <c r="CH81" s="66">
        <f t="shared" si="290"/>
        <v>0.41382188773204387</v>
      </c>
      <c r="CI81" s="66">
        <f>+CI72/CE72-1</f>
        <v>0.50926907601261395</v>
      </c>
      <c r="CJ81" s="66">
        <f t="shared" ref="CJ81" si="291">+CJ72/CF72-1</f>
        <v>-0.39080667811615899</v>
      </c>
      <c r="CK81" s="66">
        <f t="shared" ref="CK81" si="292">+CK72/CG72-1</f>
        <v>-0.43495416162615219</v>
      </c>
      <c r="CL81" s="66">
        <f t="shared" ref="CL81" si="293">+CL72/CH72-1</f>
        <v>-0.53273386492692765</v>
      </c>
      <c r="CM81" s="66"/>
      <c r="CN81" s="66"/>
      <c r="CO81" s="66"/>
      <c r="CP81" s="48"/>
      <c r="CQ81" s="67">
        <f t="shared" ref="CQ81:DJ81" si="294">CQ72/CP72-1</f>
        <v>-0.10439415262209151</v>
      </c>
      <c r="CR81" s="67">
        <f t="shared" si="294"/>
        <v>1.8236125131542602E-2</v>
      </c>
      <c r="CS81" s="67">
        <f t="shared" si="294"/>
        <v>8.8659943146997877E-2</v>
      </c>
      <c r="CT81" s="67">
        <f t="shared" si="294"/>
        <v>1.8914666658705448E-2</v>
      </c>
      <c r="CU81" s="67">
        <f t="shared" si="294"/>
        <v>0.18158561537982321</v>
      </c>
      <c r="CV81" s="67">
        <f t="shared" si="294"/>
        <v>0.355007280514271</v>
      </c>
      <c r="CW81" s="67">
        <f t="shared" si="294"/>
        <v>0.84588192053742906</v>
      </c>
      <c r="CX81" s="67">
        <f t="shared" si="294"/>
        <v>-0.49685325768272748</v>
      </c>
      <c r="CY81" s="67">
        <f t="shared" si="294"/>
        <v>-0.14043421391571609</v>
      </c>
      <c r="CZ81" s="67">
        <f t="shared" si="294"/>
        <v>9.3314477344200064E-2</v>
      </c>
      <c r="DA81" s="67">
        <f t="shared" si="294"/>
        <v>-0.27187767535042584</v>
      </c>
      <c r="DB81" s="67">
        <f t="shared" si="294"/>
        <v>-2.5724967872223239</v>
      </c>
      <c r="DC81" s="67">
        <f t="shared" si="294"/>
        <v>-0.19999999999999984</v>
      </c>
      <c r="DD81" s="67">
        <f t="shared" si="294"/>
        <v>-1</v>
      </c>
      <c r="DE81" s="67" t="e">
        <f t="shared" si="294"/>
        <v>#DIV/0!</v>
      </c>
      <c r="DF81" s="67" t="e">
        <f t="shared" si="294"/>
        <v>#DIV/0!</v>
      </c>
      <c r="DG81" s="67">
        <f t="shared" si="294"/>
        <v>0.32371712883247206</v>
      </c>
      <c r="DH81" s="67">
        <f t="shared" si="294"/>
        <v>0.10557739192775473</v>
      </c>
      <c r="DI81" s="67" t="e">
        <f t="shared" si="294"/>
        <v>#DIV/0!</v>
      </c>
      <c r="DJ81" s="67" t="e">
        <f t="shared" si="294"/>
        <v>#DIV/0!</v>
      </c>
    </row>
    <row r="82" spans="2:125" x14ac:dyDescent="0.15">
      <c r="DG82" s="47"/>
      <c r="DH82" s="47"/>
      <c r="DI82" s="47"/>
      <c r="DJ82" s="47"/>
    </row>
    <row r="83" spans="2:125" x14ac:dyDescent="0.15">
      <c r="B83" t="s">
        <v>123</v>
      </c>
      <c r="J83" s="64">
        <f t="shared" ref="J83:V83" si="295">J63/J61</f>
        <v>0.73930980486629738</v>
      </c>
      <c r="K83" s="64">
        <f t="shared" si="295"/>
        <v>0.73235178068634854</v>
      </c>
      <c r="L83" s="64">
        <f t="shared" si="295"/>
        <v>0.72475991913065463</v>
      </c>
      <c r="M83" s="64">
        <f t="shared" si="295"/>
        <v>0.73272302052168059</v>
      </c>
      <c r="N83" s="64">
        <f t="shared" si="295"/>
        <v>0.74005151506381495</v>
      </c>
      <c r="O83" s="64">
        <f t="shared" si="295"/>
        <v>0.75013167270812031</v>
      </c>
      <c r="P83" s="64">
        <f t="shared" si="295"/>
        <v>0.74846625766871167</v>
      </c>
      <c r="Q83" s="64">
        <f t="shared" si="295"/>
        <v>0.75506122118009567</v>
      </c>
      <c r="R83" s="64">
        <f t="shared" si="295"/>
        <v>0.81222054008379396</v>
      </c>
      <c r="S83" s="64">
        <f t="shared" si="295"/>
        <v>0.78222379603399439</v>
      </c>
      <c r="T83" s="64">
        <f t="shared" si="295"/>
        <v>0.76181506032714963</v>
      </c>
      <c r="U83" s="64">
        <f t="shared" si="295"/>
        <v>0.82123302764734796</v>
      </c>
      <c r="V83" s="64">
        <f t="shared" si="295"/>
        <v>0.80905231258532484</v>
      </c>
      <c r="W83" s="64">
        <v>0.75800000000000001</v>
      </c>
      <c r="X83" s="64">
        <v>0.75800000000000001</v>
      </c>
      <c r="Y83" s="64">
        <v>0.75800000000000001</v>
      </c>
      <c r="Z83" s="64">
        <v>0.75800000000000001</v>
      </c>
      <c r="AA83" s="64">
        <f t="shared" ref="AA83:AT83" si="296">AA63/AA61</f>
        <v>0.83310846723087617</v>
      </c>
      <c r="AB83" s="64">
        <f t="shared" si="296"/>
        <v>0.81472572601936055</v>
      </c>
      <c r="AC83" s="64">
        <f t="shared" si="296"/>
        <v>0.81087738223660555</v>
      </c>
      <c r="AD83" s="64">
        <f t="shared" si="296"/>
        <v>0.75879676440849342</v>
      </c>
      <c r="AE83" s="64">
        <f t="shared" si="296"/>
        <v>0.79536961079208823</v>
      </c>
      <c r="AF83" s="64">
        <f t="shared" si="296"/>
        <v>0.82189016647241986</v>
      </c>
      <c r="AG83" s="64">
        <f t="shared" si="296"/>
        <v>0.82535191341868852</v>
      </c>
      <c r="AH83" s="64">
        <f t="shared" si="296"/>
        <v>0.80084690974915962</v>
      </c>
      <c r="AI83" s="64">
        <f t="shared" si="296"/>
        <v>0.79790039731470075</v>
      </c>
      <c r="AJ83" s="64">
        <f t="shared" si="296"/>
        <v>0.80360798362333674</v>
      </c>
      <c r="AK83" s="64">
        <f t="shared" si="296"/>
        <v>0.78235552447097467</v>
      </c>
      <c r="AL83" s="64">
        <f t="shared" si="296"/>
        <v>0.78143965075322874</v>
      </c>
      <c r="AM83" s="64">
        <f t="shared" si="296"/>
        <v>0.78618092246180205</v>
      </c>
      <c r="AN83" s="64">
        <f t="shared" si="296"/>
        <v>0.79525042406927948</v>
      </c>
      <c r="AO83" s="64">
        <f t="shared" si="296"/>
        <v>0.77885163068442809</v>
      </c>
      <c r="AP83" s="64">
        <f t="shared" si="296"/>
        <v>0.79045876487670585</v>
      </c>
      <c r="AQ83" s="64">
        <f t="shared" si="296"/>
        <v>0.79323455908604068</v>
      </c>
      <c r="AR83" s="64">
        <f t="shared" si="296"/>
        <v>0.80349764743578933</v>
      </c>
      <c r="AS83" s="64">
        <f t="shared" si="296"/>
        <v>0.79245054221667877</v>
      </c>
      <c r="AT83" s="64">
        <f t="shared" si="296"/>
        <v>0.76131042556121742</v>
      </c>
      <c r="AU83" s="64">
        <f t="shared" ref="AU83:AV83" si="297">AU63/AU61</f>
        <v>0.73891225897375679</v>
      </c>
      <c r="AV83" s="64">
        <f t="shared" si="297"/>
        <v>0.75895534484155935</v>
      </c>
      <c r="AW83" s="64">
        <f t="shared" ref="AW83:AX83" si="298">AW63/AW61</f>
        <v>0.74013454754286656</v>
      </c>
      <c r="AX83" s="64">
        <f t="shared" si="298"/>
        <v>0.75531603303848638</v>
      </c>
      <c r="AY83" s="64">
        <f t="shared" ref="AY83" si="299">AY63/AY61</f>
        <v>0.74321269403836632</v>
      </c>
      <c r="AZ83" s="64">
        <f t="shared" ref="AZ83" si="300">AZ63/AZ61</f>
        <v>0.79233534858497201</v>
      </c>
      <c r="BA83" s="64">
        <f t="shared" ref="BA83" si="301">BA63/BA61</f>
        <v>0.75060991592233395</v>
      </c>
      <c r="BB83" s="64">
        <f t="shared" ref="BB83" si="302">BB63/BB61</f>
        <v>0.7415730337078652</v>
      </c>
      <c r="BC83" s="64">
        <f t="shared" ref="BC83:BD83" si="303">BC63/BC61</f>
        <v>0.72806314361472535</v>
      </c>
      <c r="BD83" s="64">
        <f t="shared" si="303"/>
        <v>0.75976909413854343</v>
      </c>
      <c r="BE83" s="64">
        <f t="shared" ref="BE83:BF83" si="304">BE63/BE61</f>
        <v>0.73016545640156405</v>
      </c>
      <c r="BF83" s="64">
        <f t="shared" si="304"/>
        <v>0.74550820241298499</v>
      </c>
      <c r="BG83" s="64">
        <f t="shared" ref="BG83:BH83" si="305">BG63/BG61</f>
        <v>0.74219153453321351</v>
      </c>
      <c r="BH83" s="64">
        <f t="shared" si="305"/>
        <v>0.73014782892364749</v>
      </c>
      <c r="BI83" s="64">
        <f t="shared" ref="BI83:BK83" si="306">BI63/BI61</f>
        <v>0.71963591375044178</v>
      </c>
      <c r="BJ83" s="64">
        <f t="shared" si="306"/>
        <v>0.73300112000259698</v>
      </c>
      <c r="BK83" s="64">
        <f t="shared" si="306"/>
        <v>0.72433333333333327</v>
      </c>
      <c r="BL83" s="64">
        <f t="shared" ref="BL83" si="307">BL63/BL61</f>
        <v>0.7320776686807654</v>
      </c>
      <c r="BM83" s="64">
        <f t="shared" ref="BM83" si="308">BM63/BM61</f>
        <v>0.74227552417558851</v>
      </c>
      <c r="BN83" s="64">
        <f t="shared" ref="BN83:BO83" si="309">BN63/BN61</f>
        <v>0.75247724660640514</v>
      </c>
      <c r="BO83" s="64">
        <f t="shared" si="309"/>
        <v>0.83078803710773974</v>
      </c>
      <c r="BP83" s="64">
        <f t="shared" ref="BP83:BQ83" si="310">BP63/BP61</f>
        <v>0.83896957330612731</v>
      </c>
      <c r="BQ83" s="64">
        <f t="shared" si="310"/>
        <v>0.82762819228457374</v>
      </c>
      <c r="BR83" s="64">
        <f t="shared" ref="BR83:BS83" si="311">BR63/BR61</f>
        <v>0.8321042281219273</v>
      </c>
      <c r="BS83" s="64">
        <f t="shared" si="311"/>
        <v>0.80263831530086338</v>
      </c>
      <c r="BT83" s="64">
        <f t="shared" ref="BT83:BZ83" si="312">BT63/BT61</f>
        <v>0.79648688947885227</v>
      </c>
      <c r="BU83" s="64">
        <f t="shared" si="312"/>
        <v>0.79098003692993768</v>
      </c>
      <c r="BV83" s="64">
        <f t="shared" si="312"/>
        <v>0.76884719291407366</v>
      </c>
      <c r="BW83" s="64">
        <f t="shared" si="312"/>
        <v>0.75440813447748922</v>
      </c>
      <c r="BX83" s="64">
        <f t="shared" si="312"/>
        <v>0.7925816023738872</v>
      </c>
      <c r="BY83" s="64">
        <f t="shared" si="312"/>
        <v>0.79007825188247449</v>
      </c>
      <c r="BZ83" s="64">
        <f t="shared" si="312"/>
        <v>0.74372179652245651</v>
      </c>
      <c r="CA83" s="64">
        <f>CA63/CA61</f>
        <v>0.76088654434642322</v>
      </c>
      <c r="CB83" s="64">
        <f t="shared" ref="CB83:CH83" si="313">CB63/CB61</f>
        <v>0.79820897362783039</v>
      </c>
      <c r="CC83" s="64">
        <f t="shared" si="313"/>
        <v>0.79</v>
      </c>
      <c r="CD83" s="64">
        <f t="shared" si="313"/>
        <v>0.80499561787905349</v>
      </c>
      <c r="CE83" s="64">
        <f t="shared" si="313"/>
        <v>0.78435964483779197</v>
      </c>
      <c r="CF83" s="64">
        <f t="shared" si="313"/>
        <v>0.78262275154853811</v>
      </c>
      <c r="CG83" s="64">
        <f t="shared" si="313"/>
        <v>0.79</v>
      </c>
      <c r="CH83" s="64">
        <f t="shared" si="313"/>
        <v>0.82263134261338122</v>
      </c>
      <c r="CI83" s="64">
        <f t="shared" ref="CI83:CL83" si="314">CI63/CI61</f>
        <v>0.80913331584529935</v>
      </c>
      <c r="CJ83" s="64">
        <f t="shared" si="314"/>
        <v>0.81</v>
      </c>
      <c r="CK83" s="64">
        <f t="shared" si="314"/>
        <v>0.81</v>
      </c>
      <c r="CL83" s="64">
        <f t="shared" si="314"/>
        <v>0.81</v>
      </c>
      <c r="CT83" s="64">
        <f>CT63/CT61</f>
        <v>0.76286689419795217</v>
      </c>
      <c r="CU83" s="64">
        <f>CU63/CU61</f>
        <v>0.77818608040041815</v>
      </c>
      <c r="CV83" s="64">
        <v>0.78</v>
      </c>
      <c r="CW83" s="64">
        <f>CW63/CW61</f>
        <v>1.0500260329761233</v>
      </c>
      <c r="CX83" s="64">
        <f>CX63/CX61</f>
        <v>0.82263518056731488</v>
      </c>
      <c r="CY83" s="64">
        <f>CY63/CY61</f>
        <v>0.80057367839296967</v>
      </c>
      <c r="CZ83" s="64">
        <f>CZ63/CZ61</f>
        <v>0.78775238406352488</v>
      </c>
      <c r="DA83" s="64">
        <f>DA63/DA61</f>
        <v>0.78199213689975688</v>
      </c>
      <c r="DB83" s="64"/>
      <c r="DC83" s="64"/>
      <c r="DD83" s="64"/>
      <c r="DE83" s="64"/>
      <c r="DF83" s="64"/>
      <c r="DG83" s="64"/>
      <c r="DH83" s="64"/>
      <c r="DI83" s="64">
        <f t="shared" ref="DI83:DS83" si="315">DI63/DI61</f>
        <v>0.78828764583392763</v>
      </c>
      <c r="DJ83" s="64">
        <f t="shared" si="315"/>
        <v>0.7690061267369388</v>
      </c>
      <c r="DK83" s="64">
        <f t="shared" si="315"/>
        <v>0.7877361161232006</v>
      </c>
      <c r="DL83" s="64">
        <f t="shared" si="315"/>
        <v>0.7962276086366793</v>
      </c>
      <c r="DM83" s="64">
        <f>DM63/DM61</f>
        <v>0.80975887289977633</v>
      </c>
      <c r="DN83" s="64">
        <f t="shared" si="315"/>
        <v>0.79</v>
      </c>
      <c r="DO83" s="64">
        <f t="shared" si="315"/>
        <v>0.79</v>
      </c>
      <c r="DP83" s="64">
        <f t="shared" si="315"/>
        <v>0.79</v>
      </c>
      <c r="DQ83" s="64">
        <f t="shared" si="315"/>
        <v>0.79</v>
      </c>
      <c r="DR83" s="64">
        <f t="shared" si="315"/>
        <v>0.79</v>
      </c>
      <c r="DS83" s="64">
        <f t="shared" si="315"/>
        <v>0.85</v>
      </c>
    </row>
    <row r="84" spans="2:125" x14ac:dyDescent="0.15">
      <c r="B84" t="s">
        <v>59</v>
      </c>
      <c r="J84" s="64">
        <f t="shared" ref="J84:AT84" si="316">J64/J61</f>
        <v>0.33064321850156586</v>
      </c>
      <c r="K84" s="64">
        <f t="shared" si="316"/>
        <v>0.33962346804642624</v>
      </c>
      <c r="L84" s="64">
        <f t="shared" si="316"/>
        <v>0.36204826889057362</v>
      </c>
      <c r="M84" s="64">
        <f t="shared" si="316"/>
        <v>0.33844970713412842</v>
      </c>
      <c r="N84" s="64">
        <f t="shared" si="316"/>
        <v>0.3443984603362949</v>
      </c>
      <c r="O84" s="64">
        <f t="shared" si="316"/>
        <v>0.35412213030950829</v>
      </c>
      <c r="P84" s="64">
        <f t="shared" si="316"/>
        <v>0.36167104878761319</v>
      </c>
      <c r="Q84" s="64">
        <f t="shared" si="316"/>
        <v>0.35200151363624077</v>
      </c>
      <c r="R84" s="64">
        <f t="shared" si="316"/>
        <v>0.25034327359785935</v>
      </c>
      <c r="S84" s="64">
        <f t="shared" si="316"/>
        <v>0.31558073654390933</v>
      </c>
      <c r="T84" s="64">
        <f t="shared" si="316"/>
        <v>0.36356049406266394</v>
      </c>
      <c r="U84" s="64">
        <f t="shared" si="316"/>
        <v>0.25050429711999733</v>
      </c>
      <c r="V84" s="64">
        <f t="shared" si="316"/>
        <v>0.26340819418815725</v>
      </c>
      <c r="W84" s="64">
        <f t="shared" si="316"/>
        <v>0.24840590855202022</v>
      </c>
      <c r="X84" s="64">
        <f t="shared" si="316"/>
        <v>0.25361378384426048</v>
      </c>
      <c r="Y84" s="64">
        <f t="shared" si="316"/>
        <v>0.24264002707116478</v>
      </c>
      <c r="Z84" s="64">
        <f t="shared" si="316"/>
        <v>0.32983398906055078</v>
      </c>
      <c r="AA84" s="64">
        <f t="shared" si="316"/>
        <v>0.31260476716137209</v>
      </c>
      <c r="AB84" s="64">
        <f t="shared" si="316"/>
        <v>0.33405690818421824</v>
      </c>
      <c r="AC84" s="64">
        <f t="shared" si="316"/>
        <v>0.30596907587198846</v>
      </c>
      <c r="AD84" s="64">
        <f t="shared" si="316"/>
        <v>0.32917087967644082</v>
      </c>
      <c r="AE84" s="64">
        <f t="shared" si="316"/>
        <v>0.29430316288396685</v>
      </c>
      <c r="AF84" s="64">
        <f t="shared" si="316"/>
        <v>0.3053559935289718</v>
      </c>
      <c r="AG84" s="64">
        <f t="shared" si="316"/>
        <v>0.2997276649925727</v>
      </c>
      <c r="AH84" s="64">
        <f t="shared" si="316"/>
        <v>0.32142164468580292</v>
      </c>
      <c r="AI84" s="64">
        <f t="shared" si="316"/>
        <v>0.30581244006028224</v>
      </c>
      <c r="AJ84" s="64">
        <f t="shared" si="316"/>
        <v>0.32673362333674522</v>
      </c>
      <c r="AK84" s="64">
        <f t="shared" si="316"/>
        <v>0.31193376815601565</v>
      </c>
      <c r="AL84" s="64">
        <f t="shared" si="316"/>
        <v>0.35278554065450696</v>
      </c>
      <c r="AM84" s="64">
        <f t="shared" si="316"/>
        <v>0.32976938454947874</v>
      </c>
      <c r="AN84" s="64">
        <f t="shared" si="316"/>
        <v>0.34480849924113921</v>
      </c>
      <c r="AO84" s="64">
        <f t="shared" si="316"/>
        <v>0.32290307762976572</v>
      </c>
      <c r="AP84" s="64">
        <f t="shared" si="316"/>
        <v>0.33194568008997366</v>
      </c>
      <c r="AQ84" s="64">
        <f t="shared" si="316"/>
        <v>0.29489468047126027</v>
      </c>
      <c r="AR84" s="64">
        <f t="shared" si="316"/>
        <v>0.3149569118167867</v>
      </c>
      <c r="AS84" s="64">
        <f t="shared" si="316"/>
        <v>0.28624883068288121</v>
      </c>
      <c r="AT84" s="64">
        <f t="shared" si="316"/>
        <v>0.3363173116650599</v>
      </c>
      <c r="AU84" s="64">
        <f t="shared" ref="AU84:AV84" si="317">AU64/AU61</f>
        <v>0.31707629561615169</v>
      </c>
      <c r="AV84" s="64">
        <f t="shared" si="317"/>
        <v>0.33712213307399302</v>
      </c>
      <c r="AW84" s="64">
        <f t="shared" ref="AW84:AX84" si="318">AW64/AW61</f>
        <v>0.34295266223644266</v>
      </c>
      <c r="AX84" s="64">
        <f t="shared" si="318"/>
        <v>0.35145373245074496</v>
      </c>
      <c r="AY84" s="64">
        <f t="shared" ref="AY84" si="319">AY64/AY61</f>
        <v>0.32800826748767414</v>
      </c>
      <c r="AZ84" s="64">
        <f t="shared" ref="AZ84" si="320">AZ64/AZ61</f>
        <v>0.32847932191134233</v>
      </c>
      <c r="BA84" s="64">
        <f t="shared" ref="BA84" si="321">BA64/BA61</f>
        <v>0.31770066737907537</v>
      </c>
      <c r="BB84" s="64">
        <f t="shared" ref="BB84" si="322">BB64/BB61</f>
        <v>0.33454870154029315</v>
      </c>
      <c r="BC84" s="64">
        <f t="shared" ref="BC84:BD84" si="323">BC64/BC61</f>
        <v>0.30295369057162236</v>
      </c>
      <c r="BD84" s="64">
        <f t="shared" si="323"/>
        <v>0.30021462403789223</v>
      </c>
      <c r="BE84" s="64">
        <f t="shared" ref="BE84:BF84" si="324">BE64/BE61</f>
        <v>0.30151973342065225</v>
      </c>
      <c r="BF84" s="64">
        <f t="shared" si="324"/>
        <v>0.31075427480253448</v>
      </c>
      <c r="BG84" s="64">
        <f t="shared" ref="BG84:BH84" si="325">BG64/BG61</f>
        <v>0.29984889925979763</v>
      </c>
      <c r="BH84" s="64">
        <f t="shared" si="325"/>
        <v>0.29710008069639271</v>
      </c>
      <c r="BI84" s="64">
        <f t="shared" ref="BI84:BK84" si="326">BI64/BI61</f>
        <v>0.27898550724637683</v>
      </c>
      <c r="BJ84" s="64">
        <f t="shared" si="326"/>
        <v>0.29274270780917755</v>
      </c>
      <c r="BK84" s="64">
        <f t="shared" si="326"/>
        <v>0.26315789473684209</v>
      </c>
      <c r="BL84" s="64">
        <f t="shared" ref="BL84" si="327">BL64/BL61</f>
        <v>0.26021210976837866</v>
      </c>
      <c r="BM84" s="64">
        <f t="shared" ref="BM84" si="328">BM64/BM61</f>
        <v>0.26668206337946848</v>
      </c>
      <c r="BN84" s="64">
        <f t="shared" ref="BN84:BO84" si="329">BN64/BN61</f>
        <v>0.28911564625850339</v>
      </c>
      <c r="BO84" s="64">
        <f t="shared" si="329"/>
        <v>0.25404400683211092</v>
      </c>
      <c r="BP84" s="64">
        <f t="shared" ref="BP84:BQ84" si="330">BP64/BP61</f>
        <v>0.23799735941907216</v>
      </c>
      <c r="BQ84" s="64">
        <f t="shared" si="330"/>
        <v>0.2176687267851363</v>
      </c>
      <c r="BR84" s="64">
        <f t="shared" ref="BR84:BS84" si="331">BR64/BR61</f>
        <v>0.23190483994318803</v>
      </c>
      <c r="BS84" s="64">
        <f t="shared" si="331"/>
        <v>0.26444588552510334</v>
      </c>
      <c r="BT84" s="64">
        <f t="shared" ref="BT84:BZ84" si="332">BT64/BT61</f>
        <v>0.26341055387860496</v>
      </c>
      <c r="BU84" s="64">
        <f t="shared" si="332"/>
        <v>0.27333379786085082</v>
      </c>
      <c r="BV84" s="64">
        <f t="shared" si="332"/>
        <v>0.20885471969462779</v>
      </c>
      <c r="BW84" s="64">
        <f t="shared" si="332"/>
        <v>0.23157399788409544</v>
      </c>
      <c r="BX84" s="64">
        <f t="shared" si="332"/>
        <v>0.25010385756676567</v>
      </c>
      <c r="BY84" s="64">
        <f t="shared" si="332"/>
        <v>0.23296914218219408</v>
      </c>
      <c r="BZ84" s="64">
        <f t="shared" si="332"/>
        <v>0.19900248753109415</v>
      </c>
      <c r="CA84" s="64">
        <f>CA64/CA61</f>
        <v>0.1994724779452248</v>
      </c>
      <c r="CB84" s="64">
        <f t="shared" ref="CB84:CH84" si="333">CB64/CB61</f>
        <v>0.27464973257910874</v>
      </c>
      <c r="CC84" s="64">
        <f t="shared" si="333"/>
        <v>0.22730743189708572</v>
      </c>
      <c r="CD84" s="64">
        <f t="shared" si="333"/>
        <v>0.22502191060473264</v>
      </c>
      <c r="CE84" s="64">
        <f t="shared" si="333"/>
        <v>0.25131461739605188</v>
      </c>
      <c r="CF84" s="64">
        <f t="shared" si="333"/>
        <v>0.24898165030841454</v>
      </c>
      <c r="CG84" s="64">
        <f t="shared" si="333"/>
        <v>0.16611921756890488</v>
      </c>
      <c r="CH84" s="64">
        <f t="shared" si="333"/>
        <v>0.20576474864755062</v>
      </c>
      <c r="CI84" s="64">
        <f t="shared" ref="CI84:CL84" si="334">CI64/CI61</f>
        <v>0.22265308682808885</v>
      </c>
      <c r="CJ84" s="64">
        <f t="shared" si="334"/>
        <v>0.29716298125491075</v>
      </c>
      <c r="CK84" s="64">
        <f t="shared" si="334"/>
        <v>0.22891640948537367</v>
      </c>
      <c r="CL84" s="64">
        <f t="shared" si="334"/>
        <v>0.26340765440700736</v>
      </c>
      <c r="CP84" s="64">
        <f t="shared" ref="CP84:DI84" si="335">CP64/CP61</f>
        <v>0.29383437956832059</v>
      </c>
      <c r="CQ84" s="64">
        <f t="shared" si="335"/>
        <v>0.30910896452107972</v>
      </c>
      <c r="CR84" s="64">
        <f t="shared" si="335"/>
        <v>0.32220897894318634</v>
      </c>
      <c r="CS84" s="64">
        <f t="shared" si="335"/>
        <v>0.30911321163143085</v>
      </c>
      <c r="CT84" s="64">
        <f t="shared" si="335"/>
        <v>0.30696245733788396</v>
      </c>
      <c r="CU84" s="64">
        <f t="shared" si="335"/>
        <v>0.30107390629454817</v>
      </c>
      <c r="CV84" s="64">
        <f t="shared" si="335"/>
        <v>0.26468097532486495</v>
      </c>
      <c r="CW84" s="64">
        <f t="shared" si="335"/>
        <v>0.33758834028714957</v>
      </c>
      <c r="CX84" s="64">
        <f t="shared" si="335"/>
        <v>0.32861448926124026</v>
      </c>
      <c r="CY84" s="64">
        <f t="shared" si="335"/>
        <v>0.32216426568252204</v>
      </c>
      <c r="CZ84" s="64">
        <f t="shared" si="335"/>
        <v>0.33001637538582668</v>
      </c>
      <c r="DA84" s="64">
        <f t="shared" si="335"/>
        <v>0.34149944321978049</v>
      </c>
      <c r="DB84" s="64">
        <f t="shared" si="335"/>
        <v>0.30882162063937763</v>
      </c>
      <c r="DC84" s="64">
        <f t="shared" si="335"/>
        <v>0.29110809763657503</v>
      </c>
      <c r="DD84" s="64">
        <f t="shared" si="335"/>
        <v>0</v>
      </c>
      <c r="DE84" s="64">
        <f t="shared" si="335"/>
        <v>0</v>
      </c>
      <c r="DF84" s="64">
        <f t="shared" si="335"/>
        <v>0.29950786268217339</v>
      </c>
      <c r="DG84" s="64">
        <f t="shared" si="335"/>
        <v>0.27800343369205649</v>
      </c>
      <c r="DH84" s="64">
        <f t="shared" si="335"/>
        <v>0.2784035413138346</v>
      </c>
      <c r="DI84" s="64">
        <f t="shared" si="335"/>
        <v>0.24943866926923092</v>
      </c>
      <c r="DJ84" s="64">
        <f>DJ64/DJ61</f>
        <v>0.22711654925225563</v>
      </c>
      <c r="DK84" s="64">
        <f t="shared" ref="DK84:DS84" si="336">DK64/DK61</f>
        <v>0.22986745894660868</v>
      </c>
      <c r="DL84" s="64">
        <f t="shared" si="336"/>
        <v>0.21395247620381994</v>
      </c>
      <c r="DM84" s="64">
        <f t="shared" si="336"/>
        <v>0.25140459153722894</v>
      </c>
      <c r="DN84" s="64">
        <f t="shared" si="336"/>
        <v>0.25</v>
      </c>
      <c r="DO84" s="64">
        <f t="shared" si="336"/>
        <v>0.25</v>
      </c>
      <c r="DP84" s="64">
        <f t="shared" si="336"/>
        <v>0.25</v>
      </c>
      <c r="DQ84" s="64">
        <f t="shared" si="336"/>
        <v>0.25</v>
      </c>
      <c r="DR84" s="64">
        <f t="shared" si="336"/>
        <v>0.25</v>
      </c>
      <c r="DS84" s="64">
        <f t="shared" si="336"/>
        <v>0.25</v>
      </c>
    </row>
    <row r="85" spans="2:125" x14ac:dyDescent="0.15">
      <c r="B85" t="s">
        <v>60</v>
      </c>
      <c r="J85" s="64">
        <f t="shared" ref="J85:AT85" si="337">J65/J61</f>
        <v>0.21259937364490483</v>
      </c>
      <c r="K85" s="64">
        <f t="shared" si="337"/>
        <v>0.2187299766684323</v>
      </c>
      <c r="L85" s="64">
        <f t="shared" si="337"/>
        <v>0.24083901945918626</v>
      </c>
      <c r="M85" s="64">
        <f t="shared" si="337"/>
        <v>0.23734777295520629</v>
      </c>
      <c r="N85" s="64">
        <f t="shared" si="337"/>
        <v>0.23442248140537719</v>
      </c>
      <c r="O85" s="64">
        <f t="shared" si="337"/>
        <v>0.22957523933451063</v>
      </c>
      <c r="P85" s="64">
        <f t="shared" si="337"/>
        <v>0.22640958223780311</v>
      </c>
      <c r="Q85" s="64">
        <f t="shared" si="337"/>
        <v>0.21320647620077304</v>
      </c>
      <c r="R85" s="64">
        <f t="shared" si="337"/>
        <v>0.15667359081787136</v>
      </c>
      <c r="S85" s="64">
        <f t="shared" si="337"/>
        <v>0.19693106704438151</v>
      </c>
      <c r="T85" s="64">
        <f t="shared" si="337"/>
        <v>0.20372931470265629</v>
      </c>
      <c r="U85" s="64">
        <f t="shared" si="337"/>
        <v>0.14315257742444021</v>
      </c>
      <c r="V85" s="64">
        <f t="shared" si="337"/>
        <v>0.14306074380785214</v>
      </c>
      <c r="W85" s="64">
        <f t="shared" si="337"/>
        <v>0.14052036271588322</v>
      </c>
      <c r="X85" s="64">
        <f t="shared" si="337"/>
        <v>0.14194077720593723</v>
      </c>
      <c r="Y85" s="64">
        <f t="shared" si="337"/>
        <v>0.14021097853433181</v>
      </c>
      <c r="Z85" s="64">
        <f t="shared" si="337"/>
        <v>0.19884847903272238</v>
      </c>
      <c r="AA85" s="64">
        <f t="shared" si="337"/>
        <v>0.19365059896152745</v>
      </c>
      <c r="AB85" s="64">
        <f t="shared" si="337"/>
        <v>0.20346142563801703</v>
      </c>
      <c r="AC85" s="64">
        <f t="shared" si="337"/>
        <v>0.20174397698669541</v>
      </c>
      <c r="AD85" s="64">
        <f t="shared" si="337"/>
        <v>0.2050387596899225</v>
      </c>
      <c r="AE85" s="64">
        <f t="shared" si="337"/>
        <v>0.1894266703126424</v>
      </c>
      <c r="AF85" s="64">
        <f t="shared" si="337"/>
        <v>0.20651625584914851</v>
      </c>
      <c r="AG85" s="64">
        <f t="shared" si="337"/>
        <v>0.2157105467921058</v>
      </c>
      <c r="AH85" s="64">
        <f t="shared" si="337"/>
        <v>0.23243147142487713</v>
      </c>
      <c r="AI85" s="64">
        <f t="shared" si="337"/>
        <v>0.19249212220852172</v>
      </c>
      <c r="AJ85" s="64">
        <f t="shared" si="337"/>
        <v>0.20160568065506657</v>
      </c>
      <c r="AK85" s="64">
        <f t="shared" si="337"/>
        <v>0.20834078821099203</v>
      </c>
      <c r="AL85" s="64">
        <f t="shared" si="337"/>
        <v>0.22411654788087243</v>
      </c>
      <c r="AM85" s="64">
        <f t="shared" si="337"/>
        <v>0.20553691275167782</v>
      </c>
      <c r="AN85" s="64">
        <f t="shared" si="337"/>
        <v>0.23581823051513262</v>
      </c>
      <c r="AO85" s="64">
        <f t="shared" si="337"/>
        <v>0.24672485071198896</v>
      </c>
      <c r="AP85" s="64">
        <f t="shared" si="337"/>
        <v>0.2455978379467208</v>
      </c>
      <c r="AQ85" s="64">
        <f t="shared" si="337"/>
        <v>0.24064619778650481</v>
      </c>
      <c r="AR85" s="64">
        <f t="shared" si="337"/>
        <v>0.22436210938158763</v>
      </c>
      <c r="AS85" s="64">
        <f t="shared" si="337"/>
        <v>0.23860998510203374</v>
      </c>
      <c r="AT85" s="64">
        <f t="shared" si="337"/>
        <v>0.25399394022861865</v>
      </c>
      <c r="AU85" s="64">
        <f t="shared" ref="AU85:AV85" si="338">AU65/AU61</f>
        <v>0.23687301146676343</v>
      </c>
      <c r="AV85" s="64">
        <f t="shared" si="338"/>
        <v>0.24219952994570063</v>
      </c>
      <c r="AW85" s="64">
        <f t="shared" ref="AW85:AX85" si="339">AW65/AW61</f>
        <v>0.25498400196898841</v>
      </c>
      <c r="AX85" s="64">
        <f t="shared" si="339"/>
        <v>0.2315232460508074</v>
      </c>
      <c r="AY85" s="64">
        <f t="shared" ref="AY85" si="340">AY65/AY61</f>
        <v>0.22376041509677697</v>
      </c>
      <c r="AZ85" s="64">
        <f t="shared" ref="AZ85" si="341">AZ65/AZ61</f>
        <v>0.23490067688352381</v>
      </c>
      <c r="BA85" s="64">
        <f t="shared" ref="BA85" si="342">BA65/BA61</f>
        <v>0.230538137387342</v>
      </c>
      <c r="BB85" s="64">
        <f t="shared" ref="BB85" si="343">BB65/BB61</f>
        <v>0.26865838232011308</v>
      </c>
      <c r="BC85" s="64">
        <f t="shared" ref="BC85:BD85" si="344">BC65/BC61</f>
        <v>0.25097120305851883</v>
      </c>
      <c r="BD85" s="64">
        <f t="shared" si="344"/>
        <v>0.24716918294849025</v>
      </c>
      <c r="BE85" s="64">
        <f t="shared" ref="BE85:BF85" si="345">BE65/BE61</f>
        <v>0.23814935377621976</v>
      </c>
      <c r="BF85" s="64">
        <f t="shared" si="345"/>
        <v>0.25181841854005726</v>
      </c>
      <c r="BG85" s="64">
        <f t="shared" ref="BG85:BH85" si="346">BG65/BG61</f>
        <v>0.24067096379320235</v>
      </c>
      <c r="BH85" s="64">
        <f t="shared" si="346"/>
        <v>0.21841251309170198</v>
      </c>
      <c r="BI85" s="64">
        <f t="shared" ref="BI85:BK85" si="347">BI65/BI61</f>
        <v>0.23683280311063981</v>
      </c>
      <c r="BJ85" s="64">
        <f t="shared" si="347"/>
        <v>0.24135244371581155</v>
      </c>
      <c r="BK85" s="64">
        <f t="shared" si="347"/>
        <v>0.20647368421052634</v>
      </c>
      <c r="BL85" s="64">
        <f t="shared" ref="BL85" si="348">BL65/BL61</f>
        <v>0.20976523162134944</v>
      </c>
      <c r="BM85" s="64">
        <f t="shared" ref="BM85" si="349">BM65/BM61</f>
        <v>0.22159718900014846</v>
      </c>
      <c r="BN85" s="64">
        <f t="shared" ref="BN85:BO85" si="350">BN65/BN61</f>
        <v>0.22579442735998506</v>
      </c>
      <c r="BO85" s="64">
        <f t="shared" si="350"/>
        <v>0.20605177668374697</v>
      </c>
      <c r="BP85" s="64">
        <f t="shared" ref="BP85:BQ85" si="351">BP65/BP61</f>
        <v>0.21037628278221207</v>
      </c>
      <c r="BQ85" s="64">
        <f t="shared" si="351"/>
        <v>0.21282924648983556</v>
      </c>
      <c r="BR85" s="64">
        <f t="shared" ref="BR85:BS85" si="352">BR65/BR61</f>
        <v>0.21596744236862234</v>
      </c>
      <c r="BS85" s="64">
        <f t="shared" si="352"/>
        <v>0.23756783507969564</v>
      </c>
      <c r="BT85" s="64">
        <f t="shared" ref="BT85:BZ85" si="353">BT65/BT61</f>
        <v>0.25279121358693685</v>
      </c>
      <c r="BU85" s="64">
        <f t="shared" si="353"/>
        <v>0.25526948402606009</v>
      </c>
      <c r="BV85" s="64">
        <f t="shared" si="353"/>
        <v>0.24703969032674294</v>
      </c>
      <c r="BW85" s="64">
        <f t="shared" si="353"/>
        <v>0.24569472199365225</v>
      </c>
      <c r="BX85" s="64">
        <f t="shared" si="353"/>
        <v>0.24818991097922857</v>
      </c>
      <c r="BY85" s="64">
        <f t="shared" si="353"/>
        <v>0.25231064520891783</v>
      </c>
      <c r="BZ85" s="64">
        <f t="shared" si="353"/>
        <v>0.24492806160077002</v>
      </c>
      <c r="CA85" s="64">
        <f>CA65/CA61</f>
        <v>0.20615613116349343</v>
      </c>
      <c r="CB85" s="64">
        <f t="shared" ref="CB85:CH85" si="354">CB65/CB61</f>
        <v>0.25048166587031234</v>
      </c>
      <c r="CC85" s="64">
        <f t="shared" si="354"/>
        <v>0.2461788898972874</v>
      </c>
      <c r="CD85" s="64">
        <f t="shared" si="354"/>
        <v>0.27332109991235753</v>
      </c>
      <c r="CE85" s="64">
        <f t="shared" si="354"/>
        <v>0.28520732162868884</v>
      </c>
      <c r="CF85" s="64">
        <f t="shared" si="354"/>
        <v>0.30472902199635338</v>
      </c>
      <c r="CG85" s="64">
        <f t="shared" si="354"/>
        <v>0.17991072368559577</v>
      </c>
      <c r="CH85" s="64">
        <f t="shared" si="354"/>
        <v>0.27398593024996259</v>
      </c>
      <c r="CI85" s="64">
        <f t="shared" ref="CI85:CL85" si="355">CI65/CI61</f>
        <v>0.28773138379771668</v>
      </c>
      <c r="CJ85" s="64">
        <f t="shared" si="355"/>
        <v>0.36369822651251543</v>
      </c>
      <c r="CK85" s="64">
        <f t="shared" si="355"/>
        <v>0.24792144760096019</v>
      </c>
      <c r="CL85" s="64">
        <f t="shared" si="355"/>
        <v>0.3507403075698004</v>
      </c>
      <c r="DG85" s="53"/>
      <c r="DH85" s="53"/>
    </row>
    <row r="86" spans="2:125" x14ac:dyDescent="0.15">
      <c r="B86" t="s">
        <v>206</v>
      </c>
      <c r="J86" s="64">
        <f t="shared" ref="J86:V86" si="356">J70/J69</f>
        <v>0.31935573451818922</v>
      </c>
      <c r="K86" s="64">
        <f t="shared" si="356"/>
        <v>0.31638030092874975</v>
      </c>
      <c r="L86" s="64">
        <f t="shared" si="356"/>
        <v>0.47611317254174368</v>
      </c>
      <c r="M86" s="64">
        <f t="shared" si="356"/>
        <v>0.38536054109824602</v>
      </c>
      <c r="N86" s="64">
        <f t="shared" si="356"/>
        <v>0.30359645025688908</v>
      </c>
      <c r="O86" s="64">
        <f t="shared" si="356"/>
        <v>0.3900210822206604</v>
      </c>
      <c r="P86" s="64">
        <f t="shared" si="356"/>
        <v>0.3674496644295302</v>
      </c>
      <c r="Q86" s="64">
        <f t="shared" si="356"/>
        <v>0.31622706422018343</v>
      </c>
      <c r="R86" s="64">
        <f t="shared" si="356"/>
        <v>9.6808646985944338E-2</v>
      </c>
      <c r="S86" s="64">
        <f t="shared" si="356"/>
        <v>0.21815718157181574</v>
      </c>
      <c r="T86" s="64">
        <f t="shared" si="356"/>
        <v>0.32179549902152643</v>
      </c>
      <c r="U86" s="64">
        <f t="shared" si="356"/>
        <v>0.10236373532384734</v>
      </c>
      <c r="V86" s="64">
        <f t="shared" si="356"/>
        <v>7.2875239357784644E-2</v>
      </c>
      <c r="W86" s="64">
        <v>0.22</v>
      </c>
      <c r="X86" s="64">
        <v>0.22</v>
      </c>
      <c r="Y86" s="64">
        <v>0.22</v>
      </c>
      <c r="Z86" s="64">
        <v>0.22</v>
      </c>
      <c r="AA86" s="64">
        <f t="shared" ref="AA86:AT86" si="357">AA70/AA69</f>
        <v>0.24231121580944903</v>
      </c>
      <c r="AB86" s="64">
        <f t="shared" si="357"/>
        <v>0.24831347782402755</v>
      </c>
      <c r="AC86" s="64">
        <f t="shared" si="357"/>
        <v>7.8861236336688664E-2</v>
      </c>
      <c r="AD86" s="64">
        <f t="shared" si="357"/>
        <v>0.21005613091944028</v>
      </c>
      <c r="AE86" s="64">
        <f t="shared" si="357"/>
        <v>0.27264573991031388</v>
      </c>
      <c r="AF86" s="64">
        <f t="shared" si="357"/>
        <v>0.22206943966998971</v>
      </c>
      <c r="AG86" s="64">
        <f t="shared" si="357"/>
        <v>0.21555204493593119</v>
      </c>
      <c r="AH86" s="64">
        <f t="shared" si="357"/>
        <v>0.16120365394948946</v>
      </c>
      <c r="AI86" s="64">
        <f t="shared" si="357"/>
        <v>0.20900931998619257</v>
      </c>
      <c r="AJ86" s="64">
        <f t="shared" si="357"/>
        <v>0.20076941572493406</v>
      </c>
      <c r="AK86" s="64">
        <f t="shared" si="357"/>
        <v>0.17926565874730019</v>
      </c>
      <c r="AL86" s="64">
        <f t="shared" si="357"/>
        <v>0.19874390546235837</v>
      </c>
      <c r="AM86" s="64">
        <f t="shared" si="357"/>
        <v>0.24435454211107024</v>
      </c>
      <c r="AN86" s="64">
        <f t="shared" si="357"/>
        <v>0.22108814846056535</v>
      </c>
      <c r="AO86" s="64">
        <f t="shared" si="357"/>
        <v>0.22108127084430404</v>
      </c>
      <c r="AP86" s="64">
        <f t="shared" si="357"/>
        <v>0.15225254850378164</v>
      </c>
      <c r="AQ86" s="64">
        <f t="shared" si="357"/>
        <v>0.27284418573169084</v>
      </c>
      <c r="AR86" s="64">
        <f t="shared" si="357"/>
        <v>0.1955778003041054</v>
      </c>
      <c r="AS86" s="64">
        <f t="shared" si="357"/>
        <v>0.20503502048367916</v>
      </c>
      <c r="AT86" s="64">
        <f t="shared" si="357"/>
        <v>0.18196328810853948</v>
      </c>
      <c r="AU86" s="64">
        <f t="shared" ref="AU86:AV86" si="358">AU70/AU69</f>
        <v>0.20106146630461597</v>
      </c>
      <c r="AV86" s="64">
        <f t="shared" si="358"/>
        <v>0.24843900096061469</v>
      </c>
      <c r="AW86" s="64">
        <f t="shared" ref="AW86:AX86" si="359">AW70/AW69</f>
        <v>0.25825275091697225</v>
      </c>
      <c r="AX86" s="64">
        <f t="shared" si="359"/>
        <v>0.11416689026026296</v>
      </c>
      <c r="AY86" s="64">
        <f t="shared" ref="AY86" si="360">AY70/AY69</f>
        <v>0.1109855618330195</v>
      </c>
      <c r="AZ86" s="64">
        <f t="shared" ref="AZ86" si="361">AZ70/AZ69</f>
        <v>6.2460417986067156E-2</v>
      </c>
      <c r="BA86" s="64">
        <f t="shared" ref="BA86" si="362">BA70/BA69</f>
        <v>0.27049716528565215</v>
      </c>
      <c r="BB86" s="64">
        <f t="shared" ref="BB86" si="363">BB70/BB69</f>
        <v>0</v>
      </c>
      <c r="BC86" s="64">
        <f t="shared" ref="BC86:BD86" si="364">BC70/BC69</f>
        <v>0.12718329652680183</v>
      </c>
      <c r="BD86" s="64">
        <f t="shared" si="364"/>
        <v>0.17466938847963084</v>
      </c>
      <c r="BE86" s="64">
        <f t="shared" ref="BE86:BF86" si="365">BE70/BE69</f>
        <v>0.20035350384695372</v>
      </c>
      <c r="BF86" s="64">
        <f t="shared" si="365"/>
        <v>0.11579961464354525</v>
      </c>
      <c r="BG86" s="64">
        <f t="shared" ref="BG86:BH86" si="366">BG70/BG69</f>
        <v>0.17621145374449337</v>
      </c>
      <c r="BH86" s="64">
        <f t="shared" si="366"/>
        <v>0.212238379423384</v>
      </c>
      <c r="BI86" s="64">
        <f t="shared" ref="BI86:BK86" si="367">BI70/BI69</f>
        <v>3.2629384573552078E-2</v>
      </c>
      <c r="BJ86" s="64">
        <f t="shared" si="367"/>
        <v>0</v>
      </c>
      <c r="BK86" s="64">
        <f t="shared" si="367"/>
        <v>0.16152568084952687</v>
      </c>
      <c r="BL86" s="64">
        <f t="shared" ref="BL86" si="368">BL70/BL69</f>
        <v>0.16262210481046876</v>
      </c>
      <c r="BM86" s="64">
        <f t="shared" ref="BM86" si="369">BM70/BM69</f>
        <v>0.16815638865667804</v>
      </c>
      <c r="BN86" s="64">
        <f t="shared" ref="BN86:BO86" si="370">BN70/BN69</f>
        <v>0</v>
      </c>
      <c r="BO86" s="64">
        <f t="shared" si="370"/>
        <v>8.4993975345259085E-2</v>
      </c>
      <c r="BP86" s="64">
        <f t="shared" ref="BP86:BQ86" si="371">BP70/BP69</f>
        <v>6.1507225606114879E-2</v>
      </c>
      <c r="BQ86" s="64">
        <f t="shared" si="371"/>
        <v>7.2428215233652379E-2</v>
      </c>
      <c r="BR86" s="64">
        <f t="shared" ref="BR86:BS86" si="372">BR70/BR69</f>
        <v>6.1300717738391679E-2</v>
      </c>
      <c r="BS86" s="64">
        <f t="shared" si="372"/>
        <v>0.14963763811334227</v>
      </c>
      <c r="BT86" s="64">
        <f t="shared" ref="BT86:BZ86" si="373">BT70/BT69</f>
        <v>0.15867689357622258</v>
      </c>
      <c r="BU86" s="64">
        <f t="shared" si="373"/>
        <v>0.18152418447694052</v>
      </c>
      <c r="BV86" s="64">
        <f t="shared" si="373"/>
        <v>0.15692650334075731</v>
      </c>
      <c r="BW86" s="64">
        <f t="shared" si="373"/>
        <v>7.4556151403134235E-2</v>
      </c>
      <c r="BX86" s="64">
        <f t="shared" si="373"/>
        <v>0.1070977917981074</v>
      </c>
      <c r="BY86" s="64">
        <f t="shared" si="373"/>
        <v>0.1475739883229315</v>
      </c>
      <c r="BZ86" s="64">
        <f t="shared" si="373"/>
        <v>4.903059026281776E-2</v>
      </c>
      <c r="CA86" s="64">
        <f>CA70/CA69</f>
        <v>9.7358034349109293E-2</v>
      </c>
      <c r="CB86" s="64">
        <f t="shared" ref="CB86:CH86" si="374">CB70/CB69</f>
        <v>9.9000475963826662E-2</v>
      </c>
      <c r="CC86" s="64">
        <f t="shared" si="374"/>
        <v>0.1</v>
      </c>
      <c r="CD86" s="64">
        <f t="shared" si="374"/>
        <v>7.6691866290190314E-2</v>
      </c>
      <c r="CE86" s="64">
        <f t="shared" si="374"/>
        <v>0.10939442372580366</v>
      </c>
      <c r="CF86" s="64">
        <f t="shared" si="374"/>
        <v>0.18024349750968466</v>
      </c>
      <c r="CG86" s="64">
        <f t="shared" si="374"/>
        <v>0.1</v>
      </c>
      <c r="CH86" s="64">
        <f t="shared" si="374"/>
        <v>0.10586619212637755</v>
      </c>
      <c r="CI86" s="64">
        <f t="shared" ref="CI86:CL86" si="375">CI70/CI69</f>
        <v>0.11429907999376267</v>
      </c>
      <c r="CJ86" s="64">
        <f t="shared" si="375"/>
        <v>0.15</v>
      </c>
      <c r="CK86" s="64">
        <f t="shared" si="375"/>
        <v>0.15</v>
      </c>
      <c r="CL86" s="64">
        <f t="shared" si="375"/>
        <v>0.15</v>
      </c>
      <c r="DG86" s="53"/>
      <c r="DH86" s="53"/>
      <c r="DK86" s="79">
        <f>+DK70/DK69</f>
        <v>9.5735873559067389E-2</v>
      </c>
      <c r="DL86" s="79">
        <f t="shared" ref="DL86:DS86" si="376">+DL70/DL69</f>
        <v>0.11639582307526244</v>
      </c>
      <c r="DM86" s="79">
        <f t="shared" si="376"/>
        <v>0.14000000000000001</v>
      </c>
      <c r="DN86" s="79">
        <f t="shared" si="376"/>
        <v>0.2</v>
      </c>
      <c r="DO86" s="79">
        <f t="shared" si="376"/>
        <v>0.20000000000000004</v>
      </c>
      <c r="DP86" s="79">
        <f t="shared" si="376"/>
        <v>0.2</v>
      </c>
      <c r="DQ86" s="79">
        <f t="shared" si="376"/>
        <v>0.2</v>
      </c>
      <c r="DR86" s="79">
        <f t="shared" si="376"/>
        <v>0.19999999999999998</v>
      </c>
      <c r="DS86" s="79">
        <f t="shared" si="376"/>
        <v>0.2</v>
      </c>
      <c r="DT86" s="52" t="s">
        <v>269</v>
      </c>
      <c r="DU86" s="66">
        <v>7.0000000000000007E-2</v>
      </c>
    </row>
    <row r="87" spans="2:125" x14ac:dyDescent="0.15">
      <c r="DT87" s="47" t="s">
        <v>242</v>
      </c>
      <c r="DU87" s="63">
        <v>0.02</v>
      </c>
    </row>
    <row r="88" spans="2:125" x14ac:dyDescent="0.15">
      <c r="B88" t="s">
        <v>187</v>
      </c>
      <c r="AD88" s="51">
        <f>4498-6662+1155.8</f>
        <v>-1008.2</v>
      </c>
      <c r="AE88" s="51">
        <f>+AD88+AE71</f>
        <v>289.39999999999986</v>
      </c>
      <c r="AI88" s="51">
        <f>+AI90-AI103</f>
        <v>1939.5</v>
      </c>
      <c r="AJ88" s="51">
        <f t="shared" ref="AJ88" si="377">+AJ90-AJ103</f>
        <v>2544.1999999999989</v>
      </c>
      <c r="AK88" s="51">
        <f t="shared" ref="AK88" si="378">+AK90-AK103</f>
        <v>2923.8999999999996</v>
      </c>
      <c r="AL88" s="51">
        <f>+AL90-AL103</f>
        <v>3939.9000000000015</v>
      </c>
      <c r="AM88" s="51">
        <f>+AM90-AM103</f>
        <v>4031.9000000000005</v>
      </c>
      <c r="AN88" s="51">
        <f>+AN90-AN103</f>
        <v>4299.8</v>
      </c>
      <c r="AO88" s="51">
        <f>+AO90-AO103</f>
        <v>6604.2000000000007</v>
      </c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>
        <f t="shared" ref="BW88" si="379">+BW90-BW103</f>
        <v>-9920.7000000000007</v>
      </c>
      <c r="BX88" s="51">
        <f t="shared" ref="BX88" si="380">+BX90-BX103</f>
        <v>-9768.9999999999982</v>
      </c>
      <c r="BY88" s="51">
        <f>+BY90-BY103</f>
        <v>-9909.6000000000022</v>
      </c>
      <c r="BZ88" s="51">
        <f>+BZ90-BZ103</f>
        <v>-9763.5</v>
      </c>
      <c r="CA88" s="51">
        <f>+CA90-CA103</f>
        <v>-11213.199999999999</v>
      </c>
      <c r="CB88" s="51">
        <f>+CB90-CB103</f>
        <v>-11489.9</v>
      </c>
      <c r="CC88" s="51"/>
      <c r="CD88" s="51"/>
      <c r="CE88" s="51">
        <f>+CE90-CE103</f>
        <v>-12463.899999999998</v>
      </c>
      <c r="CF88" s="51">
        <f>+CF90-CF103</f>
        <v>-13245.8</v>
      </c>
      <c r="CG88" s="51">
        <f>+CG90-CG103</f>
        <v>0</v>
      </c>
      <c r="CH88" s="51">
        <f>+CH90-CH103</f>
        <v>-19245.400000000001</v>
      </c>
      <c r="CI88" s="51">
        <f>+CI90-CI103</f>
        <v>-20538.2</v>
      </c>
      <c r="CJ88" s="51"/>
      <c r="CK88" s="51"/>
      <c r="CL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K88" s="49">
        <f>+CD88</f>
        <v>0</v>
      </c>
      <c r="DL88" s="49">
        <f>+DK88+DL71</f>
        <v>9650.9845999999943</v>
      </c>
      <c r="DM88" s="49">
        <f t="shared" ref="DM88:DS88" si="381">+DL88+DM71</f>
        <v>15956.974159999992</v>
      </c>
      <c r="DN88" s="49">
        <f t="shared" si="381"/>
        <v>32855.010408959992</v>
      </c>
      <c r="DO88" s="49">
        <f t="shared" si="381"/>
        <v>54046.660901621755</v>
      </c>
      <c r="DP88" s="49">
        <f t="shared" si="381"/>
        <v>80751.134378970164</v>
      </c>
      <c r="DQ88" s="49">
        <f t="shared" si="381"/>
        <v>112073.54661607467</v>
      </c>
      <c r="DR88" s="49">
        <f t="shared" si="381"/>
        <v>147154.74232055806</v>
      </c>
      <c r="DS88" s="49">
        <f t="shared" si="381"/>
        <v>184945.81089900099</v>
      </c>
      <c r="DT88" s="47" t="s">
        <v>241</v>
      </c>
      <c r="DU88" s="63">
        <v>7.0000000000000007E-2</v>
      </c>
    </row>
    <row r="89" spans="2:125" x14ac:dyDescent="0.15">
      <c r="DT89" s="47" t="s">
        <v>243</v>
      </c>
      <c r="DU89" s="51">
        <f>NPV(DU88,DN71:GU71)+Main!J5-Main!J6</f>
        <v>611060.05674351705</v>
      </c>
    </row>
    <row r="90" spans="2:125" s="49" customFormat="1" x14ac:dyDescent="0.15">
      <c r="B90" s="49" t="s">
        <v>174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>
        <f>5993.2+733.8+1779.5</f>
        <v>8506.5</v>
      </c>
      <c r="AI90" s="51">
        <f>6506.4+206.7+1898.7</f>
        <v>8611.7999999999993</v>
      </c>
      <c r="AJ90" s="51">
        <f>6113.5+216.3+2943</f>
        <v>9272.7999999999993</v>
      </c>
      <c r="AK90" s="51">
        <f>6597.7+186.6+3219.6</f>
        <v>10003.9</v>
      </c>
      <c r="AL90" s="51">
        <f>5922.5+974.6+4029.8</f>
        <v>10926.900000000001</v>
      </c>
      <c r="AM90" s="51">
        <f>4122.2+802.4+4521.1</f>
        <v>9445.7000000000007</v>
      </c>
      <c r="AN90" s="51">
        <f>4345.8+915.7+4547.6</f>
        <v>9809.1</v>
      </c>
      <c r="AO90" s="51">
        <f>5319.2+1580.7+5224.3</f>
        <v>12124.2</v>
      </c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>
        <f>3002.4+49+3232.4</f>
        <v>6283.8</v>
      </c>
      <c r="BX90" s="51">
        <f>3220+51.2+3474.9</f>
        <v>6746.1</v>
      </c>
      <c r="BY90" s="51">
        <f>3788.2+37.1+3350.5</f>
        <v>7175.7999999999993</v>
      </c>
      <c r="BZ90" s="51">
        <f>3818.5+90.1+3212.6</f>
        <v>7121.2</v>
      </c>
      <c r="CA90" s="51">
        <f>2459.2+109.1+2727.3</f>
        <v>5295.6</v>
      </c>
      <c r="CB90" s="51">
        <f>2622.9+113.8+2587.2</f>
        <v>5323.9</v>
      </c>
      <c r="CC90" s="51"/>
      <c r="CD90" s="51"/>
      <c r="CE90" s="51">
        <f>3545.9+123.4+2750.4</f>
        <v>6419.7000000000007</v>
      </c>
      <c r="CF90" s="51">
        <f>2694.5+134.6+2745.1</f>
        <v>5574.2</v>
      </c>
      <c r="CG90" s="51"/>
      <c r="CH90" s="51">
        <f>2818.6+109.1+3052.2</f>
        <v>5979.9</v>
      </c>
      <c r="CI90" s="51">
        <f>2460.2+126.1+3086.9</f>
        <v>5673.2</v>
      </c>
      <c r="CJ90" s="51"/>
      <c r="CK90" s="51"/>
      <c r="CL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T90" s="60" t="s">
        <v>264</v>
      </c>
      <c r="DU90" s="65">
        <f>+DU89/Main!J3</f>
        <v>642.94675276968292</v>
      </c>
    </row>
    <row r="91" spans="2:125" s="49" customFormat="1" x14ac:dyDescent="0.15">
      <c r="B91" s="50" t="s">
        <v>285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>
        <v>3493.8</v>
      </c>
      <c r="AI91" s="51">
        <v>3694.3</v>
      </c>
      <c r="AJ91" s="51">
        <v>3833.6</v>
      </c>
      <c r="AK91" s="51">
        <v>3533.2</v>
      </c>
      <c r="AL91" s="51">
        <v>3597.7</v>
      </c>
      <c r="AM91" s="51">
        <v>3402.1</v>
      </c>
      <c r="AN91" s="51">
        <v>3181.7</v>
      </c>
      <c r="AO91" s="51">
        <v>3268.2</v>
      </c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>
        <v>5592.8</v>
      </c>
      <c r="BX91" s="51">
        <v>5829.4</v>
      </c>
      <c r="BY91" s="51">
        <v>5914.3</v>
      </c>
      <c r="BZ91" s="51">
        <v>6672.8</v>
      </c>
      <c r="CA91" s="51">
        <v>6322.5</v>
      </c>
      <c r="CB91" s="51">
        <v>6364.5</v>
      </c>
      <c r="CC91" s="51"/>
      <c r="CD91" s="51"/>
      <c r="CE91" s="51">
        <v>7526.2</v>
      </c>
      <c r="CF91" s="51">
        <v>7516.1</v>
      </c>
      <c r="CG91" s="51"/>
      <c r="CH91" s="51">
        <v>9090.5</v>
      </c>
      <c r="CI91" s="51">
        <v>7885.6</v>
      </c>
      <c r="CJ91" s="51"/>
      <c r="CK91" s="51"/>
      <c r="CL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</row>
    <row r="92" spans="2:125" s="49" customFormat="1" x14ac:dyDescent="0.15">
      <c r="B92" s="50" t="s">
        <v>286</v>
      </c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>
        <v>664.3</v>
      </c>
      <c r="AI92" s="51">
        <v>488.8</v>
      </c>
      <c r="AJ92" s="51">
        <v>612.9</v>
      </c>
      <c r="AK92" s="51">
        <v>564.4</v>
      </c>
      <c r="AL92" s="51">
        <v>640.20000000000005</v>
      </c>
      <c r="AM92" s="51">
        <v>529.20000000000005</v>
      </c>
      <c r="AN92" s="51">
        <v>590</v>
      </c>
      <c r="AO92" s="51">
        <v>527.29999999999995</v>
      </c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>
        <v>1065.8</v>
      </c>
      <c r="BX92" s="51">
        <v>1073.4000000000001</v>
      </c>
      <c r="BY92" s="51">
        <v>1110.7</v>
      </c>
      <c r="BZ92" s="51">
        <v>1454.4</v>
      </c>
      <c r="CA92" s="51">
        <v>1483.2</v>
      </c>
      <c r="CB92" s="51">
        <v>1307.9000000000001</v>
      </c>
      <c r="CC92" s="51"/>
      <c r="CD92" s="51"/>
      <c r="CE92" s="51">
        <v>1495.9</v>
      </c>
      <c r="CF92" s="51">
        <v>1655.3</v>
      </c>
      <c r="CG92" s="51"/>
      <c r="CH92" s="51">
        <v>2245.6999999999998</v>
      </c>
      <c r="CI92" s="51">
        <v>2127.9</v>
      </c>
      <c r="CJ92" s="51"/>
      <c r="CK92" s="51"/>
      <c r="CL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</row>
    <row r="93" spans="2:125" s="49" customFormat="1" x14ac:dyDescent="0.15">
      <c r="B93" s="50" t="s">
        <v>287</v>
      </c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>
        <v>2517.6999999999998</v>
      </c>
      <c r="AI93" s="51">
        <v>2767.2</v>
      </c>
      <c r="AJ93" s="51">
        <v>2870.2</v>
      </c>
      <c r="AK93" s="51">
        <v>2513.3000000000002</v>
      </c>
      <c r="AL93" s="51">
        <v>2299.8000000000002</v>
      </c>
      <c r="AM93" s="51">
        <v>2424.1999999999998</v>
      </c>
      <c r="AN93" s="51">
        <v>2320.8000000000002</v>
      </c>
      <c r="AO93" s="51">
        <v>2553.4</v>
      </c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>
        <v>3660.8</v>
      </c>
      <c r="BX93" s="51">
        <v>3824.9</v>
      </c>
      <c r="BY93" s="51">
        <v>3907.4</v>
      </c>
      <c r="BZ93" s="51">
        <v>3886</v>
      </c>
      <c r="CA93" s="51">
        <v>3893</v>
      </c>
      <c r="CB93" s="51">
        <v>3899.4</v>
      </c>
      <c r="CC93" s="51"/>
      <c r="CD93" s="51"/>
      <c r="CE93" s="51">
        <v>4544.8</v>
      </c>
      <c r="CF93" s="51">
        <v>4798.7</v>
      </c>
      <c r="CG93" s="51"/>
      <c r="CH93" s="51">
        <v>5772.8</v>
      </c>
      <c r="CI93" s="51">
        <v>6101.8</v>
      </c>
      <c r="CJ93" s="51"/>
      <c r="CK93" s="51"/>
      <c r="CL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</row>
    <row r="94" spans="2:125" s="49" customFormat="1" x14ac:dyDescent="0.15">
      <c r="B94" s="50" t="s">
        <v>288</v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>
        <v>828.3</v>
      </c>
      <c r="AI94" s="51">
        <v>550.1</v>
      </c>
      <c r="AJ94" s="51">
        <v>436.5</v>
      </c>
      <c r="AK94" s="51">
        <v>378.4</v>
      </c>
      <c r="AL94" s="51">
        <v>158.5</v>
      </c>
      <c r="AM94" s="51">
        <v>324</v>
      </c>
      <c r="AN94" s="51">
        <v>0</v>
      </c>
      <c r="AO94" s="51">
        <v>0</v>
      </c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>
        <v>3233.7</v>
      </c>
      <c r="BX94" s="51">
        <v>3296.6</v>
      </c>
      <c r="BY94" s="51">
        <v>3050.6</v>
      </c>
      <c r="BZ94" s="51">
        <v>2530.6</v>
      </c>
      <c r="CA94" s="51">
        <v>2697.7</v>
      </c>
      <c r="CB94" s="51">
        <v>2806.7</v>
      </c>
      <c r="CC94" s="51"/>
      <c r="CD94" s="51"/>
      <c r="CE94" s="51">
        <v>3575.2</v>
      </c>
      <c r="CF94" s="51">
        <v>4532.3999999999996</v>
      </c>
      <c r="CG94" s="51"/>
      <c r="CH94" s="51">
        <v>5540.8</v>
      </c>
      <c r="CI94" s="51">
        <v>6348.6</v>
      </c>
      <c r="CJ94" s="51"/>
      <c r="CK94" s="51"/>
      <c r="CL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</row>
    <row r="95" spans="2:125" s="49" customFormat="1" x14ac:dyDescent="0.15">
      <c r="B95" s="50" t="s">
        <v>289</v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>
        <v>608.9</v>
      </c>
      <c r="AI95" s="51">
        <v>1140.8</v>
      </c>
      <c r="AJ95" s="51">
        <v>867.3</v>
      </c>
      <c r="AK95" s="51">
        <v>799.1</v>
      </c>
      <c r="AL95" s="51">
        <v>654.9</v>
      </c>
      <c r="AM95" s="51">
        <v>998.5</v>
      </c>
      <c r="AN95" s="51">
        <v>953.3</v>
      </c>
      <c r="AO95" s="51">
        <v>790.1</v>
      </c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>
        <v>149.5</v>
      </c>
      <c r="CI95" s="51">
        <v>138.6</v>
      </c>
      <c r="CJ95" s="51"/>
      <c r="CK95" s="51"/>
      <c r="CL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</row>
    <row r="96" spans="2:125" s="49" customFormat="1" x14ac:dyDescent="0.15">
      <c r="B96" s="50" t="s">
        <v>290</v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>
        <v>4818.8</v>
      </c>
      <c r="AI96" s="51">
        <v>4731.3</v>
      </c>
      <c r="AJ96" s="51">
        <v>4955.3999999999996</v>
      </c>
      <c r="AK96" s="51">
        <v>5221.8999999999996</v>
      </c>
      <c r="AL96" s="51">
        <v>5128.1000000000004</v>
      </c>
      <c r="AM96" s="51">
        <v>5266.7</v>
      </c>
      <c r="AN96" s="51">
        <v>5142.8</v>
      </c>
      <c r="AO96" s="51">
        <v>5031.1000000000004</v>
      </c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>
        <f>3877.4+8087.8</f>
        <v>11965.2</v>
      </c>
      <c r="BX96" s="51">
        <f>3884.2+7985.4</f>
        <v>11869.599999999999</v>
      </c>
      <c r="BY96" s="51">
        <f>3884.1+7887.7</f>
        <v>11771.8</v>
      </c>
      <c r="BZ96" s="51">
        <f>3892+7691.9</f>
        <v>11583.9</v>
      </c>
      <c r="CA96" s="51">
        <f>3892+7482.4</f>
        <v>11374.4</v>
      </c>
      <c r="CB96" s="51">
        <f>3891.8+7497.7</f>
        <v>11389.5</v>
      </c>
      <c r="CC96" s="51"/>
      <c r="CD96" s="51"/>
      <c r="CE96" s="51">
        <f>4073.1+7087.1</f>
        <v>11160.2</v>
      </c>
      <c r="CF96" s="51">
        <f>4078.9+6903.5</f>
        <v>10982.4</v>
      </c>
      <c r="CG96" s="51"/>
      <c r="CH96" s="51">
        <f>4939.7+6906.6</f>
        <v>11846.3</v>
      </c>
      <c r="CI96" s="51">
        <f>4939.6+6762.2</f>
        <v>11701.8</v>
      </c>
      <c r="CJ96" s="51"/>
      <c r="CK96" s="51"/>
      <c r="CL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</row>
    <row r="97" spans="2:110" s="49" customFormat="1" x14ac:dyDescent="0.15">
      <c r="B97" s="50" t="s">
        <v>386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>
        <v>2649.9</v>
      </c>
      <c r="BX97" s="51">
        <v>2674.9</v>
      </c>
      <c r="BY97" s="51">
        <v>2625.6</v>
      </c>
      <c r="BZ97" s="51">
        <v>2489.3000000000002</v>
      </c>
      <c r="CA97" s="51">
        <v>2464.9</v>
      </c>
      <c r="CB97" s="51">
        <v>2371.9</v>
      </c>
      <c r="CC97" s="51"/>
      <c r="CD97" s="51"/>
      <c r="CE97" s="51">
        <v>3406.7</v>
      </c>
      <c r="CF97" s="51">
        <v>3805.9</v>
      </c>
      <c r="CG97" s="51"/>
      <c r="CH97" s="51">
        <v>5477.3</v>
      </c>
      <c r="CI97" s="51">
        <v>5633.9</v>
      </c>
      <c r="CJ97" s="51"/>
      <c r="CK97" s="51"/>
      <c r="CL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</row>
    <row r="98" spans="2:110" s="49" customFormat="1" x14ac:dyDescent="0.15">
      <c r="B98" s="50" t="s">
        <v>291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>
        <v>1622.4</v>
      </c>
      <c r="AI98" s="51">
        <v>1743.3</v>
      </c>
      <c r="AJ98" s="51">
        <v>1976.9</v>
      </c>
      <c r="AK98" s="51">
        <v>2215.8000000000002</v>
      </c>
      <c r="AL98" s="51">
        <v>2493.4</v>
      </c>
      <c r="AM98" s="51">
        <v>2093.1999999999998</v>
      </c>
      <c r="AN98" s="51">
        <v>2195</v>
      </c>
      <c r="AO98" s="51">
        <v>2387.8000000000002</v>
      </c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>
        <v>0</v>
      </c>
      <c r="BX98" s="51">
        <v>0</v>
      </c>
      <c r="BY98" s="51">
        <v>0</v>
      </c>
      <c r="BZ98" s="51">
        <v>0</v>
      </c>
      <c r="CA98" s="51">
        <v>0</v>
      </c>
      <c r="CB98" s="51">
        <v>0</v>
      </c>
      <c r="CC98" s="51"/>
      <c r="CD98" s="51"/>
      <c r="CE98" s="51">
        <v>0</v>
      </c>
      <c r="CF98" s="51">
        <v>0</v>
      </c>
      <c r="CG98" s="51"/>
      <c r="CH98" s="51">
        <v>0</v>
      </c>
      <c r="CI98" s="51">
        <v>0</v>
      </c>
      <c r="CJ98" s="51"/>
      <c r="CK98" s="51"/>
      <c r="CL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</row>
    <row r="99" spans="2:110" s="49" customFormat="1" x14ac:dyDescent="0.15">
      <c r="B99" s="50" t="s">
        <v>292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>
        <v>7940.7</v>
      </c>
      <c r="AI99" s="51">
        <v>7967.7</v>
      </c>
      <c r="AJ99" s="51">
        <v>7953.7</v>
      </c>
      <c r="AK99" s="51">
        <v>7812.2</v>
      </c>
      <c r="AL99" s="51">
        <v>7760.3</v>
      </c>
      <c r="AM99" s="51">
        <v>7754.6</v>
      </c>
      <c r="AN99" s="51">
        <v>7619.9</v>
      </c>
      <c r="AO99" s="51">
        <v>7638.9</v>
      </c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>
        <v>8630.1</v>
      </c>
      <c r="BX99" s="51">
        <v>8855.5</v>
      </c>
      <c r="BY99" s="51">
        <v>8920.4</v>
      </c>
      <c r="BZ99" s="51">
        <v>8985.1</v>
      </c>
      <c r="CA99" s="51">
        <v>9102.7000000000007</v>
      </c>
      <c r="CB99" s="51">
        <v>9128.2000000000007</v>
      </c>
      <c r="CC99" s="51"/>
      <c r="CD99" s="51"/>
      <c r="CE99" s="51">
        <v>10546.2</v>
      </c>
      <c r="CF99" s="51">
        <v>11277.4</v>
      </c>
      <c r="CG99" s="51"/>
      <c r="CH99" s="51">
        <v>12913.6</v>
      </c>
      <c r="CI99" s="51">
        <v>13624</v>
      </c>
      <c r="CJ99" s="51"/>
      <c r="CK99" s="51"/>
      <c r="CL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</row>
    <row r="100" spans="2:110" s="49" customFormat="1" x14ac:dyDescent="0.15">
      <c r="B100" s="50" t="s">
        <v>387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>
        <v>3756.2</v>
      </c>
      <c r="BX100" s="51">
        <v>3638.6</v>
      </c>
      <c r="BY100" s="51">
        <v>3710.4</v>
      </c>
      <c r="BZ100" s="51">
        <v>4082.7</v>
      </c>
      <c r="CA100" s="51">
        <v>4285.3</v>
      </c>
      <c r="CB100" s="51">
        <v>4471.6000000000004</v>
      </c>
      <c r="CC100" s="51"/>
      <c r="CD100" s="51"/>
      <c r="CE100" s="51">
        <v>4488.1000000000004</v>
      </c>
      <c r="CF100" s="51">
        <v>4671.6000000000004</v>
      </c>
      <c r="CG100" s="51"/>
      <c r="CH100" s="51">
        <v>4989.8999999999996</v>
      </c>
      <c r="CI100" s="51">
        <v>4708.1000000000004</v>
      </c>
      <c r="CJ100" s="51"/>
      <c r="CK100" s="51"/>
      <c r="CL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</row>
    <row r="101" spans="2:110" s="49" customFormat="1" x14ac:dyDescent="0.15">
      <c r="B101" s="50" t="s">
        <v>293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>
        <f>SUM(AH90:AH99)</f>
        <v>31001.4</v>
      </c>
      <c r="AI101" s="51">
        <f>SUM(AI90:AI99)</f>
        <v>31695.3</v>
      </c>
      <c r="AJ101" s="51">
        <f t="shared" ref="AJ101" si="382">SUM(AJ90:AJ99)</f>
        <v>32779.299999999996</v>
      </c>
      <c r="AK101" s="51">
        <f>SUM(AK90:AK99)</f>
        <v>33042.199999999997</v>
      </c>
      <c r="AL101" s="51">
        <f>SUM(AL90:AL99)</f>
        <v>33659.80000000001</v>
      </c>
      <c r="AM101" s="51">
        <f>SUM(AM90:AM99)</f>
        <v>32238.200000000004</v>
      </c>
      <c r="AN101" s="51">
        <f>SUM(AN90:AN99)</f>
        <v>31812.6</v>
      </c>
      <c r="AO101" s="51">
        <f>SUM(AO90:AO99)</f>
        <v>34321</v>
      </c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>
        <f t="shared" ref="BW101" si="383">SUM(BW90:BW100)</f>
        <v>46838.299999999996</v>
      </c>
      <c r="BX101" s="51">
        <f t="shared" ref="BX101" si="384">SUM(BX90:BX100)</f>
        <v>47808.999999999993</v>
      </c>
      <c r="BY101" s="51">
        <f>SUM(BY90:BY100)</f>
        <v>48187</v>
      </c>
      <c r="BZ101" s="51">
        <f>SUM(BZ90:BZ100)</f>
        <v>48806</v>
      </c>
      <c r="CA101" s="51">
        <f>SUM(CA90:CA100)</f>
        <v>46919.3</v>
      </c>
      <c r="CB101" s="51">
        <f>SUM(CB90:CB100)</f>
        <v>47063.6</v>
      </c>
      <c r="CC101" s="51"/>
      <c r="CD101" s="51"/>
      <c r="CE101" s="51">
        <f>SUM(CE90:CE100)</f>
        <v>53162.999999999993</v>
      </c>
      <c r="CF101" s="51">
        <f>SUM(CF90:CF100)</f>
        <v>54814</v>
      </c>
      <c r="CG101" s="51"/>
      <c r="CH101" s="51">
        <f>SUM(CH90:CH100)</f>
        <v>64006.3</v>
      </c>
      <c r="CI101" s="51">
        <f>SUM(CI90:CI100)</f>
        <v>63943.5</v>
      </c>
      <c r="CJ101" s="51"/>
      <c r="CK101" s="51"/>
      <c r="CL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</row>
    <row r="103" spans="2:110" s="49" customFormat="1" x14ac:dyDescent="0.15">
      <c r="B103" s="50" t="s">
        <v>175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>
        <f>156+6770.5</f>
        <v>6926.5</v>
      </c>
      <c r="AI103" s="51">
        <f>1539.9+5132.4</f>
        <v>6672.2999999999993</v>
      </c>
      <c r="AJ103" s="51">
        <f>1528.5+5200.1</f>
        <v>6728.6</v>
      </c>
      <c r="AK103" s="51">
        <f>1628.7+5451.3</f>
        <v>7080</v>
      </c>
      <c r="AL103" s="51">
        <f>1522.3+5464.7</f>
        <v>6987</v>
      </c>
      <c r="AM103" s="51">
        <f>10.6+5403.2</f>
        <v>5413.8</v>
      </c>
      <c r="AN103" s="51">
        <f>9.1+5500.2</f>
        <v>5509.3</v>
      </c>
      <c r="AO103" s="51">
        <f>9.1+5510.9</f>
        <v>5520</v>
      </c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>
        <f>4.9+16199.6</f>
        <v>16204.5</v>
      </c>
      <c r="BX103" s="51">
        <f>1778.5+14736.6</f>
        <v>16515.099999999999</v>
      </c>
      <c r="BY103" s="51">
        <f>1563+15522.4</f>
        <v>17085.400000000001</v>
      </c>
      <c r="BZ103" s="51">
        <f>1538.3+15346.4</f>
        <v>16884.7</v>
      </c>
      <c r="CA103" s="51">
        <f>1355.9+15152.9</f>
        <v>16508.8</v>
      </c>
      <c r="CB103" s="51">
        <f>2121.8+14692</f>
        <v>16813.8</v>
      </c>
      <c r="CC103" s="51"/>
      <c r="CD103" s="51"/>
      <c r="CE103" s="51">
        <f>18880.5+3.1</f>
        <v>18883.599999999999</v>
      </c>
      <c r="CF103" s="51">
        <f>661.6+18158.4</f>
        <v>18820</v>
      </c>
      <c r="CG103" s="51"/>
      <c r="CH103" s="51">
        <f>6904.5+18320.8</f>
        <v>25225.3</v>
      </c>
      <c r="CI103" s="51">
        <f>24559.9+1651.5</f>
        <v>26211.4</v>
      </c>
      <c r="CJ103" s="51"/>
      <c r="CK103" s="51"/>
      <c r="CL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</row>
    <row r="104" spans="2:110" s="49" customFormat="1" x14ac:dyDescent="0.15">
      <c r="B104" s="50" t="s">
        <v>294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>
        <v>1072.2</v>
      </c>
      <c r="AI104" s="51">
        <v>1183.2</v>
      </c>
      <c r="AJ104" s="51">
        <v>1187.5999999999999</v>
      </c>
      <c r="AK104" s="51">
        <v>1154.3</v>
      </c>
      <c r="AL104" s="51">
        <v>1125.2</v>
      </c>
      <c r="AM104" s="51">
        <v>1246.3</v>
      </c>
      <c r="AN104" s="51">
        <v>1201.5999999999999</v>
      </c>
      <c r="AO104" s="51">
        <v>1328.7</v>
      </c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>
        <v>1639.6</v>
      </c>
      <c r="BX104" s="51">
        <v>1597.8</v>
      </c>
      <c r="BY104" s="51">
        <v>1566.8</v>
      </c>
      <c r="BZ104" s="51">
        <v>1670.6</v>
      </c>
      <c r="CA104" s="51">
        <v>1433.3</v>
      </c>
      <c r="CB104" s="51">
        <v>1659.3</v>
      </c>
      <c r="CC104" s="51"/>
      <c r="CD104" s="51"/>
      <c r="CE104" s="51">
        <v>2015.9</v>
      </c>
      <c r="CF104" s="51">
        <f>2474.2</f>
        <v>2474.1999999999998</v>
      </c>
      <c r="CG104" s="51"/>
      <c r="CH104" s="51">
        <v>2598.8000000000002</v>
      </c>
      <c r="CI104" s="51">
        <v>2473.6999999999998</v>
      </c>
      <c r="CJ104" s="51"/>
      <c r="CK104" s="51"/>
      <c r="CL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</row>
    <row r="105" spans="2:110" s="49" customFormat="1" x14ac:dyDescent="0.15">
      <c r="B105" s="50" t="s">
        <v>295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>
        <v>851.8</v>
      </c>
      <c r="AI105" s="51">
        <v>524</v>
      </c>
      <c r="AJ105" s="51">
        <v>584.70000000000005</v>
      </c>
      <c r="AK105" s="51">
        <v>689.3</v>
      </c>
      <c r="AL105" s="51">
        <v>804.7</v>
      </c>
      <c r="AM105" s="51">
        <v>533.79999999999995</v>
      </c>
      <c r="AN105" s="51">
        <v>602.9</v>
      </c>
      <c r="AO105" s="51">
        <v>772.7</v>
      </c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>
        <v>649.9</v>
      </c>
      <c r="BX105" s="51">
        <v>755.5</v>
      </c>
      <c r="BY105" s="51">
        <v>836.6</v>
      </c>
      <c r="BZ105" s="51">
        <v>958.1</v>
      </c>
      <c r="CA105" s="51">
        <v>693.1</v>
      </c>
      <c r="CB105" s="51">
        <v>835.8</v>
      </c>
      <c r="CC105" s="51"/>
      <c r="CD105" s="51"/>
      <c r="CE105" s="51">
        <v>739.7</v>
      </c>
      <c r="CF105" s="51">
        <v>867.7</v>
      </c>
      <c r="CG105" s="51"/>
      <c r="CH105" s="51">
        <v>1650.4</v>
      </c>
      <c r="CI105" s="51">
        <v>844.2</v>
      </c>
      <c r="CJ105" s="51"/>
      <c r="CK105" s="51"/>
      <c r="CL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</row>
    <row r="106" spans="2:110" s="49" customFormat="1" x14ac:dyDescent="0.15">
      <c r="B106" s="50" t="s">
        <v>296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>
        <v>1372.6</v>
      </c>
      <c r="AI106" s="51">
        <v>1489.5</v>
      </c>
      <c r="AJ106" s="51">
        <v>1807.6</v>
      </c>
      <c r="AK106" s="51">
        <v>1882.3</v>
      </c>
      <c r="AL106" s="51">
        <v>1771.3</v>
      </c>
      <c r="AM106" s="51">
        <v>1619.8</v>
      </c>
      <c r="AN106" s="51">
        <v>1628.6</v>
      </c>
      <c r="AO106" s="51">
        <v>1695.6</v>
      </c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>
        <v>5821.4</v>
      </c>
      <c r="BX106" s="51">
        <v>7035.8</v>
      </c>
      <c r="BY106" s="51">
        <v>7185.6</v>
      </c>
      <c r="BZ106" s="51">
        <v>6845.8</v>
      </c>
      <c r="CA106" s="51">
        <v>6768.7</v>
      </c>
      <c r="CB106" s="51">
        <v>7991.4</v>
      </c>
      <c r="CC106" s="51"/>
      <c r="CD106" s="51"/>
      <c r="CE106" s="51">
        <v>9529.5</v>
      </c>
      <c r="CF106" s="51">
        <v>10389.9</v>
      </c>
      <c r="CG106" s="51"/>
      <c r="CH106" s="51">
        <v>11689</v>
      </c>
      <c r="CI106" s="51">
        <v>9429.6</v>
      </c>
      <c r="CJ106" s="51"/>
      <c r="CK106" s="51"/>
      <c r="CL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</row>
    <row r="107" spans="2:110" s="49" customFormat="1" x14ac:dyDescent="0.15">
      <c r="B107" s="50" t="s">
        <v>297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>
        <v>540</v>
      </c>
      <c r="AI107" s="51">
        <v>0</v>
      </c>
      <c r="AJ107" s="51">
        <v>542.29999999999995</v>
      </c>
      <c r="AK107" s="51">
        <v>0</v>
      </c>
      <c r="AL107" s="51">
        <v>542.29999999999995</v>
      </c>
      <c r="AM107" s="51">
        <v>0</v>
      </c>
      <c r="AN107" s="51">
        <v>543.6</v>
      </c>
      <c r="AO107" s="51">
        <v>0</v>
      </c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>
        <v>0</v>
      </c>
      <c r="BX107" s="51">
        <v>770.8</v>
      </c>
      <c r="BY107" s="51">
        <v>0</v>
      </c>
      <c r="BZ107" s="51">
        <v>885.5</v>
      </c>
      <c r="CA107" s="51">
        <v>0</v>
      </c>
      <c r="CB107" s="51">
        <v>882.2</v>
      </c>
      <c r="CC107" s="51"/>
      <c r="CD107" s="51"/>
      <c r="CE107" s="51">
        <v>0</v>
      </c>
      <c r="CF107" s="51">
        <v>1016.2</v>
      </c>
      <c r="CG107" s="51"/>
      <c r="CH107" s="51">
        <v>1169.2</v>
      </c>
      <c r="CI107" s="51">
        <v>0</v>
      </c>
      <c r="CJ107" s="51"/>
      <c r="CK107" s="51"/>
      <c r="CL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</row>
    <row r="108" spans="2:110" s="49" customFormat="1" x14ac:dyDescent="0.15">
      <c r="B108" s="50" t="s">
        <v>82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>
        <v>457.5</v>
      </c>
      <c r="AI108" s="51">
        <v>315.2</v>
      </c>
      <c r="AJ108" s="51">
        <v>183.1</v>
      </c>
      <c r="AK108" s="51">
        <v>144.4</v>
      </c>
      <c r="AL108" s="51">
        <v>261.60000000000002</v>
      </c>
      <c r="AM108" s="51">
        <v>388.8</v>
      </c>
      <c r="AN108" s="51">
        <v>33.5</v>
      </c>
      <c r="AO108" s="51">
        <v>338.2</v>
      </c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>
        <v>791.6</v>
      </c>
      <c r="BX108" s="51">
        <v>529.9</v>
      </c>
      <c r="BY108" s="51">
        <v>203.5</v>
      </c>
      <c r="BZ108" s="51">
        <v>126.9</v>
      </c>
      <c r="CA108" s="51">
        <v>598.29999999999995</v>
      </c>
      <c r="CB108" s="51">
        <v>126.6</v>
      </c>
      <c r="CC108" s="51"/>
      <c r="CD108" s="51"/>
      <c r="CE108" s="51">
        <v>1528.3</v>
      </c>
      <c r="CF108" s="51">
        <v>1233.8</v>
      </c>
      <c r="CG108" s="51"/>
      <c r="CH108" s="51"/>
      <c r="CI108" s="51"/>
      <c r="CJ108" s="51"/>
      <c r="CK108" s="51"/>
      <c r="CL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</row>
    <row r="109" spans="2:110" s="49" customFormat="1" x14ac:dyDescent="0.15">
      <c r="B109" s="50" t="s">
        <v>298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>
        <v>2651.3</v>
      </c>
      <c r="AI109" s="51">
        <v>2600</v>
      </c>
      <c r="AJ109" s="51">
        <v>2786.7</v>
      </c>
      <c r="AK109" s="51">
        <v>2720.3</v>
      </c>
      <c r="AL109" s="51">
        <v>2903.5</v>
      </c>
      <c r="AM109" s="51">
        <v>2754.4</v>
      </c>
      <c r="AN109" s="51">
        <v>2590.4</v>
      </c>
      <c r="AO109" s="51">
        <v>2816.4</v>
      </c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>
        <v>2806.8</v>
      </c>
      <c r="BX109" s="51">
        <v>2624.9</v>
      </c>
      <c r="BY109" s="51">
        <v>2326.5</v>
      </c>
      <c r="BZ109" s="51">
        <v>3027.5</v>
      </c>
      <c r="CA109" s="51">
        <v>2536.6999999999998</v>
      </c>
      <c r="CB109" s="51">
        <v>2003.5</v>
      </c>
      <c r="CC109" s="51"/>
      <c r="CD109" s="51"/>
      <c r="CE109" s="51">
        <v>2193.5</v>
      </c>
      <c r="CF109" s="51">
        <v>2271.6</v>
      </c>
      <c r="CG109" s="51"/>
      <c r="CH109" s="51">
        <v>3281.3</v>
      </c>
      <c r="CI109" s="51">
        <v>4199.1000000000004</v>
      </c>
      <c r="CJ109" s="51"/>
      <c r="CK109" s="51"/>
      <c r="CL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</row>
    <row r="110" spans="2:110" s="49" customFormat="1" x14ac:dyDescent="0.15">
      <c r="B110" s="50" t="s">
        <v>299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>
        <v>1887.4</v>
      </c>
      <c r="AI110" s="51">
        <v>1866.4</v>
      </c>
      <c r="AJ110" s="51">
        <v>1848.6</v>
      </c>
      <c r="AK110" s="51">
        <v>1805.9</v>
      </c>
      <c r="AL110" s="51">
        <v>3068.5</v>
      </c>
      <c r="AM110" s="51">
        <v>2766.5</v>
      </c>
      <c r="AN110" s="51">
        <v>2714.5</v>
      </c>
      <c r="AO110" s="51">
        <v>2702.4</v>
      </c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>
        <v>3969.8</v>
      </c>
      <c r="BX110" s="51">
        <v>3918.5</v>
      </c>
      <c r="BY110" s="51">
        <v>3878.8</v>
      </c>
      <c r="BZ110" s="51">
        <v>1954.1</v>
      </c>
      <c r="CA110" s="51">
        <v>1940.3</v>
      </c>
      <c r="CB110" s="51">
        <v>1888.6</v>
      </c>
      <c r="CC110" s="51"/>
      <c r="CD110" s="51"/>
      <c r="CE110" s="51">
        <v>1313</v>
      </c>
      <c r="CF110" s="51">
        <v>1308.8</v>
      </c>
      <c r="CG110" s="51"/>
      <c r="CH110" s="51">
        <v>1438.8</v>
      </c>
      <c r="CI110" s="51">
        <v>1427.9</v>
      </c>
      <c r="CJ110" s="51"/>
      <c r="CK110" s="51"/>
      <c r="CL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</row>
    <row r="111" spans="2:110" s="49" customFormat="1" x14ac:dyDescent="0.15">
      <c r="B111" s="50" t="s">
        <v>82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>
        <v>1234.8</v>
      </c>
      <c r="AI111" s="51">
        <v>1224.3</v>
      </c>
      <c r="AJ111" s="51">
        <v>1283</v>
      </c>
      <c r="AK111" s="51">
        <v>1058.8</v>
      </c>
      <c r="AL111" s="51">
        <v>1086.3</v>
      </c>
      <c r="AM111" s="51">
        <v>1158.3</v>
      </c>
      <c r="AN111" s="51">
        <v>1207.5</v>
      </c>
      <c r="AO111" s="51">
        <v>1275.0999999999999</v>
      </c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>
        <f>3917.5+2200.6</f>
        <v>6118.1</v>
      </c>
      <c r="BX111" s="51">
        <f>3738+1857.3</f>
        <v>5595.3</v>
      </c>
      <c r="BY111" s="51">
        <f>3768.5+1632.5</f>
        <v>5401</v>
      </c>
      <c r="BZ111" s="51">
        <f>3920+1733.7</f>
        <v>5653.7</v>
      </c>
      <c r="CA111" s="51">
        <f>1286.1+3978.1</f>
        <v>5264.2</v>
      </c>
      <c r="CB111" s="51">
        <f>3557.6+862.5</f>
        <v>4420.1000000000004</v>
      </c>
      <c r="CC111" s="51"/>
      <c r="CD111" s="51"/>
      <c r="CE111" s="51">
        <v>3842.1</v>
      </c>
      <c r="CF111" s="51">
        <v>3330.7</v>
      </c>
      <c r="CG111" s="51"/>
      <c r="CH111" s="51">
        <v>3849.2</v>
      </c>
      <c r="CI111" s="51">
        <v>4189.3999999999996</v>
      </c>
      <c r="CJ111" s="51"/>
      <c r="CK111" s="51"/>
      <c r="CL111" s="51"/>
      <c r="CP111" s="51"/>
      <c r="CQ111" s="51"/>
      <c r="CR111" s="51"/>
      <c r="CS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</row>
    <row r="112" spans="2:110" s="49" customFormat="1" x14ac:dyDescent="0.15">
      <c r="B112" s="50" t="s">
        <v>300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>
        <v>1594.5</v>
      </c>
      <c r="AI112" s="51">
        <v>1886.2</v>
      </c>
      <c r="AJ112" s="51">
        <v>1550.1</v>
      </c>
      <c r="AK112" s="51">
        <v>1449</v>
      </c>
      <c r="AL112" s="51">
        <v>1573.8</v>
      </c>
      <c r="AM112" s="51">
        <v>1533.9</v>
      </c>
      <c r="AN112" s="51">
        <v>1472.8</v>
      </c>
      <c r="AO112" s="51">
        <v>1815</v>
      </c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>
        <v>1737.3</v>
      </c>
      <c r="BX112" s="51">
        <v>1801.9</v>
      </c>
      <c r="BY112" s="51">
        <v>1748.7</v>
      </c>
      <c r="BZ112" s="51">
        <v>1644.3</v>
      </c>
      <c r="CA112" s="51">
        <v>1713.9</v>
      </c>
      <c r="CB112" s="51">
        <v>1783.1</v>
      </c>
      <c r="CC112" s="51"/>
      <c r="CD112" s="51"/>
      <c r="CE112" s="51">
        <v>1822.5</v>
      </c>
      <c r="CF112" s="51">
        <v>1951.8</v>
      </c>
      <c r="CG112" s="51"/>
      <c r="CH112" s="51">
        <v>2240.6</v>
      </c>
      <c r="CI112" s="51">
        <v>2270.8000000000002</v>
      </c>
      <c r="CJ112" s="51"/>
      <c r="CK112" s="51"/>
      <c r="CL112" s="51"/>
      <c r="CP112" s="51"/>
      <c r="CQ112" s="51"/>
      <c r="CR112" s="51"/>
      <c r="CS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</row>
    <row r="113" spans="2:110" s="49" customFormat="1" x14ac:dyDescent="0.15">
      <c r="B113" s="50" t="s">
        <v>301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>
        <v>12412.8</v>
      </c>
      <c r="AI113" s="51">
        <v>13934.2</v>
      </c>
      <c r="AJ113" s="51">
        <v>14277</v>
      </c>
      <c r="AK113" s="51">
        <v>15057.9</v>
      </c>
      <c r="AL113" s="51">
        <v>13535.6</v>
      </c>
      <c r="AM113" s="51">
        <v>14822.6</v>
      </c>
      <c r="AN113" s="51">
        <v>14307.9</v>
      </c>
      <c r="AO113" s="51">
        <v>16056.9</v>
      </c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>
        <v>7099.3</v>
      </c>
      <c r="BX113" s="51">
        <v>6663.5</v>
      </c>
      <c r="BY113" s="51">
        <v>7954.1</v>
      </c>
      <c r="BZ113" s="51">
        <v>9154.7999999999993</v>
      </c>
      <c r="CA113" s="51">
        <v>9462</v>
      </c>
      <c r="CB113" s="51">
        <v>8659.2000000000007</v>
      </c>
      <c r="CC113" s="51"/>
      <c r="CD113" s="51"/>
      <c r="CE113" s="51">
        <v>11294.9</v>
      </c>
      <c r="CF113" s="51">
        <v>11149.3</v>
      </c>
      <c r="CG113" s="51"/>
      <c r="CH113" s="51">
        <v>10863.7</v>
      </c>
      <c r="CI113" s="51">
        <v>12897.4</v>
      </c>
      <c r="CJ113" s="51"/>
      <c r="CK113" s="51"/>
      <c r="CL113" s="51"/>
      <c r="CP113" s="51"/>
      <c r="CQ113" s="51"/>
      <c r="CR113" s="51"/>
      <c r="CS113" s="51"/>
      <c r="CT113" s="51"/>
      <c r="CU113" s="51"/>
      <c r="CV113" s="51"/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</row>
    <row r="114" spans="2:110" s="49" customFormat="1" x14ac:dyDescent="0.15">
      <c r="B114" s="50" t="s">
        <v>302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>
        <f>SUM(AH103:AH113)</f>
        <v>31001.4</v>
      </c>
      <c r="AI114" s="51">
        <f>SUM(AI103:AI113)</f>
        <v>31695.3</v>
      </c>
      <c r="AJ114" s="51">
        <f t="shared" ref="AJ114" si="385">SUM(AJ103:AJ113)</f>
        <v>32779.300000000003</v>
      </c>
      <c r="AK114" s="51">
        <f>SUM(AK103:AK113)</f>
        <v>33042.199999999997</v>
      </c>
      <c r="AL114" s="51">
        <f>SUM(AL103:AL113)</f>
        <v>33659.799999999996</v>
      </c>
      <c r="AM114" s="51">
        <f>SUM(AM103:AM113)</f>
        <v>32238.199999999997</v>
      </c>
      <c r="AN114" s="51">
        <f>SUM(AN103:AN113)</f>
        <v>31812.6</v>
      </c>
      <c r="AO114" s="51">
        <f>SUM(AO103:AO113)</f>
        <v>34321</v>
      </c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>
        <f t="shared" ref="BW114" si="386">SUM(BW103:BW113)</f>
        <v>46838.3</v>
      </c>
      <c r="BX114" s="51">
        <f t="shared" ref="BX114" si="387">SUM(BX103:BX113)</f>
        <v>47809.000000000007</v>
      </c>
      <c r="BY114" s="51">
        <f>SUM(BY103:BY113)</f>
        <v>48187</v>
      </c>
      <c r="BZ114" s="51">
        <f>SUM(BZ103:BZ113)</f>
        <v>48806</v>
      </c>
      <c r="CA114" s="51">
        <f>SUM(CA103:CA113)</f>
        <v>46919.299999999996</v>
      </c>
      <c r="CB114" s="51">
        <f>SUM(CB103:CB113)</f>
        <v>47063.599999999991</v>
      </c>
      <c r="CC114" s="51"/>
      <c r="CD114" s="51"/>
      <c r="CE114" s="51">
        <f>SUM(CE103:CE113)</f>
        <v>53163</v>
      </c>
      <c r="CF114" s="51">
        <f>SUM(CF103:CF113)</f>
        <v>54814</v>
      </c>
      <c r="CG114" s="51"/>
      <c r="CH114" s="51">
        <f>SUM(CH103:CH113)</f>
        <v>64006.3</v>
      </c>
      <c r="CI114" s="51">
        <f>SUM(CI103:CI113)</f>
        <v>63943.500000000007</v>
      </c>
      <c r="CJ114" s="51"/>
      <c r="CK114" s="51"/>
      <c r="CL114" s="51"/>
      <c r="CP114" s="51"/>
      <c r="CQ114" s="51"/>
      <c r="CR114" s="51"/>
      <c r="CS114" s="51"/>
      <c r="CT114" s="51"/>
      <c r="CU114" s="51"/>
      <c r="CV114" s="51"/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</row>
    <row r="116" spans="2:110" x14ac:dyDescent="0.15">
      <c r="B116" s="50" t="s">
        <v>388</v>
      </c>
      <c r="BW116" s="51">
        <f>BW71</f>
        <v>1777.5000000000007</v>
      </c>
      <c r="CA116" s="51">
        <f>CA71</f>
        <v>2538.4999999999991</v>
      </c>
      <c r="CE116" s="51">
        <f>+CE71</f>
        <v>1504.4999999999991</v>
      </c>
      <c r="CF116" s="51">
        <f>+CF71</f>
        <v>1481.2999999999988</v>
      </c>
      <c r="CH116" s="51">
        <f>+CH71</f>
        <v>2864.0000000000005</v>
      </c>
      <c r="CI116" s="51">
        <f>+CI71</f>
        <v>2272</v>
      </c>
    </row>
    <row r="117" spans="2:110" x14ac:dyDescent="0.15">
      <c r="B117" s="50" t="s">
        <v>389</v>
      </c>
      <c r="BW117" s="51">
        <v>1355.3</v>
      </c>
      <c r="CA117" s="51">
        <v>1902.9</v>
      </c>
      <c r="CE117" s="51">
        <v>1344.9</v>
      </c>
      <c r="CF117" s="52">
        <f>3108.1-CE117</f>
        <v>1763.1999999999998</v>
      </c>
      <c r="CH117" s="51">
        <f>5240.4-CG117-CF117-CE117</f>
        <v>2132.2999999999997</v>
      </c>
      <c r="CI117" s="51">
        <v>2242.9</v>
      </c>
    </row>
    <row r="118" spans="2:110" x14ac:dyDescent="0.15">
      <c r="B118" s="50" t="s">
        <v>390</v>
      </c>
      <c r="BW118" s="51">
        <v>350.3</v>
      </c>
      <c r="CA118" s="51">
        <v>435.7</v>
      </c>
      <c r="CE118" s="51">
        <v>362.3</v>
      </c>
      <c r="CF118" s="51">
        <f>728.6-CE118</f>
        <v>366.3</v>
      </c>
      <c r="CH118" s="51"/>
      <c r="CI118" s="51">
        <v>400.6</v>
      </c>
    </row>
    <row r="119" spans="2:110" x14ac:dyDescent="0.15">
      <c r="B119" s="50" t="s">
        <v>386</v>
      </c>
      <c r="BW119" s="51">
        <v>-119.1</v>
      </c>
      <c r="CA119" s="51">
        <v>-506.6</v>
      </c>
      <c r="CE119" s="51">
        <v>-559.4</v>
      </c>
      <c r="CF119" s="51">
        <f>-990.5-CE119</f>
        <v>-431.1</v>
      </c>
      <c r="CH119" s="51"/>
      <c r="CI119" s="51">
        <v>-279</v>
      </c>
    </row>
    <row r="120" spans="2:110" x14ac:dyDescent="0.15">
      <c r="B120" s="50" t="s">
        <v>391</v>
      </c>
      <c r="BW120" s="51">
        <v>85.5</v>
      </c>
      <c r="CA120" s="51">
        <v>101</v>
      </c>
      <c r="CE120" s="51">
        <v>131.19999999999999</v>
      </c>
      <c r="CF120" s="51">
        <f>292.7-CE120</f>
        <v>161.5</v>
      </c>
      <c r="CH120" s="51"/>
      <c r="CI120" s="51">
        <v>159.4</v>
      </c>
    </row>
    <row r="121" spans="2:110" x14ac:dyDescent="0.15">
      <c r="B121" s="50" t="s">
        <v>392</v>
      </c>
      <c r="BW121" s="51">
        <v>-302.2</v>
      </c>
      <c r="CA121" s="51">
        <v>426.1</v>
      </c>
      <c r="CE121" s="51">
        <v>14.2</v>
      </c>
      <c r="CF121" s="51">
        <f>80-CE121</f>
        <v>65.8</v>
      </c>
      <c r="CH121" s="51"/>
      <c r="CI121" s="51">
        <v>-15.8</v>
      </c>
    </row>
    <row r="122" spans="2:110" x14ac:dyDescent="0.15">
      <c r="B122" s="50" t="s">
        <v>393</v>
      </c>
      <c r="BW122" s="51">
        <v>299.3</v>
      </c>
      <c r="CA122" s="51">
        <v>153</v>
      </c>
      <c r="CE122" s="51">
        <v>105</v>
      </c>
      <c r="CF122" s="51">
        <f>202.1-CE122</f>
        <v>97.1</v>
      </c>
      <c r="CH122" s="51"/>
      <c r="CI122" s="51">
        <v>110.5</v>
      </c>
    </row>
    <row r="123" spans="2:110" x14ac:dyDescent="0.15">
      <c r="B123" s="50" t="s">
        <v>78</v>
      </c>
      <c r="BW123" s="51">
        <v>-102.8</v>
      </c>
      <c r="CA123" s="51">
        <v>-45.5</v>
      </c>
      <c r="CE123" s="51">
        <v>168.3</v>
      </c>
      <c r="CF123" s="51">
        <f>-382.4-CE123</f>
        <v>-550.70000000000005</v>
      </c>
      <c r="CH123" s="51"/>
      <c r="CI123" s="51">
        <v>298.60000000000002</v>
      </c>
    </row>
    <row r="124" spans="2:110" x14ac:dyDescent="0.15">
      <c r="B124" s="50" t="s">
        <v>394</v>
      </c>
      <c r="BW124" s="51">
        <v>131.1</v>
      </c>
      <c r="CA124" s="51">
        <v>32.6</v>
      </c>
      <c r="CE124" s="51">
        <v>164.1</v>
      </c>
      <c r="CF124" s="51">
        <f>-676.1-CE124</f>
        <v>-840.2</v>
      </c>
      <c r="CH124" s="51"/>
      <c r="CI124" s="51">
        <v>-1751.2</v>
      </c>
    </row>
    <row r="125" spans="2:110" s="49" customFormat="1" x14ac:dyDescent="0.15">
      <c r="B125" s="50" t="s">
        <v>303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>
        <v>1176.0999999999999</v>
      </c>
      <c r="AJ125" s="51">
        <f>3216.4-AI125</f>
        <v>2040.3000000000002</v>
      </c>
      <c r="AK125" s="51">
        <f>5289.8-AJ125-AI125</f>
        <v>2073.4</v>
      </c>
      <c r="AL125" s="52">
        <f>7234.5-AK125-AJ125-AI125</f>
        <v>1944.7000000000003</v>
      </c>
      <c r="AM125" s="52">
        <v>852.5</v>
      </c>
      <c r="AN125" s="52">
        <f>2158.5-AM125</f>
        <v>1306</v>
      </c>
      <c r="AO125" s="51">
        <f>3702.8-AN125-AM125</f>
        <v>1544.3000000000002</v>
      </c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>
        <f>SUM(BW117:BW124)</f>
        <v>1697.3999999999999</v>
      </c>
      <c r="BX125" s="51"/>
      <c r="BY125" s="51"/>
      <c r="BZ125" s="51"/>
      <c r="CA125" s="51">
        <f>SUM(CA117:CA124)</f>
        <v>2499.1999999999998</v>
      </c>
      <c r="CB125" s="51"/>
      <c r="CC125" s="51"/>
      <c r="CD125" s="51"/>
      <c r="CE125" s="51">
        <f>SUM(CE117:CE124)</f>
        <v>1730.6000000000001</v>
      </c>
      <c r="CF125" s="51">
        <f>SUM(CF117:CF124)</f>
        <v>631.89999999999986</v>
      </c>
      <c r="CG125" s="51"/>
      <c r="CH125" s="51"/>
      <c r="CI125" s="51">
        <f>SUM(CI117:CI124)</f>
        <v>1165.9999999999998</v>
      </c>
      <c r="CJ125" s="51"/>
      <c r="CK125" s="51"/>
      <c r="CL125" s="51"/>
      <c r="CP125" s="51"/>
      <c r="CQ125" s="51"/>
      <c r="CR125" s="51"/>
      <c r="CS125" s="51"/>
      <c r="CT125" s="51"/>
      <c r="CU125" s="51"/>
      <c r="CV125" s="51"/>
      <c r="CW125" s="51">
        <v>7295.6</v>
      </c>
      <c r="CX125" s="51">
        <v>4335.5</v>
      </c>
      <c r="CY125" s="51">
        <v>6856.8</v>
      </c>
      <c r="CZ125" s="51"/>
      <c r="DA125" s="51"/>
      <c r="DB125" s="51"/>
      <c r="DC125" s="51"/>
      <c r="DD125" s="51"/>
      <c r="DE125" s="51"/>
      <c r="DF125" s="51"/>
    </row>
    <row r="126" spans="2:110" x14ac:dyDescent="0.15">
      <c r="BW126" s="51"/>
    </row>
    <row r="127" spans="2:110" x14ac:dyDescent="0.15">
      <c r="B127" s="50" t="s">
        <v>395</v>
      </c>
      <c r="BW127" s="51">
        <v>-300.3</v>
      </c>
      <c r="CA127" s="51">
        <v>-365.4</v>
      </c>
      <c r="CE127" s="51">
        <v>-668.5</v>
      </c>
      <c r="CF127" s="51">
        <f>-1406.7-CE127</f>
        <v>-738.2</v>
      </c>
      <c r="CG127" s="51"/>
      <c r="CH127" s="51"/>
      <c r="CI127" s="51">
        <v>-986.3</v>
      </c>
    </row>
    <row r="128" spans="2:110" x14ac:dyDescent="0.15">
      <c r="B128" s="50" t="s">
        <v>392</v>
      </c>
      <c r="BW128" s="51">
        <f>4-19.4+284.8-291.5</f>
        <v>-22.099999999999966</v>
      </c>
      <c r="CA128" s="51">
        <f>26.7-14.6+81.4-116.7</f>
        <v>-23.200000000000003</v>
      </c>
      <c r="CE128" s="51">
        <f>61.5-23+281.9-146</f>
        <v>174.39999999999998</v>
      </c>
      <c r="CF128" s="51">
        <f>109.6-59.8+388.4-343.4-CE128</f>
        <v>-79.599999999999966</v>
      </c>
      <c r="CG128" s="51"/>
      <c r="CH128" s="51"/>
      <c r="CI128" s="51">
        <f>41.4-24.4+70.5-117.1</f>
        <v>-29.599999999999994</v>
      </c>
    </row>
    <row r="129" spans="2:87" x14ac:dyDescent="0.15">
      <c r="B129" s="50" t="s">
        <v>396</v>
      </c>
      <c r="BW129" s="51">
        <f>-747.4-191.8</f>
        <v>-939.2</v>
      </c>
      <c r="CA129" s="51">
        <v>-491.8</v>
      </c>
      <c r="CE129" s="51">
        <v>-235</v>
      </c>
      <c r="CF129" s="51">
        <f>-333.1-CE129</f>
        <v>-98.100000000000023</v>
      </c>
      <c r="CG129" s="51"/>
      <c r="CH129" s="51"/>
      <c r="CI129" s="51">
        <v>-96.5</v>
      </c>
    </row>
    <row r="130" spans="2:87" x14ac:dyDescent="0.15">
      <c r="B130" s="50" t="s">
        <v>78</v>
      </c>
      <c r="BW130" s="51">
        <v>-21.9</v>
      </c>
      <c r="CA130" s="51">
        <v>-133.4</v>
      </c>
      <c r="CE130" s="51">
        <v>40.299999999999997</v>
      </c>
      <c r="CF130" s="51">
        <f>497.1-CE130</f>
        <v>456.8</v>
      </c>
      <c r="CG130" s="51"/>
      <c r="CH130" s="51"/>
      <c r="CI130" s="51">
        <v>-65.2</v>
      </c>
    </row>
    <row r="131" spans="2:87" x14ac:dyDescent="0.15">
      <c r="B131" s="50" t="s">
        <v>397</v>
      </c>
      <c r="BW131" s="51">
        <f>SUM(BW127:BW130)</f>
        <v>-1283.5</v>
      </c>
      <c r="CA131" s="51">
        <f>SUM(CA127:CA130)</f>
        <v>-1013.8</v>
      </c>
      <c r="CE131" s="51">
        <f>SUM(CE127:CE130)</f>
        <v>-688.80000000000007</v>
      </c>
      <c r="CF131" s="51">
        <f>SUM(CF127:CF130)</f>
        <v>-459.09999999999997</v>
      </c>
      <c r="CG131" s="51"/>
      <c r="CH131" s="51"/>
      <c r="CI131" s="51">
        <f>SUM(CI127:CI130)</f>
        <v>-1177.6000000000001</v>
      </c>
    </row>
    <row r="132" spans="2:87" x14ac:dyDescent="0.15">
      <c r="BW132" s="51"/>
    </row>
    <row r="133" spans="2:87" x14ac:dyDescent="0.15">
      <c r="B133" s="50" t="s">
        <v>297</v>
      </c>
      <c r="BW133" s="51">
        <v>-774.8</v>
      </c>
      <c r="CA133" s="51">
        <v>-885.5</v>
      </c>
      <c r="CE133" s="51">
        <v>-1017.2</v>
      </c>
      <c r="CF133" s="51">
        <f>-2035-CE133</f>
        <v>-1017.8</v>
      </c>
      <c r="CI133" s="51">
        <v>-1169.2</v>
      </c>
    </row>
    <row r="134" spans="2:87" x14ac:dyDescent="0.15">
      <c r="B134" s="50" t="s">
        <v>400</v>
      </c>
      <c r="BW134" s="51">
        <v>-3.7</v>
      </c>
      <c r="CA134" s="52">
        <f>499.7-710.1</f>
        <v>-210.40000000000003</v>
      </c>
      <c r="CE134" s="51">
        <f>-1498+3958.5</f>
        <v>2460.5</v>
      </c>
      <c r="CF134" s="51">
        <f>-1498-CE134+3958.5</f>
        <v>0</v>
      </c>
      <c r="CI134" s="51">
        <v>-5204.8</v>
      </c>
    </row>
    <row r="135" spans="2:87" x14ac:dyDescent="0.15">
      <c r="B135" s="38" t="s">
        <v>399</v>
      </c>
      <c r="BW135" s="51">
        <v>0</v>
      </c>
      <c r="CA135" s="51">
        <v>-1500</v>
      </c>
      <c r="CE135" s="51">
        <v>-750</v>
      </c>
      <c r="CF135" s="51">
        <f>-750-CE135</f>
        <v>0</v>
      </c>
      <c r="CI135" s="51">
        <v>6452.5</v>
      </c>
    </row>
    <row r="136" spans="2:87" x14ac:dyDescent="0.15">
      <c r="B136" s="38" t="s">
        <v>78</v>
      </c>
      <c r="BW136" s="51">
        <v>-279.89999999999998</v>
      </c>
      <c r="CA136" s="51">
        <v>-282.39999999999998</v>
      </c>
      <c r="CE136" s="51">
        <v>-281</v>
      </c>
      <c r="CF136" s="102">
        <f>-296.6-CE136</f>
        <v>-15.600000000000023</v>
      </c>
      <c r="CI136" s="51">
        <v>-389.8</v>
      </c>
    </row>
    <row r="137" spans="2:87" x14ac:dyDescent="0.15">
      <c r="B137" s="38" t="s">
        <v>398</v>
      </c>
      <c r="BW137" s="51">
        <f>SUM(BW133:BW136)</f>
        <v>-1058.4000000000001</v>
      </c>
      <c r="CA137" s="51">
        <f>SUM(CA133:CA136)</f>
        <v>-2878.3</v>
      </c>
      <c r="CE137" s="51">
        <f>SUM(CE133:CE136)</f>
        <v>412.29999999999995</v>
      </c>
      <c r="CF137" s="51">
        <f>SUM(CF133:CF136)</f>
        <v>-1033.4000000000001</v>
      </c>
      <c r="CI137" s="51">
        <f>SUM(CI133:CI136)</f>
        <v>-311.3</v>
      </c>
    </row>
    <row r="139" spans="2:87" x14ac:dyDescent="0.15">
      <c r="B139" s="38" t="s">
        <v>401</v>
      </c>
      <c r="BW139" s="51">
        <v>-10.199999999999999</v>
      </c>
      <c r="CA139" s="51">
        <v>33.6</v>
      </c>
      <c r="CE139" s="51">
        <v>24.8</v>
      </c>
      <c r="CF139" s="51">
        <f>34-CE139</f>
        <v>9.1999999999999993</v>
      </c>
      <c r="CI139" s="51">
        <v>-35.5</v>
      </c>
    </row>
    <row r="140" spans="2:87" x14ac:dyDescent="0.15">
      <c r="B140" s="38" t="s">
        <v>402</v>
      </c>
      <c r="BW140" s="51">
        <f>+BW139+BW137+BW131+BW125</f>
        <v>-654.7000000000005</v>
      </c>
      <c r="CA140" s="51">
        <f>+CA139+CA137+CA131+CA125</f>
        <v>-1359.3000000000002</v>
      </c>
      <c r="CE140" s="51">
        <f>+CE125+CE131+CE137+CE139</f>
        <v>1478.9</v>
      </c>
      <c r="CF140" s="51">
        <f>+CF125+CF131+CF137+CF139</f>
        <v>-851.40000000000009</v>
      </c>
      <c r="CI140" s="51">
        <f>+CI125+CI131+CI137+CI139</f>
        <v>-358.40000000000038</v>
      </c>
    </row>
    <row r="142" spans="2:87" x14ac:dyDescent="0.15">
      <c r="B142" t="s">
        <v>496</v>
      </c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A0E9-541B-3548-94E2-8624993FA62F}">
  <dimension ref="A1:FM49"/>
  <sheetViews>
    <sheetView zoomScale="180" zoomScaleNormal="18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3" x14ac:dyDescent="0.15"/>
  <cols>
    <col min="1" max="1" width="4.83203125" bestFit="1" customWidth="1"/>
    <col min="7" max="13" width="6.83203125" style="47" customWidth="1"/>
    <col min="14" max="42" width="5.33203125" customWidth="1"/>
    <col min="43" max="50" width="5.5" customWidth="1"/>
    <col min="52" max="71" width="7.5" customWidth="1"/>
    <col min="72" max="75" width="6.83203125" customWidth="1"/>
    <col min="76" max="118" width="6" customWidth="1"/>
  </cols>
  <sheetData>
    <row r="1" spans="1:169" x14ac:dyDescent="0.15">
      <c r="A1" s="13" t="s">
        <v>6</v>
      </c>
    </row>
    <row r="2" spans="1:169" x14ac:dyDescent="0.15">
      <c r="B2" s="38" t="s">
        <v>403</v>
      </c>
      <c r="C2" s="38" t="s">
        <v>404</v>
      </c>
      <c r="D2" s="38" t="s">
        <v>581</v>
      </c>
      <c r="E2" s="38" t="s">
        <v>582</v>
      </c>
      <c r="F2" s="38" t="s">
        <v>51</v>
      </c>
      <c r="G2" s="48" t="s">
        <v>645</v>
      </c>
      <c r="H2" s="48" t="s">
        <v>646</v>
      </c>
      <c r="I2" s="48" t="s">
        <v>647</v>
      </c>
      <c r="J2" s="48" t="s">
        <v>648</v>
      </c>
      <c r="K2" s="48" t="s">
        <v>650</v>
      </c>
      <c r="L2" s="48" t="s">
        <v>651</v>
      </c>
      <c r="M2" s="48"/>
      <c r="N2" s="48" t="s">
        <v>608</v>
      </c>
      <c r="O2" s="48" t="s">
        <v>609</v>
      </c>
      <c r="P2" s="48" t="s">
        <v>610</v>
      </c>
      <c r="Q2" s="48" t="s">
        <v>611</v>
      </c>
      <c r="R2" s="48" t="s">
        <v>612</v>
      </c>
      <c r="S2" s="48" t="s">
        <v>613</v>
      </c>
      <c r="T2" s="48" t="s">
        <v>614</v>
      </c>
      <c r="U2" s="48" t="s">
        <v>615</v>
      </c>
      <c r="V2" s="48" t="s">
        <v>616</v>
      </c>
      <c r="W2" s="48" t="s">
        <v>617</v>
      </c>
      <c r="X2" s="48" t="s">
        <v>618</v>
      </c>
      <c r="Y2" s="48" t="s">
        <v>619</v>
      </c>
      <c r="Z2" s="48" t="s">
        <v>620</v>
      </c>
      <c r="AA2" s="48" t="s">
        <v>621</v>
      </c>
      <c r="AB2" s="48" t="s">
        <v>622</v>
      </c>
      <c r="AC2" s="48" t="s">
        <v>623</v>
      </c>
      <c r="AD2" s="48" t="s">
        <v>624</v>
      </c>
      <c r="AE2" s="48" t="s">
        <v>625</v>
      </c>
      <c r="AF2" s="48" t="s">
        <v>626</v>
      </c>
      <c r="AG2" s="48" t="s">
        <v>627</v>
      </c>
      <c r="AH2" s="48" t="s">
        <v>628</v>
      </c>
      <c r="AI2" s="48" t="s">
        <v>629</v>
      </c>
      <c r="AJ2" s="48" t="s">
        <v>630</v>
      </c>
      <c r="AK2" s="48" t="s">
        <v>631</v>
      </c>
      <c r="AL2" s="48" t="s">
        <v>632</v>
      </c>
      <c r="AM2" s="48" t="s">
        <v>633</v>
      </c>
      <c r="AN2" s="48" t="s">
        <v>634</v>
      </c>
      <c r="AO2" s="48" t="s">
        <v>635</v>
      </c>
      <c r="AP2" s="48" t="s">
        <v>636</v>
      </c>
      <c r="AQ2" s="48" t="s">
        <v>637</v>
      </c>
      <c r="AR2" s="48" t="s">
        <v>638</v>
      </c>
      <c r="AS2" s="48" t="s">
        <v>639</v>
      </c>
      <c r="AT2" s="48" t="s">
        <v>640</v>
      </c>
      <c r="AU2" s="48" t="s">
        <v>641</v>
      </c>
      <c r="AV2" s="48" t="s">
        <v>642</v>
      </c>
      <c r="AW2" s="48" t="s">
        <v>643</v>
      </c>
      <c r="AX2" s="48" t="s">
        <v>644</v>
      </c>
      <c r="AZ2" s="48" t="s">
        <v>707</v>
      </c>
      <c r="BA2" s="48" t="s">
        <v>708</v>
      </c>
      <c r="BB2" s="48" t="s">
        <v>709</v>
      </c>
      <c r="BC2" s="48" t="s">
        <v>710</v>
      </c>
      <c r="BD2" s="48" t="s">
        <v>703</v>
      </c>
      <c r="BE2" s="48" t="s">
        <v>704</v>
      </c>
      <c r="BF2" s="48" t="s">
        <v>705</v>
      </c>
      <c r="BG2" s="48" t="s">
        <v>706</v>
      </c>
      <c r="BH2" s="48" t="s">
        <v>702</v>
      </c>
      <c r="BI2" s="48" t="s">
        <v>701</v>
      </c>
      <c r="BJ2" s="48" t="s">
        <v>700</v>
      </c>
      <c r="BK2" s="48" t="s">
        <v>699</v>
      </c>
      <c r="BL2" s="48" t="s">
        <v>698</v>
      </c>
      <c r="BM2" s="48" t="s">
        <v>697</v>
      </c>
      <c r="BN2" s="48" t="s">
        <v>696</v>
      </c>
      <c r="BO2" s="48" t="s">
        <v>695</v>
      </c>
      <c r="BP2" s="48" t="s">
        <v>519</v>
      </c>
      <c r="BQ2" s="48" t="s">
        <v>518</v>
      </c>
      <c r="BR2" s="48" t="s">
        <v>517</v>
      </c>
      <c r="BS2" s="48" t="s">
        <v>516</v>
      </c>
      <c r="BT2" s="48" t="s">
        <v>385</v>
      </c>
      <c r="BU2" s="48" t="s">
        <v>384</v>
      </c>
      <c r="BV2" s="48" t="s">
        <v>383</v>
      </c>
      <c r="BW2" s="48" t="s">
        <v>382</v>
      </c>
      <c r="BX2" s="48" t="s">
        <v>365</v>
      </c>
      <c r="BY2" s="48" t="s">
        <v>364</v>
      </c>
      <c r="BZ2" s="48" t="s">
        <v>363</v>
      </c>
      <c r="CA2" s="48" t="s">
        <v>331</v>
      </c>
      <c r="CB2" s="48" t="s">
        <v>362</v>
      </c>
      <c r="CC2" s="48" t="s">
        <v>361</v>
      </c>
      <c r="CD2" s="48" t="s">
        <v>360</v>
      </c>
      <c r="CE2" s="48" t="s">
        <v>359</v>
      </c>
      <c r="CF2" s="48" t="s">
        <v>358</v>
      </c>
      <c r="CG2" s="48" t="s">
        <v>357</v>
      </c>
      <c r="CH2" s="48" t="s">
        <v>356</v>
      </c>
      <c r="CI2" s="48" t="s">
        <v>355</v>
      </c>
      <c r="CJ2" s="48" t="s">
        <v>354</v>
      </c>
      <c r="CK2" s="48" t="s">
        <v>353</v>
      </c>
      <c r="CL2" s="48" t="s">
        <v>352</v>
      </c>
      <c r="CM2" s="48" t="s">
        <v>351</v>
      </c>
      <c r="CN2" s="48" t="s">
        <v>350</v>
      </c>
      <c r="CO2" s="48" t="s">
        <v>349</v>
      </c>
      <c r="CP2" s="48" t="s">
        <v>348</v>
      </c>
      <c r="CQ2" s="48" t="s">
        <v>347</v>
      </c>
      <c r="CR2" s="48" t="s">
        <v>346</v>
      </c>
      <c r="CS2" s="48" t="s">
        <v>345</v>
      </c>
      <c r="CT2" s="48" t="s">
        <v>344</v>
      </c>
      <c r="CU2" s="48" t="s">
        <v>343</v>
      </c>
      <c r="CV2" s="48" t="s">
        <v>342</v>
      </c>
      <c r="CW2" s="48" t="s">
        <v>341</v>
      </c>
      <c r="CX2" s="48" t="s">
        <v>340</v>
      </c>
      <c r="CY2" s="48" t="s">
        <v>339</v>
      </c>
      <c r="CZ2" s="48" t="s">
        <v>338</v>
      </c>
      <c r="DA2" s="48" t="s">
        <v>337</v>
      </c>
      <c r="DB2" s="48" t="s">
        <v>336</v>
      </c>
      <c r="DC2" s="48" t="s">
        <v>335</v>
      </c>
      <c r="DD2" s="48" t="s">
        <v>334</v>
      </c>
      <c r="DE2" s="48" t="s">
        <v>333</v>
      </c>
      <c r="DF2" s="48" t="s">
        <v>330</v>
      </c>
      <c r="DG2" s="48" t="s">
        <v>332</v>
      </c>
      <c r="DH2" s="48" t="s">
        <v>321</v>
      </c>
      <c r="DI2" s="48" t="s">
        <v>320</v>
      </c>
      <c r="DJ2" s="48" t="s">
        <v>319</v>
      </c>
      <c r="DK2" s="48" t="s">
        <v>318</v>
      </c>
      <c r="DL2" s="48" t="s">
        <v>317</v>
      </c>
      <c r="DM2" s="48" t="s">
        <v>316</v>
      </c>
      <c r="DN2" s="48" t="s">
        <v>315</v>
      </c>
      <c r="DO2" s="48" t="s">
        <v>314</v>
      </c>
      <c r="DP2" s="48" t="s">
        <v>273</v>
      </c>
      <c r="DQ2" s="48" t="s">
        <v>272</v>
      </c>
      <c r="DR2" s="48" t="s">
        <v>271</v>
      </c>
      <c r="DS2" s="48" t="s">
        <v>270</v>
      </c>
      <c r="DT2" s="48" t="s">
        <v>260</v>
      </c>
      <c r="DU2" s="48" t="s">
        <v>259</v>
      </c>
      <c r="DV2" s="48" t="s">
        <v>258</v>
      </c>
      <c r="DW2" s="48" t="s">
        <v>257</v>
      </c>
      <c r="DX2" s="48" t="s">
        <v>247</v>
      </c>
      <c r="DY2" s="48" t="s">
        <v>246</v>
      </c>
      <c r="DZ2" s="48" t="s">
        <v>245</v>
      </c>
      <c r="EA2" s="48" t="s">
        <v>244</v>
      </c>
      <c r="EB2" s="48" t="s">
        <v>200</v>
      </c>
      <c r="EC2" s="48" t="s">
        <v>199</v>
      </c>
      <c r="ED2" s="48" t="s">
        <v>198</v>
      </c>
      <c r="EE2" s="48" t="s">
        <v>197</v>
      </c>
      <c r="EF2" s="48" t="s">
        <v>186</v>
      </c>
      <c r="EG2" s="48" t="s">
        <v>185</v>
      </c>
      <c r="EH2" s="48" t="s">
        <v>163</v>
      </c>
      <c r="EI2" s="48" t="s">
        <v>128</v>
      </c>
      <c r="EJ2" s="48" t="s">
        <v>98</v>
      </c>
      <c r="EK2" s="48" t="s">
        <v>96</v>
      </c>
      <c r="EL2" s="48" t="s">
        <v>97</v>
      </c>
      <c r="EM2" s="48" t="s">
        <v>100</v>
      </c>
      <c r="EN2" s="48" t="s">
        <v>99</v>
      </c>
      <c r="EO2" s="48" t="s">
        <v>124</v>
      </c>
      <c r="EP2" s="48" t="s">
        <v>125</v>
      </c>
      <c r="EQ2" s="48" t="s">
        <v>126</v>
      </c>
      <c r="ER2" s="48" t="s">
        <v>127</v>
      </c>
      <c r="ES2" s="48" t="s">
        <v>201</v>
      </c>
      <c r="ET2" s="48" t="s">
        <v>202</v>
      </c>
      <c r="EU2" s="48" t="s">
        <v>203</v>
      </c>
      <c r="EV2" s="48" t="s">
        <v>512</v>
      </c>
      <c r="EW2" s="48" t="s">
        <v>513</v>
      </c>
      <c r="EX2" s="48" t="s">
        <v>514</v>
      </c>
      <c r="EY2" s="48" t="s">
        <v>515</v>
      </c>
      <c r="EZ2" s="48" t="s">
        <v>653</v>
      </c>
      <c r="FA2" s="48" t="s">
        <v>654</v>
      </c>
      <c r="FB2" s="48" t="s">
        <v>655</v>
      </c>
      <c r="FC2" s="48" t="s">
        <v>656</v>
      </c>
      <c r="FD2" s="48" t="s">
        <v>657</v>
      </c>
      <c r="FE2" s="48" t="s">
        <v>658</v>
      </c>
      <c r="FF2" s="48" t="s">
        <v>659</v>
      </c>
      <c r="FG2" s="48" t="s">
        <v>660</v>
      </c>
      <c r="FH2" s="48" t="s">
        <v>661</v>
      </c>
      <c r="FI2" s="48" t="s">
        <v>662</v>
      </c>
      <c r="FJ2" s="48" t="s">
        <v>663</v>
      </c>
      <c r="FK2" s="48" t="s">
        <v>652</v>
      </c>
      <c r="FL2" s="48" t="s">
        <v>664</v>
      </c>
      <c r="FM2" s="48" t="s">
        <v>665</v>
      </c>
    </row>
    <row r="3" spans="1:169" s="55" customFormat="1" x14ac:dyDescent="0.15">
      <c r="B3" s="55" t="s">
        <v>649</v>
      </c>
      <c r="G3" s="56">
        <f t="shared" ref="G3:L3" si="0">AVERAGE(G4:G32)</f>
        <v>704.97380952380956</v>
      </c>
      <c r="H3" s="56">
        <f t="shared" si="0"/>
        <v>1968.409523809524</v>
      </c>
      <c r="I3" s="56">
        <f t="shared" si="0"/>
        <v>4689.7314285714292</v>
      </c>
      <c r="J3" s="56">
        <f t="shared" si="0"/>
        <v>3898.2428571428568</v>
      </c>
      <c r="K3" s="56">
        <f t="shared" si="0"/>
        <v>3212.1085714285718</v>
      </c>
      <c r="L3" s="56">
        <f t="shared" si="0"/>
        <v>4214.9800000000005</v>
      </c>
      <c r="M3" s="56"/>
      <c r="N3" s="56">
        <f>SUM(N4:N36)</f>
        <v>479.71428571428572</v>
      </c>
      <c r="O3" s="56">
        <f t="shared" ref="O3:AX3" si="1">SUM(O4:O36)</f>
        <v>856.11428571428564</v>
      </c>
      <c r="P3" s="56">
        <f t="shared" si="1"/>
        <v>1362.5857142857144</v>
      </c>
      <c r="Q3" s="56">
        <f t="shared" si="1"/>
        <v>2256</v>
      </c>
      <c r="R3" s="56">
        <f t="shared" si="1"/>
        <v>2773.7714285714287</v>
      </c>
      <c r="S3" s="56">
        <f t="shared" si="1"/>
        <v>3250.042857142857</v>
      </c>
      <c r="T3" s="56">
        <f t="shared" si="1"/>
        <v>4023.4714285714285</v>
      </c>
      <c r="U3" s="56">
        <f t="shared" si="1"/>
        <v>2149.457142857143</v>
      </c>
      <c r="V3" s="56">
        <f t="shared" si="1"/>
        <v>2837.1428571428569</v>
      </c>
      <c r="W3" s="56">
        <f t="shared" si="1"/>
        <v>3600.7571428571432</v>
      </c>
      <c r="X3" s="56">
        <f t="shared" si="1"/>
        <v>4084.3428571428572</v>
      </c>
      <c r="Y3" s="56">
        <f t="shared" si="1"/>
        <v>4382.4142857142861</v>
      </c>
      <c r="Z3" s="56">
        <f t="shared" si="1"/>
        <v>5790.5714285714284</v>
      </c>
      <c r="AA3" s="56">
        <f t="shared" si="1"/>
        <v>7420.1571428571424</v>
      </c>
      <c r="AB3" s="56">
        <f t="shared" si="1"/>
        <v>8099.6571428571433</v>
      </c>
      <c r="AC3" s="56">
        <f t="shared" si="1"/>
        <v>7993.4857142857136</v>
      </c>
      <c r="AD3" s="56">
        <f t="shared" si="1"/>
        <v>9046.6999999999989</v>
      </c>
      <c r="AE3" s="56">
        <f t="shared" si="1"/>
        <v>10903.414285714287</v>
      </c>
      <c r="AF3" s="56">
        <f t="shared" si="1"/>
        <v>3834.2142857142858</v>
      </c>
      <c r="AG3" s="56">
        <f t="shared" si="1"/>
        <v>4168.7857142857138</v>
      </c>
      <c r="AH3" s="56">
        <f t="shared" si="1"/>
        <v>4624.1000000000004</v>
      </c>
      <c r="AI3" s="56">
        <f t="shared" si="1"/>
        <v>5524.4</v>
      </c>
      <c r="AJ3" s="56">
        <f t="shared" si="1"/>
        <v>5524.8</v>
      </c>
      <c r="AK3" s="56">
        <f t="shared" si="1"/>
        <v>5401.6</v>
      </c>
      <c r="AL3" s="56">
        <f t="shared" si="1"/>
        <v>1502.4</v>
      </c>
      <c r="AM3" s="56">
        <f t="shared" si="1"/>
        <v>1452.4</v>
      </c>
      <c r="AN3" s="56">
        <f t="shared" si="1"/>
        <v>1535.6</v>
      </c>
      <c r="AO3" s="56">
        <f t="shared" si="1"/>
        <v>1600.1</v>
      </c>
      <c r="AP3" s="56">
        <f t="shared" si="1"/>
        <v>1883.7</v>
      </c>
      <c r="AQ3" s="56">
        <f t="shared" si="1"/>
        <v>1741.3</v>
      </c>
      <c r="AR3" s="56">
        <f t="shared" si="1"/>
        <v>1911.9</v>
      </c>
      <c r="AS3" s="56">
        <f t="shared" si="1"/>
        <v>1850.4</v>
      </c>
      <c r="AT3" s="56">
        <f t="shared" si="1"/>
        <v>1936.2</v>
      </c>
      <c r="AU3" s="56">
        <f t="shared" si="1"/>
        <v>1977.1</v>
      </c>
      <c r="AV3" s="56">
        <f t="shared" si="1"/>
        <v>1812.5</v>
      </c>
      <c r="AW3" s="56">
        <f t="shared" si="1"/>
        <v>1673.6</v>
      </c>
      <c r="AX3" s="56">
        <f t="shared" si="1"/>
        <v>0</v>
      </c>
      <c r="AZ3" s="56">
        <f t="shared" ref="AZ3:BT3" si="2">SUM(AZ4:AZ15)</f>
        <v>19189.985714285714</v>
      </c>
      <c r="BA3" s="56">
        <f t="shared" si="2"/>
        <v>18689.985714285714</v>
      </c>
      <c r="BB3" s="56">
        <f t="shared" si="2"/>
        <v>18189.985714285714</v>
      </c>
      <c r="BC3" s="56">
        <f t="shared" si="2"/>
        <v>17689.985714285714</v>
      </c>
      <c r="BD3" s="56">
        <f t="shared" si="2"/>
        <v>17189.985714285714</v>
      </c>
      <c r="BE3" s="56">
        <f t="shared" si="2"/>
        <v>16689.985714285714</v>
      </c>
      <c r="BF3" s="56">
        <f t="shared" si="2"/>
        <v>16189.985714285714</v>
      </c>
      <c r="BG3" s="56">
        <f t="shared" si="2"/>
        <v>15689.985714285714</v>
      </c>
      <c r="BH3" s="56">
        <f t="shared" si="2"/>
        <v>15189.985714285714</v>
      </c>
      <c r="BI3" s="56">
        <f t="shared" si="2"/>
        <v>14689.985714285714</v>
      </c>
      <c r="BJ3" s="56">
        <f t="shared" si="2"/>
        <v>14189.985714285714</v>
      </c>
      <c r="BK3" s="56">
        <f t="shared" si="2"/>
        <v>13689.985714285714</v>
      </c>
      <c r="BL3" s="56">
        <f t="shared" si="2"/>
        <v>13189.985714285714</v>
      </c>
      <c r="BM3" s="56">
        <f t="shared" si="2"/>
        <v>12689.985714285714</v>
      </c>
      <c r="BN3" s="56">
        <f t="shared" si="2"/>
        <v>12189.985714285714</v>
      </c>
      <c r="BO3" s="56">
        <f t="shared" si="2"/>
        <v>11689.985714285714</v>
      </c>
      <c r="BP3" s="56">
        <f t="shared" si="2"/>
        <v>11189.985714285714</v>
      </c>
      <c r="BQ3" s="56">
        <f t="shared" si="2"/>
        <v>10539.985714285714</v>
      </c>
      <c r="BR3" s="56">
        <f t="shared" si="2"/>
        <v>10089.985714285714</v>
      </c>
      <c r="BS3" s="56">
        <f t="shared" si="2"/>
        <v>9639.9857142857145</v>
      </c>
      <c r="BT3" s="56">
        <f t="shared" si="2"/>
        <v>9189.9857142857145</v>
      </c>
      <c r="BU3" s="56">
        <f t="shared" ref="BU3:DH3" si="3">SUM(BU4:BU15)</f>
        <v>7141.1857142857152</v>
      </c>
      <c r="BV3" s="56">
        <f t="shared" si="3"/>
        <v>6519.1999999999989</v>
      </c>
      <c r="BW3" s="56">
        <f t="shared" si="3"/>
        <v>5973.6</v>
      </c>
      <c r="BX3" s="56">
        <f t="shared" si="3"/>
        <v>5219.5428571428574</v>
      </c>
      <c r="BY3" s="56">
        <f t="shared" si="3"/>
        <v>4809.2714285714292</v>
      </c>
      <c r="BZ3" s="56">
        <f t="shared" si="3"/>
        <v>4288.0428571428574</v>
      </c>
      <c r="CA3" s="56">
        <f t="shared" si="3"/>
        <v>3755.2999999999997</v>
      </c>
      <c r="CB3" s="56">
        <f t="shared" si="3"/>
        <v>3674.9857142857145</v>
      </c>
      <c r="CC3" s="56">
        <f t="shared" si="3"/>
        <v>3061.9571428571426</v>
      </c>
      <c r="CD3" s="56">
        <f t="shared" si="3"/>
        <v>2732.7428571428572</v>
      </c>
      <c r="CE3" s="56">
        <f t="shared" si="3"/>
        <v>2508.2571428571432</v>
      </c>
      <c r="CF3" s="56">
        <f t="shared" si="3"/>
        <v>2505.6857142857143</v>
      </c>
      <c r="CG3" s="56">
        <f t="shared" si="3"/>
        <v>1947.4571428571428</v>
      </c>
      <c r="CH3" s="56">
        <f t="shared" si="3"/>
        <v>1971.3714285714286</v>
      </c>
      <c r="CI3" s="56">
        <f t="shared" si="3"/>
        <v>1941.4</v>
      </c>
      <c r="CJ3" s="56">
        <f t="shared" si="3"/>
        <v>1838.8142857142855</v>
      </c>
      <c r="CK3" s="56">
        <f t="shared" si="3"/>
        <v>1457.5</v>
      </c>
      <c r="CL3" s="56">
        <f t="shared" si="3"/>
        <v>1360.6428571428571</v>
      </c>
      <c r="CM3" s="56">
        <f t="shared" si="3"/>
        <v>1083.2714285714287</v>
      </c>
      <c r="CN3" s="56">
        <f t="shared" si="3"/>
        <v>1066.4142857142858</v>
      </c>
      <c r="CO3" s="56">
        <f t="shared" si="3"/>
        <v>893.34285714285716</v>
      </c>
      <c r="CP3" s="56">
        <f t="shared" si="3"/>
        <v>779.8</v>
      </c>
      <c r="CQ3" s="56">
        <f t="shared" si="3"/>
        <v>678.3</v>
      </c>
      <c r="CR3" s="56">
        <f t="shared" si="3"/>
        <v>649</v>
      </c>
      <c r="CS3" s="56">
        <f t="shared" si="3"/>
        <v>527.70000000000005</v>
      </c>
      <c r="CT3" s="56">
        <f t="shared" si="3"/>
        <v>480.2</v>
      </c>
      <c r="CU3" s="56">
        <f t="shared" si="3"/>
        <v>372.9</v>
      </c>
      <c r="CV3" s="56">
        <f t="shared" si="3"/>
        <v>337</v>
      </c>
      <c r="CW3" s="56">
        <f t="shared" si="3"/>
        <v>243.6</v>
      </c>
      <c r="CX3" s="56">
        <f t="shared" si="3"/>
        <v>201.3</v>
      </c>
      <c r="CY3" s="56">
        <f t="shared" si="3"/>
        <v>143.6</v>
      </c>
      <c r="CZ3" s="56">
        <f t="shared" si="3"/>
        <v>112.5</v>
      </c>
      <c r="DA3" s="56">
        <f t="shared" si="3"/>
        <v>73.7</v>
      </c>
      <c r="DB3" s="56">
        <f t="shared" si="3"/>
        <v>44.3</v>
      </c>
      <c r="DC3" s="56">
        <f t="shared" si="3"/>
        <v>18.3</v>
      </c>
      <c r="DD3" s="56">
        <f t="shared" si="3"/>
        <v>10.199999999999999</v>
      </c>
      <c r="DE3" s="56">
        <f t="shared" si="3"/>
        <v>0</v>
      </c>
      <c r="DF3" s="56">
        <f t="shared" si="3"/>
        <v>0</v>
      </c>
      <c r="DG3" s="56">
        <f t="shared" si="3"/>
        <v>0</v>
      </c>
      <c r="DH3" s="56">
        <f t="shared" si="3"/>
        <v>0</v>
      </c>
    </row>
    <row r="4" spans="1:169" x14ac:dyDescent="0.15">
      <c r="B4" s="38"/>
      <c r="C4" s="38"/>
      <c r="D4" s="38"/>
      <c r="E4" s="38"/>
      <c r="F4" s="3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169" x14ac:dyDescent="0.15">
      <c r="B5" s="38" t="s">
        <v>70</v>
      </c>
      <c r="C5" s="38" t="s">
        <v>221</v>
      </c>
      <c r="D5" s="83">
        <v>38470</v>
      </c>
      <c r="E5" s="38" t="s">
        <v>585</v>
      </c>
    </row>
    <row r="6" spans="1:169" x14ac:dyDescent="0.15">
      <c r="B6" s="38" t="s">
        <v>573</v>
      </c>
      <c r="C6" s="38" t="s">
        <v>580</v>
      </c>
      <c r="D6" s="83">
        <v>40203</v>
      </c>
      <c r="E6" s="38" t="s">
        <v>587</v>
      </c>
    </row>
    <row r="7" spans="1:169" x14ac:dyDescent="0.15">
      <c r="B7" s="38" t="s">
        <v>577</v>
      </c>
      <c r="C7" s="38" t="s">
        <v>221</v>
      </c>
      <c r="D7" s="83">
        <v>40935</v>
      </c>
      <c r="E7" s="38" t="s">
        <v>585</v>
      </c>
    </row>
    <row r="8" spans="1:169" x14ac:dyDescent="0.15">
      <c r="B8" s="38" t="s">
        <v>366</v>
      </c>
      <c r="C8" s="38" t="s">
        <v>464</v>
      </c>
      <c r="D8" s="83">
        <v>41900</v>
      </c>
      <c r="E8" s="38" t="s">
        <v>586</v>
      </c>
      <c r="G8" s="51">
        <f>SUM(N8:Q8)</f>
        <v>146.5</v>
      </c>
      <c r="H8" s="51">
        <f>SUM(R8:U8)</f>
        <v>701</v>
      </c>
      <c r="I8" s="51">
        <f>SUM(V8:Y8)</f>
        <v>1717.8</v>
      </c>
      <c r="J8" s="51">
        <f>SUM(Z8:AC8)</f>
        <v>2923.3</v>
      </c>
      <c r="K8" s="51">
        <f>SUM(AD8:AG8)</f>
        <v>3844.4</v>
      </c>
      <c r="L8" s="51">
        <f>SUM(AH8:AK8)</f>
        <v>4773.8999999999996</v>
      </c>
      <c r="M8" s="51"/>
      <c r="N8" s="49">
        <v>10.199999999999999</v>
      </c>
      <c r="O8" s="49">
        <v>18.3</v>
      </c>
      <c r="P8" s="49">
        <v>44.3</v>
      </c>
      <c r="Q8" s="49">
        <v>73.7</v>
      </c>
      <c r="R8" s="49">
        <v>112.5</v>
      </c>
      <c r="S8" s="49">
        <v>143.6</v>
      </c>
      <c r="T8" s="49">
        <v>201.3</v>
      </c>
      <c r="U8" s="49">
        <v>243.6</v>
      </c>
      <c r="V8" s="49">
        <v>337</v>
      </c>
      <c r="W8" s="49">
        <v>372.9</v>
      </c>
      <c r="X8" s="49">
        <v>480.2</v>
      </c>
      <c r="Y8" s="49">
        <v>527.70000000000005</v>
      </c>
      <c r="Z8" s="49">
        <v>649</v>
      </c>
      <c r="AA8" s="49">
        <v>678.3</v>
      </c>
      <c r="AB8" s="49">
        <v>779.8</v>
      </c>
      <c r="AC8" s="49">
        <v>816.2</v>
      </c>
      <c r="AD8" s="49">
        <v>924.7</v>
      </c>
      <c r="AE8" s="49">
        <v>879.7</v>
      </c>
      <c r="AF8" s="49">
        <v>1028.5</v>
      </c>
      <c r="AG8" s="49">
        <v>1011.5</v>
      </c>
      <c r="AH8" s="49">
        <v>1208.0999999999999</v>
      </c>
      <c r="AI8" s="49">
        <v>1229.4000000000001</v>
      </c>
      <c r="AJ8" s="49">
        <v>1229.8</v>
      </c>
      <c r="AK8" s="49">
        <v>1106.5999999999999</v>
      </c>
      <c r="AL8" s="49">
        <v>1502.4</v>
      </c>
      <c r="AM8" s="49">
        <v>1452.4</v>
      </c>
      <c r="AN8" s="49">
        <v>1535.6</v>
      </c>
      <c r="AO8" s="49">
        <v>1600.1</v>
      </c>
      <c r="AP8" s="49">
        <v>1883.7</v>
      </c>
      <c r="AQ8" s="49">
        <v>1741.3</v>
      </c>
      <c r="AR8" s="49">
        <v>1911.9</v>
      </c>
      <c r="AS8" s="49">
        <v>1850.4</v>
      </c>
      <c r="AT8" s="49">
        <v>1936.2</v>
      </c>
      <c r="AU8" s="49">
        <v>1977.1</v>
      </c>
      <c r="AV8" s="49">
        <v>1812.5</v>
      </c>
      <c r="AW8" s="49">
        <v>1673.6</v>
      </c>
      <c r="AZ8" s="49">
        <v>1669.3</v>
      </c>
      <c r="BA8" s="49">
        <v>1669.3</v>
      </c>
      <c r="BB8" s="49">
        <v>1669.3</v>
      </c>
      <c r="BC8" s="49">
        <v>1669.3</v>
      </c>
      <c r="BD8" s="49">
        <v>1669.3</v>
      </c>
      <c r="BE8" s="49">
        <v>1669.3</v>
      </c>
      <c r="BF8" s="49">
        <v>1669.3</v>
      </c>
      <c r="BG8" s="49">
        <v>1669.3</v>
      </c>
      <c r="BH8" s="49">
        <v>1669.3</v>
      </c>
      <c r="BI8" s="49">
        <v>1669.3</v>
      </c>
      <c r="BJ8" s="49">
        <v>1669.3</v>
      </c>
      <c r="BK8" s="49">
        <v>1669.3</v>
      </c>
      <c r="BL8" s="49">
        <v>1669.3</v>
      </c>
      <c r="BM8" s="49">
        <v>1669.3</v>
      </c>
      <c r="BN8" s="49">
        <v>1669.3</v>
      </c>
      <c r="BO8" s="49">
        <v>1669.3</v>
      </c>
      <c r="BP8" s="49">
        <v>1669.3</v>
      </c>
      <c r="BQ8" s="49">
        <f>+BR8-50</f>
        <v>1519.3</v>
      </c>
      <c r="BR8" s="49">
        <f>+BS8-50</f>
        <v>1569.3</v>
      </c>
      <c r="BS8" s="49">
        <f>+BT8-50</f>
        <v>1619.3</v>
      </c>
      <c r="BT8" s="49">
        <v>1669.3</v>
      </c>
      <c r="BU8" s="49">
        <v>1673.6</v>
      </c>
      <c r="BV8" s="49">
        <v>1812.5</v>
      </c>
      <c r="BW8" s="49">
        <v>1977.1</v>
      </c>
      <c r="BX8" s="49">
        <v>1936.2</v>
      </c>
      <c r="BY8" s="49">
        <v>1850.4</v>
      </c>
      <c r="BZ8" s="49">
        <v>1911.9</v>
      </c>
      <c r="CA8" s="49">
        <v>1741.3</v>
      </c>
      <c r="CB8" s="49">
        <v>1883.7</v>
      </c>
      <c r="CC8" s="49">
        <v>1600.1</v>
      </c>
      <c r="CD8" s="49">
        <v>1535.6</v>
      </c>
      <c r="CE8" s="49">
        <v>1452.4</v>
      </c>
      <c r="CF8" s="49">
        <v>1502.4</v>
      </c>
      <c r="CG8" s="49">
        <v>1106.5999999999999</v>
      </c>
      <c r="CH8" s="49">
        <v>1229.8</v>
      </c>
      <c r="CI8" s="49">
        <v>1229.4000000000001</v>
      </c>
      <c r="CJ8" s="49">
        <v>1208.0999999999999</v>
      </c>
      <c r="CK8" s="49">
        <v>1011.5</v>
      </c>
      <c r="CL8" s="49">
        <v>1028.5</v>
      </c>
      <c r="CM8" s="49">
        <v>879.7</v>
      </c>
      <c r="CN8" s="49">
        <v>924.7</v>
      </c>
      <c r="CO8" s="49">
        <v>816.2</v>
      </c>
      <c r="CP8" s="49">
        <v>779.8</v>
      </c>
      <c r="CQ8" s="49">
        <v>678.3</v>
      </c>
      <c r="CR8" s="49">
        <v>649</v>
      </c>
      <c r="CS8" s="49">
        <v>527.70000000000005</v>
      </c>
      <c r="CT8" s="49">
        <v>480.2</v>
      </c>
      <c r="CU8" s="49">
        <v>372.9</v>
      </c>
      <c r="CV8" s="49">
        <v>337</v>
      </c>
      <c r="CW8" s="49">
        <v>243.6</v>
      </c>
      <c r="CX8" s="49">
        <v>201.3</v>
      </c>
      <c r="CY8" s="49">
        <v>143.6</v>
      </c>
      <c r="CZ8" s="49">
        <v>112.5</v>
      </c>
      <c r="DA8" s="49">
        <v>73.7</v>
      </c>
      <c r="DB8" s="49">
        <v>44.3</v>
      </c>
      <c r="DC8" s="49">
        <v>18.3</v>
      </c>
      <c r="DD8" s="49">
        <v>10.199999999999999</v>
      </c>
    </row>
    <row r="9" spans="1:169" x14ac:dyDescent="0.15">
      <c r="B9" s="38" t="s">
        <v>574</v>
      </c>
      <c r="C9" s="38" t="s">
        <v>580</v>
      </c>
      <c r="D9" s="83">
        <v>41996</v>
      </c>
      <c r="E9" s="38" t="s">
        <v>587</v>
      </c>
    </row>
    <row r="10" spans="1:169" x14ac:dyDescent="0.15">
      <c r="B10" s="38" t="s">
        <v>576</v>
      </c>
      <c r="C10" s="38" t="s">
        <v>579</v>
      </c>
      <c r="D10" s="83">
        <v>43074</v>
      </c>
      <c r="E10" s="38" t="s">
        <v>587</v>
      </c>
      <c r="G10" s="51">
        <f>SUM(N10:Q10)</f>
        <v>754.57142857142867</v>
      </c>
      <c r="H10" s="51">
        <f>SUM(R10:U10)</f>
        <v>2439.7142857142853</v>
      </c>
      <c r="I10" s="51">
        <f>SUM(V10:Y10)</f>
        <v>3673.8571428571431</v>
      </c>
      <c r="J10" s="51">
        <f>SUM(Z10:AC10)</f>
        <v>6570.2857142857138</v>
      </c>
      <c r="K10" s="51">
        <f>SUM(AD10:AG10)</f>
        <v>10729.571428571429</v>
      </c>
      <c r="L10" s="51">
        <f>SUM(AH10:AK10)</f>
        <v>16301</v>
      </c>
      <c r="N10" s="51">
        <v>77.142857142857139</v>
      </c>
      <c r="O10" s="51">
        <v>141.71428571428572</v>
      </c>
      <c r="P10" s="51">
        <v>203.57142857142858</v>
      </c>
      <c r="Q10" s="51">
        <v>332.14285714285717</v>
      </c>
      <c r="R10" s="51">
        <v>446</v>
      </c>
      <c r="S10" s="51">
        <v>623.57142857142856</v>
      </c>
      <c r="T10" s="49">
        <v>679.28571428571433</v>
      </c>
      <c r="U10" s="49">
        <v>690.85714285714289</v>
      </c>
      <c r="V10" s="49">
        <v>776</v>
      </c>
      <c r="W10" s="49">
        <v>884</v>
      </c>
      <c r="X10" s="49">
        <v>951.71428571428567</v>
      </c>
      <c r="Y10" s="49">
        <v>1062.1428571428571</v>
      </c>
      <c r="Z10" s="49">
        <v>1270.2857142857142</v>
      </c>
      <c r="AA10" s="49">
        <v>1530.8571428571429</v>
      </c>
      <c r="AB10" s="49">
        <v>1719.2857142857142</v>
      </c>
      <c r="AC10" s="49">
        <v>2049.8571428571427</v>
      </c>
      <c r="AD10" s="49">
        <v>2341.4285714285716</v>
      </c>
      <c r="AE10" s="49">
        <v>2425.1428571428573</v>
      </c>
      <c r="AF10" s="49">
        <v>2805.7142857142858</v>
      </c>
      <c r="AG10" s="49">
        <v>3157.2857142857142</v>
      </c>
      <c r="AH10" s="49">
        <v>3416</v>
      </c>
      <c r="AI10" s="49">
        <v>4295</v>
      </c>
      <c r="AJ10" s="85">
        <f>+AI10</f>
        <v>4295</v>
      </c>
      <c r="AK10" s="85">
        <f>+AJ10</f>
        <v>4295</v>
      </c>
      <c r="AZ10" s="49">
        <f t="shared" ref="AZ10:BS10" si="4">+BA10+100</f>
        <v>6295</v>
      </c>
      <c r="BA10" s="49">
        <f t="shared" si="4"/>
        <v>6195</v>
      </c>
      <c r="BB10" s="49">
        <f t="shared" si="4"/>
        <v>6095</v>
      </c>
      <c r="BC10" s="49">
        <f t="shared" si="4"/>
        <v>5995</v>
      </c>
      <c r="BD10" s="49">
        <f t="shared" si="4"/>
        <v>5895</v>
      </c>
      <c r="BE10" s="49">
        <f t="shared" si="4"/>
        <v>5795</v>
      </c>
      <c r="BF10" s="49">
        <f t="shared" si="4"/>
        <v>5695</v>
      </c>
      <c r="BG10" s="49">
        <f t="shared" si="4"/>
        <v>5595</v>
      </c>
      <c r="BH10" s="49">
        <f t="shared" si="4"/>
        <v>5495</v>
      </c>
      <c r="BI10" s="49">
        <f t="shared" si="4"/>
        <v>5395</v>
      </c>
      <c r="BJ10" s="49">
        <f t="shared" si="4"/>
        <v>5295</v>
      </c>
      <c r="BK10" s="49">
        <f t="shared" si="4"/>
        <v>5195</v>
      </c>
      <c r="BL10" s="49">
        <f t="shared" si="4"/>
        <v>5095</v>
      </c>
      <c r="BM10" s="49">
        <f t="shared" si="4"/>
        <v>4995</v>
      </c>
      <c r="BN10" s="49">
        <f t="shared" si="4"/>
        <v>4895</v>
      </c>
      <c r="BO10" s="49">
        <f t="shared" si="4"/>
        <v>4795</v>
      </c>
      <c r="BP10" s="49">
        <f t="shared" si="4"/>
        <v>4695</v>
      </c>
      <c r="BQ10" s="49">
        <f t="shared" si="4"/>
        <v>4595</v>
      </c>
      <c r="BR10" s="49">
        <f t="shared" si="4"/>
        <v>4495</v>
      </c>
      <c r="BS10" s="49">
        <f t="shared" si="4"/>
        <v>4395</v>
      </c>
      <c r="BT10" s="49">
        <v>4295</v>
      </c>
      <c r="BU10" s="49">
        <v>3416</v>
      </c>
      <c r="BV10" s="49">
        <v>3157.2857142857142</v>
      </c>
      <c r="BW10" s="49">
        <v>2805.7142857142858</v>
      </c>
      <c r="BX10" s="49">
        <v>2425.1428571428573</v>
      </c>
      <c r="BY10" s="49">
        <v>2341.4285714285716</v>
      </c>
      <c r="BZ10" s="49">
        <v>2049.8571428571427</v>
      </c>
      <c r="CA10" s="49">
        <v>1719.2857142857142</v>
      </c>
      <c r="CB10" s="49">
        <v>1530.8571428571429</v>
      </c>
      <c r="CC10" s="49">
        <v>1270.2857142857142</v>
      </c>
      <c r="CD10" s="49">
        <v>1062.1428571428571</v>
      </c>
      <c r="CE10" s="49">
        <v>951.71428571428567</v>
      </c>
      <c r="CF10" s="49">
        <v>884</v>
      </c>
      <c r="CG10" s="49">
        <v>776</v>
      </c>
      <c r="CH10" s="49">
        <v>690.85714285714289</v>
      </c>
      <c r="CI10" s="49">
        <v>679.28571428571433</v>
      </c>
      <c r="CJ10" s="51">
        <v>623.57142857142856</v>
      </c>
      <c r="CK10" s="51">
        <v>446</v>
      </c>
      <c r="CL10" s="51">
        <v>332.14285714285717</v>
      </c>
      <c r="CM10" s="51">
        <v>203.57142857142858</v>
      </c>
      <c r="CN10" s="51">
        <v>141.71428571428572</v>
      </c>
      <c r="CO10" s="51">
        <v>77.142857142857139</v>
      </c>
      <c r="CS10" s="51"/>
      <c r="CT10" s="51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85"/>
      <c r="DL10" s="85"/>
    </row>
    <row r="11" spans="1:169" x14ac:dyDescent="0.15">
      <c r="B11" s="38" t="s">
        <v>575</v>
      </c>
      <c r="C11" s="38" t="s">
        <v>579</v>
      </c>
      <c r="D11" s="83">
        <v>43728</v>
      </c>
      <c r="E11" s="38" t="s">
        <v>587</v>
      </c>
      <c r="G11" s="51">
        <f>SUM(N11:Q11)</f>
        <v>90.571428571428584</v>
      </c>
      <c r="H11" s="51">
        <f>SUM(R11:U11)</f>
        <v>423.28571428571433</v>
      </c>
      <c r="I11" s="51">
        <f>SUM(V11:Y11)</f>
        <v>1057</v>
      </c>
      <c r="J11" s="51">
        <f>SUM(Z11:AC11)</f>
        <v>2201.1428571428573</v>
      </c>
      <c r="K11" s="51">
        <f t="shared" ref="K11:K13" si="5">SUM(AD11:AG11)</f>
        <v>1486.5714285714287</v>
      </c>
      <c r="L11" s="51">
        <f t="shared" ref="L11:L13" si="6">SUM(AH11:AK11)</f>
        <v>0</v>
      </c>
      <c r="M11" s="51"/>
      <c r="N11" s="51">
        <v>0</v>
      </c>
      <c r="O11" s="51">
        <v>7.1428571428571432</v>
      </c>
      <c r="P11" s="51">
        <v>32.714285714285715</v>
      </c>
      <c r="Q11" s="51">
        <v>50.714285714285715</v>
      </c>
      <c r="R11" s="51">
        <v>64.857142857142861</v>
      </c>
      <c r="S11" s="49">
        <v>119.28571428571429</v>
      </c>
      <c r="T11" s="49">
        <v>104.14285714285714</v>
      </c>
      <c r="U11" s="49">
        <v>135</v>
      </c>
      <c r="V11" s="49">
        <v>191.57142857142858</v>
      </c>
      <c r="W11" s="49">
        <v>260.42857142857144</v>
      </c>
      <c r="X11" s="49">
        <v>294.71428571428572</v>
      </c>
      <c r="Y11" s="49">
        <v>310.28571428571428</v>
      </c>
      <c r="Z11" s="49">
        <v>430.14285714285717</v>
      </c>
      <c r="AA11" s="49">
        <v>579</v>
      </c>
      <c r="AB11" s="49">
        <v>622.28571428571433</v>
      </c>
      <c r="AC11" s="51">
        <v>569.71428571428567</v>
      </c>
      <c r="AD11" s="51">
        <v>642.28571428571433</v>
      </c>
      <c r="AE11" s="51">
        <v>844.28571428571433</v>
      </c>
      <c r="AZ11" s="49">
        <f t="shared" ref="AZ11:BS11" si="7">+BA11+50</f>
        <v>1844.2857142857142</v>
      </c>
      <c r="BA11" s="49">
        <f t="shared" si="7"/>
        <v>1794.2857142857142</v>
      </c>
      <c r="BB11" s="49">
        <f t="shared" si="7"/>
        <v>1744.2857142857142</v>
      </c>
      <c r="BC11" s="49">
        <f t="shared" si="7"/>
        <v>1694.2857142857142</v>
      </c>
      <c r="BD11" s="49">
        <f t="shared" si="7"/>
        <v>1644.2857142857142</v>
      </c>
      <c r="BE11" s="49">
        <f t="shared" si="7"/>
        <v>1594.2857142857142</v>
      </c>
      <c r="BF11" s="49">
        <f t="shared" si="7"/>
        <v>1544.2857142857142</v>
      </c>
      <c r="BG11" s="49">
        <f t="shared" si="7"/>
        <v>1494.2857142857142</v>
      </c>
      <c r="BH11" s="49">
        <f t="shared" si="7"/>
        <v>1444.2857142857142</v>
      </c>
      <c r="BI11" s="49">
        <f t="shared" si="7"/>
        <v>1394.2857142857142</v>
      </c>
      <c r="BJ11" s="49">
        <f t="shared" si="7"/>
        <v>1344.2857142857142</v>
      </c>
      <c r="BK11" s="49">
        <f t="shared" si="7"/>
        <v>1294.2857142857142</v>
      </c>
      <c r="BL11" s="49">
        <f t="shared" si="7"/>
        <v>1244.2857142857142</v>
      </c>
      <c r="BM11" s="49">
        <f t="shared" si="7"/>
        <v>1194.2857142857142</v>
      </c>
      <c r="BN11" s="49">
        <f t="shared" si="7"/>
        <v>1144.2857142857142</v>
      </c>
      <c r="BO11" s="49">
        <f t="shared" si="7"/>
        <v>1094.2857142857142</v>
      </c>
      <c r="BP11" s="49">
        <f t="shared" si="7"/>
        <v>1044.2857142857142</v>
      </c>
      <c r="BQ11" s="49">
        <f t="shared" si="7"/>
        <v>994.28571428571433</v>
      </c>
      <c r="BR11" s="49">
        <f t="shared" si="7"/>
        <v>944.28571428571433</v>
      </c>
      <c r="BS11" s="49">
        <f t="shared" si="7"/>
        <v>894.28571428571433</v>
      </c>
      <c r="BT11" s="51">
        <v>844.28571428571433</v>
      </c>
      <c r="BU11" s="51">
        <v>642.28571428571433</v>
      </c>
      <c r="BV11" s="51">
        <v>569.71428571428567</v>
      </c>
      <c r="BW11" s="49">
        <v>622.28571428571433</v>
      </c>
      <c r="BX11" s="49">
        <v>579</v>
      </c>
      <c r="BY11" s="49">
        <v>430.14285714285717</v>
      </c>
      <c r="BZ11" s="49">
        <v>310.28571428571428</v>
      </c>
      <c r="CA11" s="49">
        <v>294.71428571428572</v>
      </c>
      <c r="CB11" s="49">
        <v>260.42857142857144</v>
      </c>
      <c r="CC11" s="49">
        <v>191.57142857142858</v>
      </c>
      <c r="CD11" s="49">
        <v>135</v>
      </c>
      <c r="CE11" s="49">
        <v>104.14285714285714</v>
      </c>
      <c r="CF11" s="49">
        <v>119.28571428571429</v>
      </c>
      <c r="CG11" s="51">
        <v>64.857142857142861</v>
      </c>
      <c r="CH11" s="51">
        <v>50.714285714285715</v>
      </c>
      <c r="CI11" s="51">
        <v>32.714285714285715</v>
      </c>
      <c r="CJ11" s="51">
        <v>7.1428571428571432</v>
      </c>
      <c r="CK11" s="51">
        <v>0</v>
      </c>
    </row>
    <row r="12" spans="1:169" x14ac:dyDescent="0.15">
      <c r="B12" s="38" t="s">
        <v>578</v>
      </c>
      <c r="C12" s="38" t="s">
        <v>579</v>
      </c>
      <c r="D12" s="83">
        <v>44351</v>
      </c>
      <c r="E12" s="38" t="s">
        <v>587</v>
      </c>
      <c r="G12" s="51">
        <f>SUM(N12:Q12)</f>
        <v>884.00000000000011</v>
      </c>
      <c r="H12" s="51">
        <f>SUM(R12:U12)</f>
        <v>651.85714285714289</v>
      </c>
      <c r="I12" s="51"/>
      <c r="J12" s="51"/>
      <c r="K12" s="51">
        <f t="shared" si="5"/>
        <v>0</v>
      </c>
      <c r="L12" s="51">
        <f t="shared" si="6"/>
        <v>0</v>
      </c>
      <c r="N12" s="49">
        <v>200.57142857142858</v>
      </c>
      <c r="O12" s="49">
        <v>168.71428571428572</v>
      </c>
      <c r="P12" s="49">
        <v>165.28571428571428</v>
      </c>
      <c r="Q12" s="49">
        <v>349.42857142857144</v>
      </c>
      <c r="R12" s="49">
        <v>651.85714285714289</v>
      </c>
      <c r="CL12" s="51"/>
      <c r="CM12" s="51"/>
      <c r="CN12" s="51"/>
      <c r="CO12" s="49"/>
      <c r="CQ12" s="49"/>
      <c r="CR12" s="49"/>
      <c r="CS12" s="49"/>
      <c r="CT12" s="49"/>
      <c r="CU12" s="49"/>
      <c r="CV12" s="49"/>
      <c r="CW12" s="49"/>
      <c r="CX12" s="49"/>
    </row>
    <row r="13" spans="1:169" x14ac:dyDescent="0.15">
      <c r="B13" s="38" t="s">
        <v>509</v>
      </c>
      <c r="C13" s="38" t="s">
        <v>546</v>
      </c>
      <c r="D13" s="83">
        <v>44694</v>
      </c>
      <c r="E13" s="38" t="s">
        <v>586</v>
      </c>
      <c r="G13" s="51">
        <f>SUM(N13:Q13)</f>
        <v>1051</v>
      </c>
      <c r="H13" s="51">
        <f>SUM(R13:U13)</f>
        <v>4594.6000000000004</v>
      </c>
      <c r="I13" s="93">
        <v>12000</v>
      </c>
      <c r="J13" s="51"/>
      <c r="K13" s="51">
        <f t="shared" si="5"/>
        <v>0</v>
      </c>
      <c r="L13" s="51">
        <f t="shared" si="6"/>
        <v>0</v>
      </c>
      <c r="M13" s="51"/>
      <c r="N13" s="52">
        <v>16</v>
      </c>
      <c r="O13" s="52">
        <v>187.3</v>
      </c>
      <c r="P13" s="52">
        <v>279.2</v>
      </c>
      <c r="Q13" s="52">
        <v>568.5</v>
      </c>
      <c r="R13" s="52">
        <v>979.7</v>
      </c>
      <c r="S13" s="52">
        <v>1409.3</v>
      </c>
      <c r="T13" s="52">
        <v>2205.6</v>
      </c>
      <c r="AZ13" s="49">
        <f t="shared" ref="AZ13:BS13" si="8">+BA13+250</f>
        <v>7205.6</v>
      </c>
      <c r="BA13" s="49">
        <f t="shared" si="8"/>
        <v>6955.6</v>
      </c>
      <c r="BB13" s="49">
        <f t="shared" si="8"/>
        <v>6705.6</v>
      </c>
      <c r="BC13" s="49">
        <f t="shared" si="8"/>
        <v>6455.6</v>
      </c>
      <c r="BD13" s="49">
        <f t="shared" si="8"/>
        <v>6205.6</v>
      </c>
      <c r="BE13" s="49">
        <f t="shared" si="8"/>
        <v>5955.6</v>
      </c>
      <c r="BF13" s="49">
        <f t="shared" si="8"/>
        <v>5705.6</v>
      </c>
      <c r="BG13" s="49">
        <f t="shared" si="8"/>
        <v>5455.6</v>
      </c>
      <c r="BH13" s="49">
        <f t="shared" si="8"/>
        <v>5205.6000000000004</v>
      </c>
      <c r="BI13" s="49">
        <f t="shared" si="8"/>
        <v>4955.6000000000004</v>
      </c>
      <c r="BJ13" s="49">
        <f t="shared" si="8"/>
        <v>4705.6000000000004</v>
      </c>
      <c r="BK13" s="49">
        <f t="shared" si="8"/>
        <v>4455.6000000000004</v>
      </c>
      <c r="BL13" s="49">
        <f t="shared" si="8"/>
        <v>4205.6000000000004</v>
      </c>
      <c r="BM13" s="49">
        <f t="shared" si="8"/>
        <v>3955.6</v>
      </c>
      <c r="BN13" s="49">
        <f t="shared" si="8"/>
        <v>3705.6</v>
      </c>
      <c r="BO13" s="49">
        <f t="shared" si="8"/>
        <v>3455.6</v>
      </c>
      <c r="BP13" s="49">
        <f t="shared" si="8"/>
        <v>3205.6</v>
      </c>
      <c r="BQ13" s="49">
        <f t="shared" si="8"/>
        <v>2955.6</v>
      </c>
      <c r="BR13" s="49">
        <f t="shared" si="8"/>
        <v>2705.6</v>
      </c>
      <c r="BS13" s="49">
        <f t="shared" si="8"/>
        <v>2455.6</v>
      </c>
      <c r="BT13" s="52">
        <v>2205.6</v>
      </c>
      <c r="BU13" s="52">
        <v>1409.3</v>
      </c>
      <c r="BV13" s="52">
        <v>979.7</v>
      </c>
      <c r="BW13" s="52">
        <v>568.5</v>
      </c>
      <c r="BX13" s="52">
        <v>279.2</v>
      </c>
      <c r="BY13" s="52">
        <v>187.3</v>
      </c>
      <c r="BZ13" s="52">
        <v>16</v>
      </c>
      <c r="CA13" s="49"/>
      <c r="CB13" s="49"/>
      <c r="CE13" s="49"/>
      <c r="CF13" s="49"/>
      <c r="CG13" s="49"/>
      <c r="CH13" s="49"/>
      <c r="CI13" s="49"/>
      <c r="CJ13" s="49"/>
      <c r="CK13" s="49"/>
      <c r="CL13" s="49"/>
      <c r="CN13" s="49"/>
      <c r="CO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</row>
    <row r="14" spans="1:169" x14ac:dyDescent="0.15">
      <c r="B14" s="38" t="s">
        <v>529</v>
      </c>
      <c r="C14" s="38" t="s">
        <v>546</v>
      </c>
      <c r="D14" s="83">
        <v>45238</v>
      </c>
      <c r="E14" s="38" t="s">
        <v>586</v>
      </c>
      <c r="G14" s="51">
        <f>SUM(N14:Q14)</f>
        <v>1303.2</v>
      </c>
      <c r="H14" s="93">
        <v>3000</v>
      </c>
      <c r="I14" s="93">
        <v>5000</v>
      </c>
      <c r="N14" s="52">
        <v>175.8</v>
      </c>
      <c r="O14" s="85">
        <f>+N14+100</f>
        <v>275.8</v>
      </c>
      <c r="P14" s="85">
        <f>+O14+100</f>
        <v>375.8</v>
      </c>
      <c r="Q14" s="85">
        <f>+P14+100</f>
        <v>475.8</v>
      </c>
      <c r="AZ14" s="49">
        <f t="shared" ref="AZ14:BS14" si="9">+BA14+100</f>
        <v>2175.8000000000002</v>
      </c>
      <c r="BA14" s="49">
        <f t="shared" si="9"/>
        <v>2075.8000000000002</v>
      </c>
      <c r="BB14" s="49">
        <f t="shared" si="9"/>
        <v>1975.8</v>
      </c>
      <c r="BC14" s="49">
        <f t="shared" si="9"/>
        <v>1875.8</v>
      </c>
      <c r="BD14" s="49">
        <f t="shared" si="9"/>
        <v>1775.8</v>
      </c>
      <c r="BE14" s="49">
        <f t="shared" si="9"/>
        <v>1675.8</v>
      </c>
      <c r="BF14" s="49">
        <f t="shared" si="9"/>
        <v>1575.8</v>
      </c>
      <c r="BG14" s="49">
        <f t="shared" si="9"/>
        <v>1475.8</v>
      </c>
      <c r="BH14" s="49">
        <f t="shared" si="9"/>
        <v>1375.8</v>
      </c>
      <c r="BI14" s="49">
        <f t="shared" si="9"/>
        <v>1275.8</v>
      </c>
      <c r="BJ14" s="49">
        <f t="shared" si="9"/>
        <v>1175.8</v>
      </c>
      <c r="BK14" s="49">
        <f t="shared" si="9"/>
        <v>1075.8</v>
      </c>
      <c r="BL14" s="49">
        <f t="shared" si="9"/>
        <v>975.8</v>
      </c>
      <c r="BM14" s="49">
        <f t="shared" si="9"/>
        <v>875.8</v>
      </c>
      <c r="BN14" s="49">
        <f t="shared" si="9"/>
        <v>775.8</v>
      </c>
      <c r="BO14" s="49">
        <f t="shared" si="9"/>
        <v>675.8</v>
      </c>
      <c r="BP14" s="49">
        <f t="shared" si="9"/>
        <v>575.79999999999995</v>
      </c>
      <c r="BQ14" s="49">
        <f t="shared" si="9"/>
        <v>475.8</v>
      </c>
      <c r="BR14" s="49">
        <f t="shared" si="9"/>
        <v>375.8</v>
      </c>
      <c r="BS14" s="49">
        <f t="shared" si="9"/>
        <v>275.8</v>
      </c>
      <c r="BT14" s="52">
        <v>175.8</v>
      </c>
    </row>
    <row r="15" spans="1:169" x14ac:dyDescent="0.15">
      <c r="B15" s="38"/>
      <c r="C15" s="38"/>
      <c r="D15" s="83"/>
      <c r="E15" s="38"/>
    </row>
    <row r="16" spans="1:169" x14ac:dyDescent="0.15">
      <c r="B16" s="38" t="s">
        <v>583</v>
      </c>
      <c r="C16" s="38" t="s">
        <v>584</v>
      </c>
      <c r="E16" s="38" t="s">
        <v>585</v>
      </c>
    </row>
    <row r="17" spans="2:72" x14ac:dyDescent="0.15">
      <c r="B17" s="38" t="s">
        <v>588</v>
      </c>
      <c r="C17" s="38" t="s">
        <v>571</v>
      </c>
      <c r="E17" s="38" t="s">
        <v>586</v>
      </c>
    </row>
    <row r="18" spans="2:72" x14ac:dyDescent="0.15">
      <c r="C18" s="38" t="s">
        <v>589</v>
      </c>
    </row>
    <row r="19" spans="2:72" x14ac:dyDescent="0.15">
      <c r="B19" s="38" t="s">
        <v>590</v>
      </c>
      <c r="C19" s="38" t="s">
        <v>591</v>
      </c>
      <c r="E19" s="38" t="s">
        <v>586</v>
      </c>
      <c r="N19" t="s">
        <v>592</v>
      </c>
    </row>
    <row r="20" spans="2:72" x14ac:dyDescent="0.15">
      <c r="B20" s="38" t="s">
        <v>594</v>
      </c>
      <c r="C20" s="38" t="s">
        <v>593</v>
      </c>
      <c r="E20" s="38" t="s">
        <v>595</v>
      </c>
    </row>
    <row r="21" spans="2:72" x14ac:dyDescent="0.15">
      <c r="C21" s="38" t="s">
        <v>596</v>
      </c>
    </row>
    <row r="22" spans="2:72" x14ac:dyDescent="0.15">
      <c r="B22" s="38" t="s">
        <v>597</v>
      </c>
      <c r="E22" s="38" t="s">
        <v>711</v>
      </c>
      <c r="AZ22" s="49">
        <f t="shared" ref="AZ22:BT22" si="10">AZ3*4</f>
        <v>76759.942857142858</v>
      </c>
      <c r="BA22" s="49">
        <f t="shared" si="10"/>
        <v>74759.942857142858</v>
      </c>
      <c r="BB22" s="49">
        <f t="shared" si="10"/>
        <v>72759.942857142858</v>
      </c>
      <c r="BC22" s="49">
        <f t="shared" si="10"/>
        <v>70759.942857142858</v>
      </c>
      <c r="BD22" s="49">
        <f t="shared" si="10"/>
        <v>68759.942857142858</v>
      </c>
      <c r="BE22" s="49">
        <f t="shared" si="10"/>
        <v>66759.942857142858</v>
      </c>
      <c r="BF22" s="49">
        <f t="shared" si="10"/>
        <v>64759.942857142858</v>
      </c>
      <c r="BG22" s="49">
        <f t="shared" si="10"/>
        <v>62759.942857142858</v>
      </c>
      <c r="BH22" s="49">
        <f t="shared" si="10"/>
        <v>60759.942857142858</v>
      </c>
      <c r="BI22" s="49">
        <f t="shared" si="10"/>
        <v>58759.942857142858</v>
      </c>
      <c r="BJ22" s="49">
        <f t="shared" si="10"/>
        <v>56759.942857142858</v>
      </c>
      <c r="BK22" s="49">
        <f t="shared" si="10"/>
        <v>54759.942857142858</v>
      </c>
      <c r="BL22" s="49">
        <f t="shared" si="10"/>
        <v>52759.942857142858</v>
      </c>
      <c r="BM22" s="49">
        <f t="shared" si="10"/>
        <v>50759.942857142858</v>
      </c>
      <c r="BN22" s="49">
        <f t="shared" si="10"/>
        <v>48759.942857142858</v>
      </c>
      <c r="BO22" s="49">
        <f t="shared" si="10"/>
        <v>46759.942857142858</v>
      </c>
      <c r="BP22" s="49">
        <f t="shared" si="10"/>
        <v>44759.942857142858</v>
      </c>
      <c r="BQ22" s="49">
        <f t="shared" si="10"/>
        <v>42159.942857142858</v>
      </c>
      <c r="BR22" s="49">
        <f t="shared" si="10"/>
        <v>40359.942857142858</v>
      </c>
      <c r="BS22" s="49">
        <f t="shared" si="10"/>
        <v>38559.942857142858</v>
      </c>
      <c r="BT22" s="49">
        <f t="shared" si="10"/>
        <v>36759.942857142858</v>
      </c>
    </row>
    <row r="23" spans="2:72" x14ac:dyDescent="0.15">
      <c r="C23" s="38" t="s">
        <v>598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2:72" x14ac:dyDescent="0.15">
      <c r="C24" s="38" t="s">
        <v>600</v>
      </c>
      <c r="AZ24" s="92">
        <f t="shared" ref="AZ24" si="11">+AZ22/AZ23</f>
        <v>15351.988571428572</v>
      </c>
      <c r="BA24" s="92">
        <f t="shared" ref="BA24" si="12">+BA22/BA23</f>
        <v>14951.988571428572</v>
      </c>
      <c r="BB24" s="92">
        <f t="shared" ref="BB24" si="13">+BB22/BB23</f>
        <v>14551.988571428572</v>
      </c>
      <c r="BC24" s="92">
        <f t="shared" ref="BC24" si="14">+BC22/BC23</f>
        <v>14151.988571428572</v>
      </c>
      <c r="BD24" s="92">
        <f t="shared" ref="BD24" si="15">+BD22/BD23</f>
        <v>13751.988571428572</v>
      </c>
      <c r="BE24" s="92">
        <f t="shared" ref="BE24" si="16">+BE22/BE23</f>
        <v>13351.988571428572</v>
      </c>
      <c r="BF24" s="92">
        <f t="shared" ref="BF24" si="17">+BF22/BF23</f>
        <v>12951.988571428572</v>
      </c>
      <c r="BG24" s="92">
        <f t="shared" ref="BG24" si="18">+BG22/BG23</f>
        <v>12551.988571428572</v>
      </c>
      <c r="BH24" s="92">
        <f t="shared" ref="BH24" si="19">+BH22/BH23</f>
        <v>12151.988571428572</v>
      </c>
      <c r="BI24" s="92">
        <f t="shared" ref="BI24" si="20">+BI22/BI23</f>
        <v>11751.988571428572</v>
      </c>
      <c r="BJ24" s="92">
        <f t="shared" ref="BJ24" si="21">+BJ22/BJ23</f>
        <v>11351.988571428572</v>
      </c>
      <c r="BK24" s="92">
        <f t="shared" ref="BK24" si="22">+BK22/BK23</f>
        <v>10951.988571428572</v>
      </c>
      <c r="BL24" s="92">
        <f t="shared" ref="BL24:BS24" si="23">+BL22/BL23</f>
        <v>10551.988571428572</v>
      </c>
      <c r="BM24" s="92">
        <f t="shared" si="23"/>
        <v>10151.988571428572</v>
      </c>
      <c r="BN24" s="92">
        <f t="shared" si="23"/>
        <v>9751.988571428572</v>
      </c>
      <c r="BO24" s="92">
        <f t="shared" si="23"/>
        <v>9351.988571428572</v>
      </c>
      <c r="BP24" s="92">
        <f t="shared" si="23"/>
        <v>8951.988571428572</v>
      </c>
      <c r="BQ24" s="92">
        <f t="shared" si="23"/>
        <v>8431.988571428572</v>
      </c>
      <c r="BR24" s="92">
        <f t="shared" si="23"/>
        <v>8071.988571428572</v>
      </c>
      <c r="BS24" s="92">
        <f t="shared" si="23"/>
        <v>7711.988571428572</v>
      </c>
      <c r="BT24" s="92">
        <f>+BT22/BT23</f>
        <v>7351.988571428572</v>
      </c>
    </row>
    <row r="25" spans="2:72" x14ac:dyDescent="0.15">
      <c r="B25" s="38" t="s">
        <v>599</v>
      </c>
      <c r="AZ25" s="92">
        <f t="shared" ref="AZ25" si="24">+AZ24*0.75</f>
        <v>11513.991428571429</v>
      </c>
      <c r="BA25" s="92">
        <f t="shared" ref="BA25" si="25">+BA24*0.75</f>
        <v>11213.991428571429</v>
      </c>
      <c r="BB25" s="92">
        <f t="shared" ref="BB25" si="26">+BB24*0.75</f>
        <v>10913.991428571429</v>
      </c>
      <c r="BC25" s="92">
        <f t="shared" ref="BC25" si="27">+BC24*0.75</f>
        <v>10613.991428571429</v>
      </c>
      <c r="BD25" s="92">
        <f t="shared" ref="BD25" si="28">+BD24*0.75</f>
        <v>10313.991428571429</v>
      </c>
      <c r="BE25" s="92">
        <f t="shared" ref="BE25" si="29">+BE24*0.75</f>
        <v>10013.991428571429</v>
      </c>
      <c r="BF25" s="92">
        <f t="shared" ref="BF25" si="30">+BF24*0.75</f>
        <v>9713.9914285714294</v>
      </c>
      <c r="BG25" s="92">
        <f t="shared" ref="BG25" si="31">+BG24*0.75</f>
        <v>9413.9914285714294</v>
      </c>
      <c r="BH25" s="92">
        <f t="shared" ref="BH25" si="32">+BH24*0.75</f>
        <v>9113.9914285714294</v>
      </c>
      <c r="BI25" s="92">
        <f t="shared" ref="BI25" si="33">+BI24*0.75</f>
        <v>8813.9914285714294</v>
      </c>
      <c r="BJ25" s="92">
        <f t="shared" ref="BJ25" si="34">+BJ24*0.75</f>
        <v>8513.9914285714294</v>
      </c>
      <c r="BK25" s="92">
        <f t="shared" ref="BK25" si="35">+BK24*0.75</f>
        <v>8213.9914285714294</v>
      </c>
      <c r="BL25" s="92">
        <f t="shared" ref="BL25:BS25" si="36">+BL24*0.75</f>
        <v>7913.9914285714294</v>
      </c>
      <c r="BM25" s="92">
        <f t="shared" si="36"/>
        <v>7613.9914285714294</v>
      </c>
      <c r="BN25" s="92">
        <f t="shared" si="36"/>
        <v>7313.9914285714294</v>
      </c>
      <c r="BO25" s="92">
        <f t="shared" si="36"/>
        <v>7013.9914285714294</v>
      </c>
      <c r="BP25" s="92">
        <f t="shared" si="36"/>
        <v>6713.9914285714294</v>
      </c>
      <c r="BQ25" s="92">
        <f t="shared" si="36"/>
        <v>6323.9914285714294</v>
      </c>
      <c r="BR25" s="92">
        <f t="shared" si="36"/>
        <v>6053.9914285714294</v>
      </c>
      <c r="BS25" s="92">
        <f t="shared" si="36"/>
        <v>5783.9914285714294</v>
      </c>
      <c r="BT25" s="92">
        <f>+BT24*0.75</f>
        <v>5513.9914285714294</v>
      </c>
    </row>
    <row r="26" spans="2:72" x14ac:dyDescent="0.15">
      <c r="B26" s="38" t="s">
        <v>601</v>
      </c>
    </row>
    <row r="27" spans="2:72" x14ac:dyDescent="0.15">
      <c r="B27" s="38" t="s">
        <v>602</v>
      </c>
    </row>
    <row r="28" spans="2:72" x14ac:dyDescent="0.15">
      <c r="E28" s="38" t="s">
        <v>603</v>
      </c>
    </row>
    <row r="29" spans="2:72" x14ac:dyDescent="0.15">
      <c r="E29" s="38" t="s">
        <v>604</v>
      </c>
    </row>
    <row r="30" spans="2:72" x14ac:dyDescent="0.15">
      <c r="E30" s="38" t="s">
        <v>605</v>
      </c>
    </row>
    <row r="31" spans="2:72" x14ac:dyDescent="0.15">
      <c r="B31" s="38" t="s">
        <v>606</v>
      </c>
      <c r="C31" s="38" t="s">
        <v>607</v>
      </c>
    </row>
    <row r="32" spans="2:72" x14ac:dyDescent="0.15">
      <c r="C32" s="38" t="s">
        <v>712</v>
      </c>
    </row>
    <row r="35" spans="7:72" x14ac:dyDescent="0.15">
      <c r="G35" s="51"/>
      <c r="H35" s="51"/>
      <c r="I35" s="51"/>
      <c r="N35" s="84">
        <v>0</v>
      </c>
      <c r="O35" s="84">
        <v>50</v>
      </c>
      <c r="P35" s="84">
        <v>229</v>
      </c>
      <c r="Q35" s="84">
        <v>355</v>
      </c>
      <c r="R35" s="84">
        <v>454</v>
      </c>
      <c r="S35" s="84">
        <v>835</v>
      </c>
      <c r="T35" s="84">
        <v>729</v>
      </c>
      <c r="U35" s="84">
        <v>945</v>
      </c>
      <c r="V35" s="84">
        <v>1341</v>
      </c>
      <c r="W35" s="84">
        <v>1823</v>
      </c>
      <c r="X35" s="84">
        <v>2063</v>
      </c>
      <c r="Y35" s="84">
        <v>2172</v>
      </c>
      <c r="Z35" s="84">
        <v>3011</v>
      </c>
      <c r="AA35" s="84">
        <v>4053</v>
      </c>
      <c r="AB35" s="84">
        <v>4356</v>
      </c>
      <c r="AC35" s="84">
        <v>3988</v>
      </c>
      <c r="AD35" s="84">
        <v>4496</v>
      </c>
      <c r="AE35" s="84">
        <v>5910</v>
      </c>
      <c r="AF35" s="84"/>
      <c r="AG35" s="84"/>
    </row>
    <row r="36" spans="7:72" x14ac:dyDescent="0.15">
      <c r="N36" s="47">
        <f t="shared" ref="N36:AA36" si="37">+N35/7</f>
        <v>0</v>
      </c>
      <c r="O36" s="47">
        <f t="shared" si="37"/>
        <v>7.1428571428571432</v>
      </c>
      <c r="P36" s="47">
        <f t="shared" si="37"/>
        <v>32.714285714285715</v>
      </c>
      <c r="Q36" s="47">
        <f t="shared" si="37"/>
        <v>50.714285714285715</v>
      </c>
      <c r="R36" s="47">
        <f t="shared" si="37"/>
        <v>64.857142857142861</v>
      </c>
      <c r="S36" s="47">
        <f t="shared" si="37"/>
        <v>119.28571428571429</v>
      </c>
      <c r="T36" s="47">
        <f t="shared" si="37"/>
        <v>104.14285714285714</v>
      </c>
      <c r="U36" s="47">
        <f t="shared" si="37"/>
        <v>135</v>
      </c>
      <c r="V36" s="47">
        <f t="shared" si="37"/>
        <v>191.57142857142858</v>
      </c>
      <c r="W36" s="47">
        <f t="shared" si="37"/>
        <v>260.42857142857144</v>
      </c>
      <c r="X36" s="47">
        <f t="shared" si="37"/>
        <v>294.71428571428572</v>
      </c>
      <c r="Y36" s="47">
        <f t="shared" si="37"/>
        <v>310.28571428571428</v>
      </c>
      <c r="Z36" s="47">
        <f t="shared" si="37"/>
        <v>430.14285714285717</v>
      </c>
      <c r="AA36" s="47">
        <f t="shared" si="37"/>
        <v>579</v>
      </c>
      <c r="AB36" s="47">
        <f t="shared" ref="AB36" si="38">+AB35/7</f>
        <v>622.28571428571433</v>
      </c>
      <c r="AC36" s="47">
        <f t="shared" ref="AC36" si="39">+AC35/7</f>
        <v>569.71428571428567</v>
      </c>
      <c r="AD36" s="47">
        <f t="shared" ref="AD36" si="40">+AD35/7</f>
        <v>642.28571428571433</v>
      </c>
      <c r="AE36" s="47">
        <f t="shared" ref="AE36" si="41">+AE35/7</f>
        <v>844.28571428571433</v>
      </c>
      <c r="AF36" s="47">
        <f t="shared" ref="AF36" si="42">+AF35/7</f>
        <v>0</v>
      </c>
      <c r="AG36" s="47">
        <f t="shared" ref="AG36" si="43">+AG35/7</f>
        <v>0</v>
      </c>
    </row>
    <row r="40" spans="7:72" x14ac:dyDescent="0.15">
      <c r="G40" s="47">
        <v>540</v>
      </c>
      <c r="H40" s="47">
        <v>992</v>
      </c>
      <c r="I40" s="47">
        <v>1425</v>
      </c>
      <c r="J40" s="47">
        <v>2325</v>
      </c>
      <c r="K40" s="47">
        <v>3122</v>
      </c>
      <c r="M40" s="47">
        <v>4365</v>
      </c>
      <c r="N40">
        <v>4755</v>
      </c>
      <c r="O40">
        <v>4836</v>
      </c>
      <c r="P40">
        <v>5432</v>
      </c>
      <c r="Q40">
        <v>6188</v>
      </c>
      <c r="R40">
        <v>6662</v>
      </c>
      <c r="S40">
        <v>7435</v>
      </c>
      <c r="T40">
        <v>8892</v>
      </c>
      <c r="U40">
        <v>10716</v>
      </c>
      <c r="V40">
        <v>12035</v>
      </c>
      <c r="W40">
        <v>14349</v>
      </c>
      <c r="X40">
        <v>16390</v>
      </c>
      <c r="Y40">
        <v>16976</v>
      </c>
      <c r="Z40">
        <v>19640</v>
      </c>
      <c r="AA40">
        <v>22101</v>
      </c>
      <c r="AB40">
        <v>23912</v>
      </c>
      <c r="AC40">
        <v>30065</v>
      </c>
    </row>
    <row r="41" spans="7:72" x14ac:dyDescent="0.15">
      <c r="G41" s="47">
        <f>+G40/7</f>
        <v>77.142857142857139</v>
      </c>
      <c r="H41" s="47">
        <f t="shared" ref="H41:AC41" si="44">+H40/7</f>
        <v>141.71428571428572</v>
      </c>
      <c r="I41" s="47">
        <f t="shared" si="44"/>
        <v>203.57142857142858</v>
      </c>
      <c r="J41" s="47">
        <f t="shared" si="44"/>
        <v>332.14285714285717</v>
      </c>
      <c r="K41" s="47">
        <f t="shared" si="44"/>
        <v>446</v>
      </c>
      <c r="M41" s="47">
        <f t="shared" si="44"/>
        <v>623.57142857142856</v>
      </c>
      <c r="N41" s="47">
        <f t="shared" si="44"/>
        <v>679.28571428571433</v>
      </c>
      <c r="O41" s="47">
        <f t="shared" si="44"/>
        <v>690.85714285714289</v>
      </c>
      <c r="P41" s="47">
        <f t="shared" si="44"/>
        <v>776</v>
      </c>
      <c r="Q41" s="47">
        <f t="shared" si="44"/>
        <v>884</v>
      </c>
      <c r="R41" s="47">
        <f t="shared" si="44"/>
        <v>951.71428571428567</v>
      </c>
      <c r="S41" s="47">
        <f t="shared" si="44"/>
        <v>1062.1428571428571</v>
      </c>
      <c r="T41" s="47">
        <f t="shared" si="44"/>
        <v>1270.2857142857142</v>
      </c>
      <c r="U41" s="47">
        <f t="shared" si="44"/>
        <v>1530.8571428571429</v>
      </c>
      <c r="V41" s="47">
        <f t="shared" si="44"/>
        <v>1719.2857142857142</v>
      </c>
      <c r="W41" s="47">
        <f t="shared" si="44"/>
        <v>2049.8571428571427</v>
      </c>
      <c r="X41" s="47">
        <f t="shared" si="44"/>
        <v>2341.4285714285716</v>
      </c>
      <c r="Y41" s="47">
        <f t="shared" si="44"/>
        <v>2425.1428571428573</v>
      </c>
      <c r="Z41" s="47">
        <f t="shared" si="44"/>
        <v>2805.7142857142858</v>
      </c>
      <c r="AA41" s="47">
        <f t="shared" si="44"/>
        <v>3157.2857142857142</v>
      </c>
      <c r="AB41" s="47">
        <f t="shared" si="44"/>
        <v>3416</v>
      </c>
      <c r="AC41" s="47">
        <f t="shared" si="44"/>
        <v>4295</v>
      </c>
    </row>
    <row r="46" spans="7:72" x14ac:dyDescent="0.15">
      <c r="BT46" s="49"/>
    </row>
    <row r="47" spans="7:72" x14ac:dyDescent="0.15">
      <c r="BT47" s="49"/>
    </row>
    <row r="48" spans="7:72" x14ac:dyDescent="0.15">
      <c r="BT48" s="49"/>
    </row>
    <row r="49" spans="72:72" x14ac:dyDescent="0.15">
      <c r="BT49" s="49"/>
    </row>
  </sheetData>
  <phoneticPr fontId="2" type="noConversion"/>
  <hyperlinks>
    <hyperlink ref="A1" location="Main!A1" display="Main" xr:uid="{A581D972-C31E-C649-9E7D-548888C6F767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F3DD-6C6D-3645-B575-458F0C915EBB}">
  <dimension ref="A1:L28"/>
  <sheetViews>
    <sheetView zoomScale="190" zoomScaleNormal="190" workbookViewId="0">
      <selection activeCell="G3" sqref="G3:J20"/>
    </sheetView>
  </sheetViews>
  <sheetFormatPr baseColWidth="10" defaultRowHeight="13" x14ac:dyDescent="0.15"/>
  <cols>
    <col min="1" max="1" width="4.83203125" bestFit="1" customWidth="1"/>
    <col min="2" max="2" width="12" customWidth="1"/>
    <col min="3" max="10" width="8.33203125" style="53" customWidth="1"/>
    <col min="11" max="12" width="6.5" customWidth="1"/>
  </cols>
  <sheetData>
    <row r="1" spans="1:12" x14ac:dyDescent="0.15">
      <c r="A1" s="13" t="s">
        <v>6</v>
      </c>
      <c r="G1" s="87"/>
      <c r="H1" s="87"/>
      <c r="I1" s="87"/>
      <c r="J1" s="87"/>
    </row>
    <row r="2" spans="1:12" x14ac:dyDescent="0.15">
      <c r="A2" s="38"/>
      <c r="B2" s="38" t="s">
        <v>679</v>
      </c>
      <c r="G2" s="87" t="s">
        <v>690</v>
      </c>
      <c r="H2" s="87" t="s">
        <v>689</v>
      </c>
      <c r="I2" s="87" t="s">
        <v>688</v>
      </c>
      <c r="J2" s="87" t="s">
        <v>687</v>
      </c>
    </row>
    <row r="3" spans="1:12" x14ac:dyDescent="0.15">
      <c r="B3" s="38" t="s">
        <v>666</v>
      </c>
      <c r="C3" s="71" t="s">
        <v>683</v>
      </c>
      <c r="D3" s="71" t="s">
        <v>674</v>
      </c>
      <c r="E3" s="86" t="s">
        <v>675</v>
      </c>
      <c r="F3" s="86" t="s">
        <v>680</v>
      </c>
      <c r="G3" s="91" t="s">
        <v>681</v>
      </c>
      <c r="H3" s="91" t="s">
        <v>678</v>
      </c>
      <c r="I3" s="87" t="s">
        <v>676</v>
      </c>
      <c r="J3" s="87" t="s">
        <v>677</v>
      </c>
    </row>
    <row r="4" spans="1:12" x14ac:dyDescent="0.15">
      <c r="B4" s="38" t="s">
        <v>667</v>
      </c>
      <c r="C4" s="88">
        <v>164.78000000000003</v>
      </c>
      <c r="D4" s="88">
        <v>106.7</v>
      </c>
      <c r="E4" s="88">
        <v>113.08000000000001</v>
      </c>
      <c r="F4" s="88">
        <v>152.9</v>
      </c>
      <c r="G4" s="89">
        <v>190.08000000000004</v>
      </c>
      <c r="H4" s="89">
        <v>216.48000000000002</v>
      </c>
      <c r="I4" s="89">
        <v>235.4</v>
      </c>
      <c r="J4" s="89">
        <v>260.48</v>
      </c>
      <c r="L4" s="89">
        <v>30</v>
      </c>
    </row>
    <row r="5" spans="1:12" x14ac:dyDescent="0.15">
      <c r="B5" s="38" t="s">
        <v>668</v>
      </c>
      <c r="C5" s="88">
        <v>174.46</v>
      </c>
      <c r="D5" s="88">
        <v>110.66</v>
      </c>
      <c r="E5" s="88">
        <v>118.36</v>
      </c>
      <c r="F5" s="88">
        <v>161.26000000000002</v>
      </c>
      <c r="G5" s="89">
        <v>201.3</v>
      </c>
      <c r="H5" s="89">
        <v>223.74000000000004</v>
      </c>
      <c r="I5" s="89">
        <v>243.76000000000002</v>
      </c>
      <c r="J5" s="89">
        <v>280.72000000000003</v>
      </c>
      <c r="L5" s="89">
        <v>12</v>
      </c>
    </row>
    <row r="6" spans="1:12" x14ac:dyDescent="0.15">
      <c r="B6" s="38" t="s">
        <v>669</v>
      </c>
      <c r="C6" s="89">
        <v>177.76000000000002</v>
      </c>
      <c r="D6" s="88">
        <v>117.26</v>
      </c>
      <c r="E6" s="88">
        <v>125.4</v>
      </c>
      <c r="F6" s="88">
        <v>165.44000000000003</v>
      </c>
      <c r="G6" s="89">
        <v>202.62</v>
      </c>
      <c r="H6" s="89">
        <v>227.26000000000002</v>
      </c>
      <c r="I6" s="89">
        <v>249.04000000000002</v>
      </c>
      <c r="J6" s="89">
        <v>272.36</v>
      </c>
      <c r="L6" s="89">
        <f>+L4+L5</f>
        <v>42</v>
      </c>
    </row>
    <row r="7" spans="1:12" x14ac:dyDescent="0.15">
      <c r="B7" s="38" t="s">
        <v>670</v>
      </c>
      <c r="C7" s="88">
        <v>173.14000000000001</v>
      </c>
      <c r="D7" s="88">
        <v>108.24000000000001</v>
      </c>
      <c r="E7" s="88">
        <v>121.44000000000001</v>
      </c>
      <c r="F7" s="88">
        <v>164.12</v>
      </c>
      <c r="G7" s="89">
        <v>198.22</v>
      </c>
      <c r="H7" s="89">
        <v>215.16000000000003</v>
      </c>
      <c r="I7" s="89">
        <v>230.56</v>
      </c>
      <c r="J7" s="89">
        <v>266.42</v>
      </c>
      <c r="L7" s="89"/>
    </row>
    <row r="8" spans="1:12" x14ac:dyDescent="0.15">
      <c r="B8" s="38" t="s">
        <v>671</v>
      </c>
      <c r="C8" s="88">
        <v>172.04000000000002</v>
      </c>
      <c r="D8" s="88">
        <v>111.76</v>
      </c>
      <c r="E8" s="88">
        <v>124.30000000000001</v>
      </c>
      <c r="F8" s="88">
        <v>165.22</v>
      </c>
      <c r="G8" s="89">
        <v>196.46</v>
      </c>
      <c r="H8" s="89">
        <v>215.82</v>
      </c>
      <c r="I8" s="89">
        <v>228.14000000000001</v>
      </c>
      <c r="J8" s="89">
        <v>247.94000000000003</v>
      </c>
    </row>
    <row r="9" spans="1:12" x14ac:dyDescent="0.15">
      <c r="B9" s="38" t="s">
        <v>672</v>
      </c>
      <c r="C9" s="88">
        <v>164.34000000000003</v>
      </c>
      <c r="D9" s="88">
        <v>111.54000000000002</v>
      </c>
      <c r="E9" s="88">
        <v>119.46000000000001</v>
      </c>
      <c r="F9" s="88">
        <v>161.04000000000002</v>
      </c>
      <c r="G9" s="89">
        <v>184.58000000000004</v>
      </c>
      <c r="H9" s="89">
        <v>196.46</v>
      </c>
      <c r="I9" s="89">
        <v>209.22</v>
      </c>
      <c r="J9" s="89">
        <v>236.06</v>
      </c>
    </row>
    <row r="10" spans="1:12" x14ac:dyDescent="0.15">
      <c r="B10" s="38" t="s">
        <v>673</v>
      </c>
      <c r="C10" s="88">
        <v>149.38000000000002</v>
      </c>
      <c r="D10" s="88">
        <v>102.08</v>
      </c>
      <c r="E10" s="88">
        <v>110.00000000000001</v>
      </c>
      <c r="F10" s="88">
        <v>145.86000000000001</v>
      </c>
      <c r="G10" s="89">
        <v>167.86</v>
      </c>
      <c r="H10" s="89">
        <v>181.06</v>
      </c>
      <c r="I10" s="89">
        <v>189.86</v>
      </c>
      <c r="J10" s="89">
        <v>212.96</v>
      </c>
    </row>
    <row r="11" spans="1:12" x14ac:dyDescent="0.15">
      <c r="G11" s="87"/>
      <c r="H11" s="87"/>
      <c r="I11" s="87"/>
      <c r="J11" s="87"/>
    </row>
    <row r="12" spans="1:12" x14ac:dyDescent="0.15">
      <c r="B12" s="38" t="s">
        <v>682</v>
      </c>
      <c r="G12" s="71"/>
      <c r="H12" s="71"/>
      <c r="I12" s="71"/>
      <c r="J12" s="71"/>
    </row>
    <row r="13" spans="1:12" x14ac:dyDescent="0.15">
      <c r="B13" s="38" t="s">
        <v>666</v>
      </c>
      <c r="C13" s="71" t="s">
        <v>683</v>
      </c>
      <c r="D13" s="71" t="s">
        <v>674</v>
      </c>
      <c r="E13" s="86" t="s">
        <v>675</v>
      </c>
      <c r="F13" s="86" t="s">
        <v>680</v>
      </c>
      <c r="G13" s="86" t="s">
        <v>681</v>
      </c>
      <c r="H13" s="86" t="s">
        <v>678</v>
      </c>
      <c r="I13" s="71" t="s">
        <v>676</v>
      </c>
      <c r="J13" s="87" t="s">
        <v>677</v>
      </c>
    </row>
    <row r="14" spans="1:12" x14ac:dyDescent="0.15">
      <c r="B14" s="38" t="s">
        <v>667</v>
      </c>
      <c r="C14" s="88">
        <v>188.6</v>
      </c>
      <c r="D14" s="88">
        <v>128.5</v>
      </c>
      <c r="E14" s="88">
        <v>135.6</v>
      </c>
      <c r="F14" s="88">
        <v>179.1</v>
      </c>
      <c r="G14" s="90">
        <v>216.5</v>
      </c>
      <c r="H14" s="90">
        <v>242.1</v>
      </c>
      <c r="I14" s="90">
        <v>255.7</v>
      </c>
      <c r="J14" s="89">
        <v>282.3</v>
      </c>
    </row>
    <row r="15" spans="1:12" x14ac:dyDescent="0.15">
      <c r="B15" s="38" t="s">
        <v>668</v>
      </c>
      <c r="C15" s="88">
        <v>208.1</v>
      </c>
      <c r="D15" s="88">
        <v>143.4</v>
      </c>
      <c r="E15" s="88">
        <v>154.9</v>
      </c>
      <c r="F15" s="88">
        <v>197.7</v>
      </c>
      <c r="G15" s="90">
        <v>230.6</v>
      </c>
      <c r="H15" s="90">
        <v>256.2</v>
      </c>
      <c r="I15" s="90">
        <v>273</v>
      </c>
      <c r="J15" s="89">
        <v>308.5</v>
      </c>
    </row>
    <row r="16" spans="1:12" x14ac:dyDescent="0.15">
      <c r="B16" s="38" t="s">
        <v>669</v>
      </c>
      <c r="C16" s="89">
        <v>206.9</v>
      </c>
      <c r="D16" s="88">
        <v>146.30000000000001</v>
      </c>
      <c r="E16" s="88">
        <v>154.5</v>
      </c>
      <c r="F16" s="88">
        <v>199.5</v>
      </c>
      <c r="G16" s="90">
        <v>229.2</v>
      </c>
      <c r="H16" s="90">
        <v>250.6</v>
      </c>
      <c r="I16" s="90">
        <v>263.60000000000002</v>
      </c>
      <c r="J16" s="89">
        <v>293.89999999999998</v>
      </c>
    </row>
    <row r="17" spans="2:10" x14ac:dyDescent="0.15">
      <c r="B17" s="38" t="s">
        <v>670</v>
      </c>
      <c r="C17" s="88">
        <v>202.5</v>
      </c>
      <c r="D17" s="88">
        <v>139.30000000000001</v>
      </c>
      <c r="E17" s="88">
        <v>151.1</v>
      </c>
      <c r="F17" s="88">
        <v>197.5</v>
      </c>
      <c r="G17" s="90">
        <v>224.8</v>
      </c>
      <c r="H17" s="90">
        <v>243.4</v>
      </c>
      <c r="I17" s="90">
        <v>273.2</v>
      </c>
      <c r="J17" s="89">
        <v>288</v>
      </c>
    </row>
    <row r="18" spans="2:10" x14ac:dyDescent="0.15">
      <c r="B18" s="38" t="s">
        <v>671</v>
      </c>
      <c r="C18" s="88">
        <v>201.2</v>
      </c>
      <c r="D18" s="88">
        <v>137.30000000000001</v>
      </c>
      <c r="E18" s="88">
        <v>149.1</v>
      </c>
      <c r="F18" s="88">
        <v>197.2</v>
      </c>
      <c r="G18" s="90">
        <v>226.8</v>
      </c>
      <c r="H18" s="90">
        <v>241.7</v>
      </c>
      <c r="I18" s="90">
        <v>257.3</v>
      </c>
      <c r="J18" s="89">
        <v>282.5</v>
      </c>
    </row>
    <row r="19" spans="2:10" x14ac:dyDescent="0.15">
      <c r="B19" s="38" t="s">
        <v>672</v>
      </c>
      <c r="C19" s="88">
        <v>193.4</v>
      </c>
      <c r="D19" s="88">
        <v>133.4</v>
      </c>
      <c r="E19" s="88">
        <v>147.80000000000001</v>
      </c>
      <c r="F19" s="88">
        <v>188</v>
      </c>
      <c r="G19" s="90">
        <v>216.1</v>
      </c>
      <c r="H19" s="90">
        <v>233.2</v>
      </c>
      <c r="I19" s="90">
        <v>239.7</v>
      </c>
      <c r="J19" s="89">
        <v>262.5</v>
      </c>
    </row>
    <row r="20" spans="2:10" x14ac:dyDescent="0.15">
      <c r="B20" s="38" t="s">
        <v>673</v>
      </c>
      <c r="C20" s="88">
        <v>177.5</v>
      </c>
      <c r="D20" s="88">
        <v>123.9</v>
      </c>
      <c r="E20" s="88">
        <v>136.69999999999999</v>
      </c>
      <c r="F20" s="88">
        <v>175.6</v>
      </c>
      <c r="G20" s="90">
        <v>198.4</v>
      </c>
      <c r="H20" s="90">
        <v>214.3</v>
      </c>
      <c r="I20" s="90">
        <v>218.6</v>
      </c>
      <c r="J20" s="89">
        <v>238</v>
      </c>
    </row>
    <row r="21" spans="2:10" x14ac:dyDescent="0.15">
      <c r="G21" s="71"/>
      <c r="H21" s="71"/>
      <c r="I21" s="71"/>
      <c r="J21" s="71"/>
    </row>
    <row r="22" spans="2:10" x14ac:dyDescent="0.15">
      <c r="G22" s="71"/>
      <c r="H22" s="71"/>
      <c r="I22" s="71"/>
      <c r="J22" s="71"/>
    </row>
    <row r="23" spans="2:10" x14ac:dyDescent="0.15">
      <c r="B23" s="38" t="s">
        <v>684</v>
      </c>
      <c r="D23" s="53">
        <f>3.3+3.4+3.1+2.8</f>
        <v>12.599999999999998</v>
      </c>
      <c r="E23" s="53">
        <f>2.7+3+3.2+3.3</f>
        <v>12.2</v>
      </c>
      <c r="F23" s="53">
        <v>24.8</v>
      </c>
      <c r="G23" s="71"/>
      <c r="H23" s="71"/>
      <c r="I23" s="71"/>
      <c r="J23" s="71"/>
    </row>
    <row r="24" spans="2:10" x14ac:dyDescent="0.15">
      <c r="I24" s="71"/>
      <c r="J24" s="71"/>
    </row>
    <row r="25" spans="2:10" x14ac:dyDescent="0.15">
      <c r="B25" s="38" t="s">
        <v>685</v>
      </c>
      <c r="C25" s="54">
        <v>331000</v>
      </c>
      <c r="G25" s="71">
        <f>12.3+16.4+9.2+11.9</f>
        <v>49.8</v>
      </c>
      <c r="I25" s="71" t="s">
        <v>691</v>
      </c>
      <c r="J25" s="71"/>
    </row>
    <row r="26" spans="2:10" x14ac:dyDescent="0.15">
      <c r="B26" s="38" t="s">
        <v>686</v>
      </c>
      <c r="C26" s="54">
        <f>C25*0.75</f>
        <v>248250</v>
      </c>
      <c r="G26" s="71">
        <f>16.4+9.2+11.9</f>
        <v>37.5</v>
      </c>
      <c r="I26" s="71" t="s">
        <v>692</v>
      </c>
    </row>
    <row r="27" spans="2:10" x14ac:dyDescent="0.15">
      <c r="C27" s="54"/>
      <c r="G27" s="71">
        <f>9.2+11.9</f>
        <v>21.1</v>
      </c>
      <c r="I27" s="71" t="s">
        <v>693</v>
      </c>
    </row>
    <row r="28" spans="2:10" x14ac:dyDescent="0.15">
      <c r="G28" s="53">
        <v>11.9</v>
      </c>
      <c r="I28" s="71" t="s">
        <v>694</v>
      </c>
    </row>
  </sheetData>
  <hyperlinks>
    <hyperlink ref="A1" location="Main!A1" display="Main" xr:uid="{E2694DAA-AC9C-DF40-85BE-85E024F349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3"/>
  <sheetViews>
    <sheetView zoomScale="150" zoomScaleNormal="150" workbookViewId="0"/>
  </sheetViews>
  <sheetFormatPr baseColWidth="10" defaultRowHeight="13" x14ac:dyDescent="0.15"/>
  <cols>
    <col min="1" max="1" width="4.83203125" bestFit="1" customWidth="1"/>
    <col min="2" max="2" width="7.1640625" bestFit="1" customWidth="1"/>
  </cols>
  <sheetData>
    <row r="1" spans="1:3" x14ac:dyDescent="0.15">
      <c r="A1" s="13" t="s">
        <v>6</v>
      </c>
    </row>
    <row r="2" spans="1:3" x14ac:dyDescent="0.15">
      <c r="B2" s="38" t="s">
        <v>403</v>
      </c>
      <c r="C2" s="38" t="s">
        <v>366</v>
      </c>
    </row>
    <row r="3" spans="1:3" x14ac:dyDescent="0.15">
      <c r="B3" s="38" t="s">
        <v>404</v>
      </c>
      <c r="C3" s="38" t="s">
        <v>464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C9"/>
  <sheetViews>
    <sheetView zoomScale="160" zoomScaleNormal="160" workbookViewId="0"/>
  </sheetViews>
  <sheetFormatPr baseColWidth="10" defaultRowHeight="13" x14ac:dyDescent="0.15"/>
  <cols>
    <col min="1" max="1" width="4.83203125" bestFit="1" customWidth="1"/>
  </cols>
  <sheetData>
    <row r="1" spans="1:3" x14ac:dyDescent="0.15">
      <c r="A1" s="13" t="s">
        <v>6</v>
      </c>
    </row>
    <row r="2" spans="1:3" x14ac:dyDescent="0.15">
      <c r="B2" s="38" t="s">
        <v>403</v>
      </c>
      <c r="C2" s="38" t="s">
        <v>549</v>
      </c>
    </row>
    <row r="3" spans="1:3" x14ac:dyDescent="0.15">
      <c r="B3" s="38" t="s">
        <v>404</v>
      </c>
      <c r="C3" s="38" t="s">
        <v>546</v>
      </c>
    </row>
    <row r="4" spans="1:3" x14ac:dyDescent="0.15">
      <c r="B4" s="38" t="s">
        <v>1</v>
      </c>
      <c r="C4" s="38" t="s">
        <v>550</v>
      </c>
    </row>
    <row r="5" spans="1:3" x14ac:dyDescent="0.15">
      <c r="B5" s="38" t="s">
        <v>92</v>
      </c>
    </row>
    <row r="6" spans="1:3" x14ac:dyDescent="0.15">
      <c r="C6" s="20" t="s">
        <v>558</v>
      </c>
    </row>
    <row r="7" spans="1:3" x14ac:dyDescent="0.15">
      <c r="C7" s="38" t="s">
        <v>559</v>
      </c>
    </row>
    <row r="9" spans="1:3" x14ac:dyDescent="0.15">
      <c r="C9" s="20" t="s">
        <v>748</v>
      </c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F13F-7BA0-5247-AC73-17E84DF02A95}">
  <dimension ref="A1:C5"/>
  <sheetViews>
    <sheetView zoomScale="287" zoomScaleNormal="287" workbookViewId="0">
      <selection activeCell="B6" sqref="B6"/>
    </sheetView>
  </sheetViews>
  <sheetFormatPr baseColWidth="10" defaultRowHeight="13" x14ac:dyDescent="0.15"/>
  <cols>
    <col min="1" max="1" width="4.83203125" bestFit="1" customWidth="1"/>
    <col min="2" max="2" width="12.1640625" bestFit="1" customWidth="1"/>
  </cols>
  <sheetData>
    <row r="1" spans="1:3" x14ac:dyDescent="0.15">
      <c r="A1" s="13" t="s">
        <v>6</v>
      </c>
    </row>
    <row r="2" spans="1:3" x14ac:dyDescent="0.15">
      <c r="B2" s="38" t="s">
        <v>50</v>
      </c>
    </row>
    <row r="3" spans="1:3" x14ac:dyDescent="0.15">
      <c r="B3" s="38" t="s">
        <v>48</v>
      </c>
      <c r="C3" s="38" t="s">
        <v>483</v>
      </c>
    </row>
    <row r="4" spans="1:3" x14ac:dyDescent="0.15">
      <c r="B4" s="38" t="s">
        <v>92</v>
      </c>
    </row>
    <row r="5" spans="1:3" x14ac:dyDescent="0.15">
      <c r="C5" s="20" t="s">
        <v>749</v>
      </c>
    </row>
  </sheetData>
  <hyperlinks>
    <hyperlink ref="A1" location="Main!A1" display="Main" xr:uid="{87D2214E-6297-804B-97B9-9124280D58A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5"/>
  <sheetViews>
    <sheetView zoomScale="160" zoomScaleNormal="160" workbookViewId="0"/>
  </sheetViews>
  <sheetFormatPr baseColWidth="10" defaultRowHeight="13" x14ac:dyDescent="0.15"/>
  <cols>
    <col min="1" max="1" width="4.83203125" bestFit="1" customWidth="1"/>
    <col min="2" max="2" width="11.33203125" customWidth="1"/>
  </cols>
  <sheetData>
    <row r="1" spans="1:3" x14ac:dyDescent="0.15">
      <c r="A1" s="13" t="s">
        <v>6</v>
      </c>
    </row>
    <row r="2" spans="1:3" x14ac:dyDescent="0.15">
      <c r="B2" s="38" t="s">
        <v>403</v>
      </c>
      <c r="C2" s="38" t="s">
        <v>534</v>
      </c>
    </row>
    <row r="3" spans="1:3" x14ac:dyDescent="0.15">
      <c r="B3" s="38" t="s">
        <v>404</v>
      </c>
      <c r="C3" t="s">
        <v>536</v>
      </c>
    </row>
    <row r="4" spans="1:3" x14ac:dyDescent="0.15">
      <c r="B4" s="38" t="s">
        <v>1</v>
      </c>
      <c r="C4" s="38" t="s">
        <v>557</v>
      </c>
    </row>
    <row r="5" spans="1:3" x14ac:dyDescent="0.15">
      <c r="B5" s="38" t="s">
        <v>406</v>
      </c>
      <c r="C5" s="38" t="s">
        <v>538</v>
      </c>
    </row>
    <row r="6" spans="1:3" x14ac:dyDescent="0.15">
      <c r="B6" s="38" t="s">
        <v>543</v>
      </c>
      <c r="C6" s="38" t="s">
        <v>544</v>
      </c>
    </row>
    <row r="7" spans="1:3" x14ac:dyDescent="0.15">
      <c r="B7" s="38" t="s">
        <v>92</v>
      </c>
    </row>
    <row r="8" spans="1:3" x14ac:dyDescent="0.15">
      <c r="B8" s="38"/>
      <c r="C8" s="20" t="s">
        <v>545</v>
      </c>
    </row>
    <row r="9" spans="1:3" x14ac:dyDescent="0.15">
      <c r="B9" s="38"/>
    </row>
    <row r="10" spans="1:3" x14ac:dyDescent="0.15">
      <c r="B10" s="38"/>
    </row>
    <row r="11" spans="1:3" x14ac:dyDescent="0.15">
      <c r="B11" s="38"/>
    </row>
    <row r="12" spans="1:3" x14ac:dyDescent="0.15">
      <c r="C12" s="20" t="s">
        <v>539</v>
      </c>
    </row>
    <row r="13" spans="1:3" x14ac:dyDescent="0.15">
      <c r="C13" s="38" t="s">
        <v>540</v>
      </c>
    </row>
    <row r="14" spans="1:3" x14ac:dyDescent="0.15">
      <c r="C14" s="38" t="s">
        <v>541</v>
      </c>
    </row>
    <row r="15" spans="1:3" x14ac:dyDescent="0.15">
      <c r="C15" s="38" t="s">
        <v>542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Master</vt:lpstr>
      <vt:lpstr>Main</vt:lpstr>
      <vt:lpstr>Model</vt:lpstr>
      <vt:lpstr>GLP-1s</vt:lpstr>
      <vt:lpstr>Obesity</vt:lpstr>
      <vt:lpstr>Trulicity</vt:lpstr>
      <vt:lpstr>Mounjaro-Zepbound</vt:lpstr>
      <vt:lpstr>donanemab</vt:lpstr>
      <vt:lpstr>Jayprica</vt:lpstr>
      <vt:lpstr>Verzenio</vt:lpstr>
      <vt:lpstr>Alimta</vt:lpstr>
      <vt:lpstr>Cymbalta</vt:lpstr>
      <vt:lpstr>Jardiance</vt:lpstr>
      <vt:lpstr>Forteo</vt:lpstr>
      <vt:lpstr>Strattera</vt:lpstr>
      <vt:lpstr>Cialis</vt:lpstr>
      <vt:lpstr>Evista</vt:lpstr>
      <vt:lpstr>Gemzar</vt:lpstr>
      <vt:lpstr>Zyprexa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2024-05-25T18:15:10Z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