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7BD17455-5DCE-46BD-9387-348C0ACCDF7E}" xr6:coauthVersionLast="47" xr6:coauthVersionMax="47" xr10:uidLastSave="{00000000-0000-0000-0000-000000000000}"/>
  <bookViews>
    <workbookView xWindow="15270" yWindow="2900" windowWidth="21900" windowHeight="14640" firstSheet="1" activeTab="1" xr2:uid="{00000000-000D-0000-FFFF-FFFF00000000}"/>
  </bookViews>
  <sheets>
    <sheet name="Master" sheetId="75" r:id="rId1"/>
    <sheet name="Main" sheetId="1" r:id="rId2"/>
    <sheet name="Model" sheetId="27" r:id="rId3"/>
    <sheet name="Repatha" sheetId="79" r:id="rId4"/>
    <sheet name="Imdelltra" sheetId="88" r:id="rId5"/>
    <sheet name="Krystexxa" sheetId="82" r:id="rId6"/>
    <sheet name="Blincyto" sheetId="87" r:id="rId7"/>
    <sheet name="Otezla" sheetId="86" r:id="rId8"/>
    <sheet name="Tezspire" sheetId="84" r:id="rId9"/>
    <sheet name="Tepezza" sheetId="81" r:id="rId10"/>
    <sheet name="Tavneos" sheetId="80" r:id="rId11"/>
    <sheet name="Uplizna" sheetId="83" r:id="rId12"/>
    <sheet name="Enbrel" sheetId="52" r:id="rId13"/>
    <sheet name="Lumakras" sheetId="76" r:id="rId14"/>
    <sheet name="Neulasta" sheetId="56" r:id="rId15"/>
    <sheet name="olpasiran" sheetId="78" r:id="rId16"/>
    <sheet name="xaluritamig" sheetId="89" r:id="rId17"/>
    <sheet name="bemarituzumab" sheetId="90" r:id="rId18"/>
    <sheet name="maridebart cafraglutide" sheetId="77" r:id="rId19"/>
    <sheet name="rocatinlimab" sheetId="85" r:id="rId20"/>
    <sheet name="Neupogen" sheetId="57" r:id="rId21"/>
    <sheet name="Epogen" sheetId="64" r:id="rId22"/>
    <sheet name="EPO safety" sheetId="66" r:id="rId23"/>
    <sheet name="Aranesp" sheetId="2" r:id="rId24"/>
    <sheet name="G-CSF" sheetId="30" r:id="rId25"/>
    <sheet name="Sensipar" sheetId="54" r:id="rId26"/>
    <sheet name="Nplate" sheetId="8" r:id="rId27"/>
    <sheet name="Vectibix" sheetId="6" r:id="rId28"/>
    <sheet name="Denosumab" sheetId="9" r:id="rId29"/>
    <sheet name="Denosumab trials" sheetId="50" r:id="rId30"/>
    <sheet name="Kineret" sheetId="63" r:id="rId31"/>
    <sheet name="193" sheetId="91" r:id="rId32"/>
    <sheet name="706" sheetId="7" r:id="rId33"/>
    <sheet name="108" sheetId="46" r:id="rId34"/>
    <sheet name="114" sheetId="15" r:id="rId35"/>
    <sheet name="223" sheetId="71" r:id="rId36"/>
    <sheet name="386" sheetId="51" r:id="rId37"/>
    <sheet name="479" sheetId="58" r:id="rId38"/>
    <sheet name="102" sheetId="55" r:id="rId39"/>
    <sheet name="655" sheetId="74" r:id="rId40"/>
    <sheet name="785" sheetId="70" r:id="rId41"/>
    <sheet name="811" sheetId="73" r:id="rId42"/>
    <sheet name="208" sheetId="72" r:id="rId43"/>
    <sheet name="714" sheetId="53" r:id="rId44"/>
    <sheet name="Failures" sheetId="10" r:id="rId45"/>
    <sheet name="Kepivance" sheetId="5" r:id="rId46"/>
  </sheets>
  <externalReferences>
    <externalReference r:id="rId47"/>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Model!$B$1:$DG$53</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S121" i="27" l="1"/>
  <c r="CS119" i="27"/>
  <c r="CS120" i="27"/>
  <c r="CS117" i="27"/>
  <c r="CS113" i="27"/>
  <c r="CS116" i="27"/>
  <c r="CS111" i="27"/>
  <c r="CS110" i="27"/>
  <c r="CS109" i="27"/>
  <c r="CS108" i="27"/>
  <c r="CS107" i="27"/>
  <c r="CS106" i="27"/>
  <c r="CS105" i="27"/>
  <c r="CS104" i="27"/>
  <c r="CS103" i="27"/>
  <c r="CS101" i="27"/>
  <c r="CS95" i="27"/>
  <c r="CS97" i="27"/>
  <c r="CS89" i="27"/>
  <c r="CS87" i="27"/>
  <c r="CS78" i="27"/>
  <c r="EG39" i="27"/>
  <c r="EB34" i="27"/>
  <c r="EC34" i="27" s="1"/>
  <c r="ED34" i="27" s="1"/>
  <c r="EE34" i="27" s="1"/>
  <c r="EF34" i="27" s="1"/>
  <c r="EG34" i="27" s="1"/>
  <c r="EH34" i="27" s="1"/>
  <c r="EI34" i="27" s="1"/>
  <c r="EJ34" i="27" s="1"/>
  <c r="EB32" i="27"/>
  <c r="EC32" i="27" s="1"/>
  <c r="ED32" i="27" s="1"/>
  <c r="EE32" i="27" s="1"/>
  <c r="EF32" i="27" s="1"/>
  <c r="EG32" i="27" s="1"/>
  <c r="EH32" i="27" s="1"/>
  <c r="EI32" i="27" s="1"/>
  <c r="EJ32" i="27" s="1"/>
  <c r="EA34" i="27"/>
  <c r="EA32" i="27"/>
  <c r="EC13" i="27"/>
  <c r="ED13" i="27" s="1"/>
  <c r="EE13" i="27" s="1"/>
  <c r="EF13" i="27" s="1"/>
  <c r="EG13" i="27" s="1"/>
  <c r="EH13" i="27" s="1"/>
  <c r="EI13" i="27" s="1"/>
  <c r="EJ13" i="27" s="1"/>
  <c r="EB13" i="27"/>
  <c r="EA13" i="27"/>
  <c r="ED20" i="27"/>
  <c r="EC20" i="27"/>
  <c r="EB20" i="27"/>
  <c r="EA20" i="27"/>
  <c r="ED19" i="27"/>
  <c r="EC19" i="27"/>
  <c r="EB19" i="27"/>
  <c r="EA19" i="27"/>
  <c r="EA39" i="27"/>
  <c r="DZ39" i="27"/>
  <c r="EH38" i="27"/>
  <c r="EI38" i="27" s="1"/>
  <c r="EJ38" i="27" s="1"/>
  <c r="EG38" i="27"/>
  <c r="EF38" i="27"/>
  <c r="CX40" i="27"/>
  <c r="CW40" i="27"/>
  <c r="CV40" i="27"/>
  <c r="CU40" i="27"/>
  <c r="EJ37" i="27"/>
  <c r="EI37" i="27"/>
  <c r="EH37" i="27"/>
  <c r="EG37" i="27"/>
  <c r="CU10" i="27"/>
  <c r="CV10" i="27" s="1"/>
  <c r="CT50" i="27"/>
  <c r="CT48" i="27"/>
  <c r="CT72" i="27"/>
  <c r="CS72" i="27"/>
  <c r="CT70" i="27"/>
  <c r="CS70" i="27"/>
  <c r="BO48" i="27"/>
  <c r="BO46" i="27"/>
  <c r="BS48" i="27"/>
  <c r="BS46" i="27"/>
  <c r="BS41" i="27"/>
  <c r="BS57" i="27" s="1"/>
  <c r="BR41" i="27"/>
  <c r="BQ41" i="27"/>
  <c r="BP41" i="27"/>
  <c r="BO41" i="27"/>
  <c r="BO57" i="27" s="1"/>
  <c r="CX48" i="27"/>
  <c r="CW48" i="27"/>
  <c r="CX45" i="27"/>
  <c r="CW45" i="27"/>
  <c r="CV45" i="27"/>
  <c r="CU45" i="27"/>
  <c r="CX44" i="27"/>
  <c r="CW44" i="27"/>
  <c r="CV44" i="27"/>
  <c r="CU44" i="27"/>
  <c r="DZ44" i="27" s="1"/>
  <c r="CW20" i="27"/>
  <c r="DZ20" i="27" s="1"/>
  <c r="CX20" i="27"/>
  <c r="CV20" i="27"/>
  <c r="CU20" i="27"/>
  <c r="DY50" i="27"/>
  <c r="DY45" i="27"/>
  <c r="DY44" i="27"/>
  <c r="DY42" i="27"/>
  <c r="DZ40" i="27"/>
  <c r="DY40" i="27"/>
  <c r="DY36" i="27"/>
  <c r="DZ35" i="27"/>
  <c r="DY35" i="27"/>
  <c r="DZ34" i="27"/>
  <c r="DY34" i="27"/>
  <c r="DZ32" i="27"/>
  <c r="DY32" i="27"/>
  <c r="DZ31" i="27"/>
  <c r="DY31" i="27"/>
  <c r="DZ30" i="27"/>
  <c r="DY30" i="27"/>
  <c r="DZ29" i="27"/>
  <c r="DY29" i="27"/>
  <c r="DY28" i="27"/>
  <c r="DY27" i="27"/>
  <c r="DY26" i="27"/>
  <c r="DZ25" i="27"/>
  <c r="DY25" i="27"/>
  <c r="DY23" i="27"/>
  <c r="DY22" i="27"/>
  <c r="DY21" i="27"/>
  <c r="DY20" i="27"/>
  <c r="CX19" i="27"/>
  <c r="CW19" i="27"/>
  <c r="CV19" i="27"/>
  <c r="CU19" i="27"/>
  <c r="DZ19" i="27"/>
  <c r="DY19" i="27"/>
  <c r="DY18" i="27"/>
  <c r="DY17" i="27"/>
  <c r="DY13" i="27"/>
  <c r="DY10" i="27"/>
  <c r="DZ9" i="27"/>
  <c r="DY9" i="27"/>
  <c r="CX8" i="27"/>
  <c r="CW8" i="27"/>
  <c r="CV8" i="27"/>
  <c r="CU8" i="27"/>
  <c r="DY8" i="27"/>
  <c r="DY7" i="27"/>
  <c r="DY4" i="27"/>
  <c r="DY3" i="27"/>
  <c r="CT41" i="27"/>
  <c r="CT46" i="27"/>
  <c r="CS46" i="27"/>
  <c r="CP121" i="27"/>
  <c r="CP120" i="27"/>
  <c r="CP115" i="27"/>
  <c r="CP106" i="27"/>
  <c r="CP97" i="27"/>
  <c r="CP78" i="27" s="1"/>
  <c r="CP95" i="27"/>
  <c r="CP101" i="27" s="1"/>
  <c r="CP87" i="27"/>
  <c r="CP89" i="27" s="1"/>
  <c r="DX50" i="27"/>
  <c r="DX45" i="27"/>
  <c r="DX44" i="27"/>
  <c r="DX42" i="27"/>
  <c r="DX40" i="27"/>
  <c r="DX36" i="27"/>
  <c r="DX35" i="27"/>
  <c r="DX34" i="27"/>
  <c r="DX33" i="27"/>
  <c r="DX31" i="27"/>
  <c r="DX30" i="27"/>
  <c r="DX29" i="27"/>
  <c r="DX28" i="27"/>
  <c r="DX27" i="27"/>
  <c r="DX26" i="27"/>
  <c r="DX25" i="27"/>
  <c r="DX24" i="27"/>
  <c r="DX23" i="27"/>
  <c r="DX22" i="27"/>
  <c r="DX21" i="27"/>
  <c r="DX20" i="27"/>
  <c r="DX19" i="27"/>
  <c r="DX18" i="27"/>
  <c r="DX17" i="27"/>
  <c r="DX13" i="27"/>
  <c r="DX3" i="27"/>
  <c r="DX4" i="27"/>
  <c r="DX7" i="27"/>
  <c r="DX8" i="27"/>
  <c r="DX9" i="27"/>
  <c r="DX10" i="27"/>
  <c r="DV168" i="27"/>
  <c r="DW168" i="27"/>
  <c r="DX168" i="27"/>
  <c r="CO97" i="27"/>
  <c r="CO87" i="27"/>
  <c r="CO89" i="27" s="1"/>
  <c r="CO101" i="27"/>
  <c r="CO78" i="27"/>
  <c r="CO48" i="27"/>
  <c r="CN121" i="27"/>
  <c r="CO121" i="27" s="1"/>
  <c r="CN120" i="27"/>
  <c r="CO120" i="27" s="1"/>
  <c r="CN116" i="27"/>
  <c r="CO116" i="27" s="1"/>
  <c r="CP116" i="27" s="1"/>
  <c r="CN114" i="27"/>
  <c r="CO114" i="27" s="1"/>
  <c r="CP114" i="27" s="1"/>
  <c r="CN110" i="27"/>
  <c r="CO110" i="27" s="1"/>
  <c r="CP110" i="27" s="1"/>
  <c r="CN109" i="27"/>
  <c r="CO109" i="27" s="1"/>
  <c r="CP109" i="27" s="1"/>
  <c r="CN108" i="27"/>
  <c r="CO108" i="27" s="1"/>
  <c r="CP108" i="27" s="1"/>
  <c r="CN107" i="27"/>
  <c r="CO107" i="27" s="1"/>
  <c r="CP107" i="27" s="1"/>
  <c r="CN105" i="27"/>
  <c r="CO105" i="27" s="1"/>
  <c r="CP105" i="27" s="1"/>
  <c r="CN104" i="27"/>
  <c r="CN111" i="27" s="1"/>
  <c r="CN97" i="27"/>
  <c r="CN78" i="27" s="1"/>
  <c r="CN87" i="27"/>
  <c r="CN101" i="27"/>
  <c r="CN89" i="27"/>
  <c r="CR41" i="27"/>
  <c r="CR43" i="27" s="1"/>
  <c r="CR55" i="27" s="1"/>
  <c r="CQ41" i="27"/>
  <c r="CQ57" i="27" s="1"/>
  <c r="CP41" i="27"/>
  <c r="CO41" i="27"/>
  <c r="CN41" i="27"/>
  <c r="CN43" i="27" s="1"/>
  <c r="CM41" i="27"/>
  <c r="CM119" i="27"/>
  <c r="CM122" i="27" s="1"/>
  <c r="CQ117" i="27"/>
  <c r="CM113" i="27"/>
  <c r="CN113" i="27" s="1"/>
  <c r="CO113" i="27" s="1"/>
  <c r="CP113" i="27" s="1"/>
  <c r="CM110" i="27"/>
  <c r="CM108" i="27"/>
  <c r="CM111" i="27"/>
  <c r="CM97" i="27"/>
  <c r="CM87" i="27"/>
  <c r="CM89" i="27" s="1"/>
  <c r="CM101" i="27"/>
  <c r="CM78" i="27"/>
  <c r="CR121" i="27"/>
  <c r="CR120" i="27"/>
  <c r="CR116" i="27"/>
  <c r="CR113" i="27"/>
  <c r="CR117" i="27" s="1"/>
  <c r="CR109" i="27"/>
  <c r="CR107" i="27"/>
  <c r="CR106" i="27"/>
  <c r="CR105" i="27"/>
  <c r="CR104" i="27"/>
  <c r="CQ119" i="27"/>
  <c r="CQ122" i="27" s="1"/>
  <c r="CQ110" i="27"/>
  <c r="CR110" i="27" s="1"/>
  <c r="CQ108" i="27"/>
  <c r="CQ111" i="27" s="1"/>
  <c r="CL48" i="27"/>
  <c r="CP48" i="27"/>
  <c r="CM48" i="27"/>
  <c r="CQ48" i="27"/>
  <c r="DY48" i="27" s="1"/>
  <c r="CN48" i="27"/>
  <c r="CR72" i="27"/>
  <c r="CQ72" i="27"/>
  <c r="CR70" i="27"/>
  <c r="CQ70" i="27"/>
  <c r="CR48" i="27"/>
  <c r="CV48" i="27" s="1"/>
  <c r="CR46" i="27"/>
  <c r="CQ46" i="27"/>
  <c r="CR95" i="27"/>
  <c r="CR97" i="27"/>
  <c r="CR87" i="27"/>
  <c r="CR89" i="27" s="1"/>
  <c r="CQ95" i="27"/>
  <c r="CQ97" i="27"/>
  <c r="CQ78" i="27" s="1"/>
  <c r="CQ87" i="27"/>
  <c r="CQ89" i="27" s="1"/>
  <c r="CU7" i="27"/>
  <c r="CV7" i="27" s="1"/>
  <c r="CW7" i="27" s="1"/>
  <c r="CX7" i="27" s="1"/>
  <c r="CU4" i="27"/>
  <c r="CV4" i="27" s="1"/>
  <c r="CW4" i="27" s="1"/>
  <c r="CX4" i="27" s="1"/>
  <c r="CU3" i="27"/>
  <c r="CV3" i="27" s="1"/>
  <c r="CW3" i="27" s="1"/>
  <c r="CX3" i="27" s="1"/>
  <c r="CU9" i="27"/>
  <c r="CV9" i="27" s="1"/>
  <c r="CW9" i="27" s="1"/>
  <c r="CX9" i="27" s="1"/>
  <c r="CU13" i="27"/>
  <c r="CV13" i="27" s="1"/>
  <c r="CW13" i="27" s="1"/>
  <c r="CX13" i="27" s="1"/>
  <c r="CU17" i="27"/>
  <c r="CV17" i="27" s="1"/>
  <c r="CW17" i="27" s="1"/>
  <c r="CX17" i="27" s="1"/>
  <c r="CV18" i="27"/>
  <c r="CU18" i="27"/>
  <c r="CX18" i="27"/>
  <c r="CW18" i="27"/>
  <c r="CV21" i="27"/>
  <c r="CU21" i="27"/>
  <c r="CX21" i="27"/>
  <c r="CW21" i="27"/>
  <c r="CU22" i="27"/>
  <c r="CV22" i="27" s="1"/>
  <c r="CW22" i="27" s="1"/>
  <c r="CX22" i="27" s="1"/>
  <c r="CU23" i="27"/>
  <c r="CV23" i="27" s="1"/>
  <c r="CW23" i="27" s="1"/>
  <c r="CX23" i="27" s="1"/>
  <c r="CU25" i="27"/>
  <c r="CV25" i="27" s="1"/>
  <c r="CW25" i="27" s="1"/>
  <c r="CX25" i="27" s="1"/>
  <c r="CU26" i="27"/>
  <c r="CV26" i="27" s="1"/>
  <c r="CW26" i="27" s="1"/>
  <c r="CX26" i="27" s="1"/>
  <c r="CV27" i="27"/>
  <c r="CU27" i="27"/>
  <c r="CX27" i="27"/>
  <c r="CW27" i="27"/>
  <c r="CV28" i="27"/>
  <c r="CU28" i="27"/>
  <c r="DZ28" i="27" s="1"/>
  <c r="CX28" i="27"/>
  <c r="CW28" i="27"/>
  <c r="CV29" i="27"/>
  <c r="CU29" i="27"/>
  <c r="CX29" i="27"/>
  <c r="CW29" i="27"/>
  <c r="CU30" i="27"/>
  <c r="CV30" i="27" s="1"/>
  <c r="CW30" i="27" s="1"/>
  <c r="CX30" i="27" s="1"/>
  <c r="CU31" i="27"/>
  <c r="CV31" i="27" s="1"/>
  <c r="CW31" i="27" s="1"/>
  <c r="CX31" i="27" s="1"/>
  <c r="CU32" i="27"/>
  <c r="CV32" i="27" s="1"/>
  <c r="CW32" i="27" s="1"/>
  <c r="CX32" i="27" s="1"/>
  <c r="CU34" i="27"/>
  <c r="CV34" i="27" s="1"/>
  <c r="CW34" i="27" s="1"/>
  <c r="CX34" i="27" s="1"/>
  <c r="CU35" i="27"/>
  <c r="CV35" i="27" s="1"/>
  <c r="CW35" i="27" s="1"/>
  <c r="CX35" i="27" s="1"/>
  <c r="CU36" i="27"/>
  <c r="CV36" i="27" s="1"/>
  <c r="CW36" i="27" s="1"/>
  <c r="CX36" i="27" s="1"/>
  <c r="DW36" i="27"/>
  <c r="EA48" i="27"/>
  <c r="DW45" i="27"/>
  <c r="DV45" i="27"/>
  <c r="DV46" i="27" s="1"/>
  <c r="DU45" i="27"/>
  <c r="DU46" i="27" s="1"/>
  <c r="DW53" i="27"/>
  <c r="EC2" i="27"/>
  <c r="ED2" i="27" s="1"/>
  <c r="EE2" i="27" s="1"/>
  <c r="EF2" i="27" s="1"/>
  <c r="EG2" i="27" s="1"/>
  <c r="EH2" i="27" s="1"/>
  <c r="EI2" i="27" s="1"/>
  <c r="EJ2" i="27" s="1"/>
  <c r="DW50" i="27"/>
  <c r="DW44" i="27"/>
  <c r="DW42" i="27"/>
  <c r="DW35" i="27"/>
  <c r="DW33" i="27"/>
  <c r="DW31" i="27"/>
  <c r="DW30" i="27"/>
  <c r="DW29" i="27"/>
  <c r="DW28" i="27"/>
  <c r="DW27" i="27"/>
  <c r="DW26" i="27"/>
  <c r="DW25" i="27"/>
  <c r="DW24" i="27"/>
  <c r="DW23" i="27"/>
  <c r="DW22" i="27"/>
  <c r="DW21" i="27"/>
  <c r="DW20" i="27"/>
  <c r="DW19" i="27"/>
  <c r="DW18" i="27"/>
  <c r="DW17" i="27"/>
  <c r="DW16" i="27"/>
  <c r="DW8" i="27"/>
  <c r="DW7" i="27"/>
  <c r="DW6" i="27"/>
  <c r="DW4" i="27"/>
  <c r="DW40" i="27"/>
  <c r="DV40" i="27"/>
  <c r="DV35" i="27"/>
  <c r="DV33" i="27"/>
  <c r="DV31" i="27"/>
  <c r="DV30" i="27"/>
  <c r="DV29" i="27"/>
  <c r="DV28" i="27"/>
  <c r="DV27" i="27"/>
  <c r="DV26" i="27"/>
  <c r="DV25" i="27"/>
  <c r="DV24" i="27"/>
  <c r="DV23" i="27"/>
  <c r="DV22" i="27"/>
  <c r="DV21" i="27"/>
  <c r="DV20" i="27"/>
  <c r="DV19" i="27"/>
  <c r="DV18" i="27"/>
  <c r="DV17" i="27"/>
  <c r="DV16" i="27"/>
  <c r="DV8" i="27"/>
  <c r="DV7" i="27"/>
  <c r="DV6" i="27"/>
  <c r="DV4" i="27"/>
  <c r="DU40" i="27"/>
  <c r="DU35" i="27"/>
  <c r="DU33" i="27"/>
  <c r="DU31" i="27"/>
  <c r="DU30" i="27"/>
  <c r="DU29" i="27"/>
  <c r="DU28" i="27"/>
  <c r="DU27" i="27"/>
  <c r="DU26" i="27"/>
  <c r="DU25" i="27"/>
  <c r="DU24" i="27"/>
  <c r="DU23" i="27"/>
  <c r="DU22" i="27"/>
  <c r="DU21" i="27"/>
  <c r="DU20" i="27"/>
  <c r="DU19" i="27"/>
  <c r="DU18" i="27"/>
  <c r="DU17" i="27"/>
  <c r="DU16" i="27"/>
  <c r="DU8" i="27"/>
  <c r="DU7" i="27"/>
  <c r="DU6" i="27"/>
  <c r="DU4" i="27"/>
  <c r="DT40"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V48" i="27"/>
  <c r="BZ48" i="27"/>
  <c r="BV46" i="27"/>
  <c r="BV41" i="27"/>
  <c r="BV43" i="27" s="1"/>
  <c r="BV55" i="27" s="1"/>
  <c r="BW48" i="27"/>
  <c r="CA48" i="27"/>
  <c r="BW46" i="27"/>
  <c r="BW41" i="27"/>
  <c r="BW43" i="27" s="1"/>
  <c r="BW55" i="27" s="1"/>
  <c r="CK48" i="27"/>
  <c r="CL41" i="27"/>
  <c r="CL43" i="27" s="1"/>
  <c r="BX48" i="27"/>
  <c r="CB46" i="27"/>
  <c r="CA46" i="27"/>
  <c r="BZ46" i="27"/>
  <c r="BY46" i="27"/>
  <c r="BX46" i="27"/>
  <c r="CB41" i="27"/>
  <c r="CB43" i="27" s="1"/>
  <c r="CB55" i="27" s="1"/>
  <c r="CA41" i="27"/>
  <c r="CA43" i="27" s="1"/>
  <c r="CA55" i="27" s="1"/>
  <c r="BZ41" i="27"/>
  <c r="BZ43" i="27" s="1"/>
  <c r="BZ55" i="27" s="1"/>
  <c r="BY41" i="27"/>
  <c r="BY43" i="27" s="1"/>
  <c r="BX41" i="27"/>
  <c r="BX43" i="27" s="1"/>
  <c r="BX55" i="27" s="1"/>
  <c r="CL72" i="27"/>
  <c r="CK72" i="27"/>
  <c r="CI72" i="27"/>
  <c r="CH72" i="27"/>
  <c r="CG72" i="27"/>
  <c r="CJ72" i="27"/>
  <c r="CF48" i="27"/>
  <c r="CJ48" i="27"/>
  <c r="CK46" i="27"/>
  <c r="CN72" i="27"/>
  <c r="CM72" i="27"/>
  <c r="CP72" i="27"/>
  <c r="CO72" i="27"/>
  <c r="CL70" i="27"/>
  <c r="CK70" i="27"/>
  <c r="CO70" i="27"/>
  <c r="CN70" i="27"/>
  <c r="CM70" i="27"/>
  <c r="CP70" i="27"/>
  <c r="CI70" i="27"/>
  <c r="CH70" i="27"/>
  <c r="CG70" i="27"/>
  <c r="CJ70" i="27"/>
  <c r="CJ46" i="27"/>
  <c r="CJ41" i="27"/>
  <c r="CJ43" i="27" s="1"/>
  <c r="CJ55" i="27" s="1"/>
  <c r="CC46" i="27"/>
  <c r="CC41" i="27"/>
  <c r="CC43" i="27" s="1"/>
  <c r="CC55" i="27" s="1"/>
  <c r="DT46" i="27"/>
  <c r="DT47" i="27" s="1"/>
  <c r="DS46" i="27"/>
  <c r="DS47" i="27" s="1"/>
  <c r="CD46" i="27"/>
  <c r="CD41" i="27"/>
  <c r="CD43" i="27" s="1"/>
  <c r="CD55" i="27" s="1"/>
  <c r="CS122" i="27" l="1"/>
  <c r="CS123" i="27" s="1"/>
  <c r="CV46" i="27"/>
  <c r="DZ18" i="27"/>
  <c r="BO56" i="27"/>
  <c r="CU48" i="27"/>
  <c r="DX46" i="27"/>
  <c r="CU46" i="27"/>
  <c r="CW46" i="27"/>
  <c r="DZ13" i="27"/>
  <c r="DZ27" i="27"/>
  <c r="EA27" i="27" s="1"/>
  <c r="EB27" i="27" s="1"/>
  <c r="EC27" i="27" s="1"/>
  <c r="ED27" i="27" s="1"/>
  <c r="EE27" i="27" s="1"/>
  <c r="EF27" i="27" s="1"/>
  <c r="EG27" i="27" s="1"/>
  <c r="EH27" i="27" s="1"/>
  <c r="EI27" i="27" s="1"/>
  <c r="EJ27" i="27" s="1"/>
  <c r="CX46" i="27"/>
  <c r="DZ48" i="27"/>
  <c r="DY39" i="27"/>
  <c r="DZ21" i="27"/>
  <c r="EA21" i="27" s="1"/>
  <c r="EB21" i="27" s="1"/>
  <c r="EC21" i="27" s="1"/>
  <c r="ED21" i="27" s="1"/>
  <c r="EE21" i="27" s="1"/>
  <c r="EF21" i="27" s="1"/>
  <c r="EG21" i="27" s="1"/>
  <c r="EH21" i="27" s="1"/>
  <c r="EI21" i="27" s="1"/>
  <c r="EJ21" i="27" s="1"/>
  <c r="BO43" i="27"/>
  <c r="BO55" i="27" s="1"/>
  <c r="DZ17" i="27"/>
  <c r="EA17" i="27" s="1"/>
  <c r="EB17" i="27" s="1"/>
  <c r="EC17" i="27" s="1"/>
  <c r="ED17" i="27" s="1"/>
  <c r="EE17" i="27" s="1"/>
  <c r="EF17" i="27" s="1"/>
  <c r="EG17" i="27" s="1"/>
  <c r="EH17" i="27" s="1"/>
  <c r="EI17" i="27" s="1"/>
  <c r="EJ17" i="27" s="1"/>
  <c r="CW10" i="27"/>
  <c r="CX10" i="27" s="1"/>
  <c r="DX48" i="27"/>
  <c r="BO47" i="27"/>
  <c r="DW39" i="27"/>
  <c r="DW41" i="27" s="1"/>
  <c r="DW56" i="27" s="1"/>
  <c r="DZ7" i="27"/>
  <c r="EA7" i="27" s="1"/>
  <c r="EB7" i="27" s="1"/>
  <c r="EC7" i="27" s="1"/>
  <c r="ED7" i="27" s="1"/>
  <c r="EE7" i="27" s="1"/>
  <c r="EF7" i="27" s="1"/>
  <c r="EG7" i="27" s="1"/>
  <c r="EH7" i="27" s="1"/>
  <c r="EI7" i="27" s="1"/>
  <c r="EJ7" i="27" s="1"/>
  <c r="BS43" i="27"/>
  <c r="DZ45" i="27"/>
  <c r="DZ26" i="27"/>
  <c r="BS56" i="27"/>
  <c r="DZ36" i="27"/>
  <c r="DZ22" i="27"/>
  <c r="EA22" i="27" s="1"/>
  <c r="EB22" i="27" s="1"/>
  <c r="EC22" i="27" s="1"/>
  <c r="ED22" i="27" s="1"/>
  <c r="EE22" i="27" s="1"/>
  <c r="EF22" i="27" s="1"/>
  <c r="EG22" i="27" s="1"/>
  <c r="EH22" i="27" s="1"/>
  <c r="EI22" i="27" s="1"/>
  <c r="EJ22" i="27" s="1"/>
  <c r="DZ3" i="27"/>
  <c r="DZ4" i="27"/>
  <c r="EA4" i="27" s="1"/>
  <c r="EB4" i="27" s="1"/>
  <c r="EC4" i="27" s="1"/>
  <c r="ED4" i="27" s="1"/>
  <c r="EE4" i="27" s="1"/>
  <c r="EF4" i="27" s="1"/>
  <c r="EG4" i="27" s="1"/>
  <c r="EH4" i="27" s="1"/>
  <c r="EI4" i="27" s="1"/>
  <c r="EJ4" i="27" s="1"/>
  <c r="EA36" i="27"/>
  <c r="EB36" i="27" s="1"/>
  <c r="EC36" i="27" s="1"/>
  <c r="ED36" i="27" s="1"/>
  <c r="EE36" i="27" s="1"/>
  <c r="EF36" i="27" s="1"/>
  <c r="EG36" i="27" s="1"/>
  <c r="EH36" i="27" s="1"/>
  <c r="EI36" i="27" s="1"/>
  <c r="EJ36" i="27" s="1"/>
  <c r="CQ123" i="27"/>
  <c r="DZ23" i="27"/>
  <c r="EA23" i="27" s="1"/>
  <c r="EB23" i="27" s="1"/>
  <c r="EC23" i="27" s="1"/>
  <c r="ED23" i="27" s="1"/>
  <c r="EE23" i="27" s="1"/>
  <c r="EF23" i="27" s="1"/>
  <c r="EG23" i="27" s="1"/>
  <c r="EH23" i="27" s="1"/>
  <c r="EI23" i="27" s="1"/>
  <c r="EJ23" i="27" s="1"/>
  <c r="CO104" i="27"/>
  <c r="CO111" i="27" s="1"/>
  <c r="EA9" i="27"/>
  <c r="EB9" i="27" s="1"/>
  <c r="EC9" i="27" s="1"/>
  <c r="ED9" i="27" s="1"/>
  <c r="EE9" i="27" s="1"/>
  <c r="EF9" i="27" s="1"/>
  <c r="EG9" i="27" s="1"/>
  <c r="EH9" i="27" s="1"/>
  <c r="EI9" i="27" s="1"/>
  <c r="EJ9" i="27" s="1"/>
  <c r="DZ8" i="27"/>
  <c r="EA8" i="27" s="1"/>
  <c r="EB8" i="27" s="1"/>
  <c r="EC8" i="27" s="1"/>
  <c r="ED8" i="27" s="1"/>
  <c r="EE8" i="27" s="1"/>
  <c r="EF8" i="27" s="1"/>
  <c r="EG8" i="27" s="1"/>
  <c r="EH8" i="27" s="1"/>
  <c r="EI8" i="27" s="1"/>
  <c r="EJ8" i="27" s="1"/>
  <c r="CP117" i="27"/>
  <c r="CM117" i="27"/>
  <c r="CM123" i="27" s="1"/>
  <c r="CP104" i="27"/>
  <c r="CP111" i="27" s="1"/>
  <c r="CN119" i="27"/>
  <c r="DX39" i="27"/>
  <c r="DX41" i="27" s="1"/>
  <c r="CO117" i="27"/>
  <c r="CN117" i="27"/>
  <c r="CR108" i="27"/>
  <c r="CR111" i="27" s="1"/>
  <c r="CR119" i="27"/>
  <c r="CR122" i="27" s="1"/>
  <c r="CR56" i="27"/>
  <c r="CR57" i="27"/>
  <c r="CR78" i="27"/>
  <c r="CQ101" i="27"/>
  <c r="CR101" i="27"/>
  <c r="CQ43" i="27"/>
  <c r="CQ47" i="27" s="1"/>
  <c r="CQ58" i="27" s="1"/>
  <c r="BZ56" i="27"/>
  <c r="BZ57" i="27"/>
  <c r="CQ56" i="27"/>
  <c r="CR62" i="27"/>
  <c r="CR47" i="27"/>
  <c r="CS41" i="27"/>
  <c r="CT43" i="27"/>
  <c r="CT47" i="27" s="1"/>
  <c r="CT49" i="27" s="1"/>
  <c r="CU41" i="27"/>
  <c r="CV41" i="27"/>
  <c r="CW41" i="27"/>
  <c r="CX41" i="27"/>
  <c r="EA29" i="27"/>
  <c r="EB29" i="27" s="1"/>
  <c r="EC29" i="27" s="1"/>
  <c r="ED29" i="27" s="1"/>
  <c r="EE29" i="27" s="1"/>
  <c r="EF29" i="27" s="1"/>
  <c r="EG29" i="27" s="1"/>
  <c r="EH29" i="27" s="1"/>
  <c r="EI29" i="27" s="1"/>
  <c r="EJ29" i="27" s="1"/>
  <c r="EA30" i="27"/>
  <c r="EB30" i="27" s="1"/>
  <c r="EC30" i="27" s="1"/>
  <c r="ED30" i="27" s="1"/>
  <c r="EE30" i="27" s="1"/>
  <c r="EF30" i="27" s="1"/>
  <c r="EG30" i="27" s="1"/>
  <c r="EH30" i="27" s="1"/>
  <c r="EI30" i="27" s="1"/>
  <c r="EJ30" i="27" s="1"/>
  <c r="EA28" i="27"/>
  <c r="EB28" i="27" s="1"/>
  <c r="EC28" i="27" s="1"/>
  <c r="ED28" i="27" s="1"/>
  <c r="EE28" i="27" s="1"/>
  <c r="EF28" i="27" s="1"/>
  <c r="EG28" i="27" s="1"/>
  <c r="EH28" i="27" s="1"/>
  <c r="EI28" i="27" s="1"/>
  <c r="EJ28" i="27" s="1"/>
  <c r="EA31" i="27"/>
  <c r="EB31" i="27" s="1"/>
  <c r="EC31" i="27" s="1"/>
  <c r="ED31" i="27" s="1"/>
  <c r="EE31" i="27" s="1"/>
  <c r="EF31" i="27" s="1"/>
  <c r="EG31" i="27" s="1"/>
  <c r="EH31" i="27" s="1"/>
  <c r="EI31" i="27" s="1"/>
  <c r="EJ31" i="27" s="1"/>
  <c r="EA16" i="27"/>
  <c r="EB16" i="27" s="1"/>
  <c r="EC16" i="27" s="1"/>
  <c r="ED16" i="27" s="1"/>
  <c r="EE16" i="27" s="1"/>
  <c r="EF16" i="27" s="1"/>
  <c r="EG16" i="27" s="1"/>
  <c r="EH16" i="27" s="1"/>
  <c r="EI16" i="27" s="1"/>
  <c r="EJ16" i="27" s="1"/>
  <c r="EA18" i="27"/>
  <c r="EB18" i="27" s="1"/>
  <c r="EC18" i="27" s="1"/>
  <c r="ED18" i="27" s="1"/>
  <c r="EE18" i="27" s="1"/>
  <c r="EF18" i="27" s="1"/>
  <c r="EG18" i="27" s="1"/>
  <c r="EH18" i="27" s="1"/>
  <c r="EI18" i="27" s="1"/>
  <c r="EJ18" i="27" s="1"/>
  <c r="EA25" i="27"/>
  <c r="EB25" i="27" s="1"/>
  <c r="EC25" i="27" s="1"/>
  <c r="ED25" i="27" s="1"/>
  <c r="EE25" i="27" s="1"/>
  <c r="EF25" i="27" s="1"/>
  <c r="EG25" i="27" s="1"/>
  <c r="EH25" i="27" s="1"/>
  <c r="EI25" i="27" s="1"/>
  <c r="EJ25" i="27" s="1"/>
  <c r="DT39" i="27"/>
  <c r="DY46" i="27"/>
  <c r="BW56" i="27"/>
  <c r="BW57" i="27"/>
  <c r="CA57" i="27"/>
  <c r="DW46" i="27"/>
  <c r="DW48" i="27"/>
  <c r="BX57" i="27"/>
  <c r="BV57" i="27"/>
  <c r="BX56" i="27"/>
  <c r="BV56" i="27"/>
  <c r="EE20" i="27"/>
  <c r="EF20" i="27" s="1"/>
  <c r="EG20" i="27" s="1"/>
  <c r="EH20" i="27" s="1"/>
  <c r="EI20" i="27" s="1"/>
  <c r="EJ20" i="27" s="1"/>
  <c r="CA56" i="27"/>
  <c r="DV39" i="27"/>
  <c r="DV41" i="27" s="1"/>
  <c r="DV56" i="27" s="1"/>
  <c r="DU39" i="27"/>
  <c r="DU41" i="27" s="1"/>
  <c r="DU56" i="27" s="1"/>
  <c r="BV47" i="27"/>
  <c r="BW47" i="27"/>
  <c r="CM46" i="27"/>
  <c r="CJ56" i="27"/>
  <c r="CN46" i="27"/>
  <c r="CP46" i="27"/>
  <c r="CL46" i="27"/>
  <c r="CL47" i="27" s="1"/>
  <c r="CJ57" i="27"/>
  <c r="CB56" i="27"/>
  <c r="CB57" i="27"/>
  <c r="CO46" i="27"/>
  <c r="BY47" i="27"/>
  <c r="BY49" i="27" s="1"/>
  <c r="BY51" i="27" s="1"/>
  <c r="BY52" i="27" s="1"/>
  <c r="BZ47" i="27"/>
  <c r="CA47" i="27"/>
  <c r="BX47" i="27"/>
  <c r="CB47" i="27"/>
  <c r="CK41" i="27"/>
  <c r="CK43" i="27" s="1"/>
  <c r="CJ47" i="27"/>
  <c r="CC56" i="27"/>
  <c r="CC57" i="27"/>
  <c r="CC47" i="27"/>
  <c r="CD56" i="27"/>
  <c r="CD57" i="27"/>
  <c r="CD47" i="27"/>
  <c r="EB39" i="27" l="1"/>
  <c r="DZ10" i="27"/>
  <c r="EA10" i="27" s="1"/>
  <c r="EB10" i="27" s="1"/>
  <c r="EC10" i="27" s="1"/>
  <c r="ED10" i="27" s="1"/>
  <c r="EE10" i="27" s="1"/>
  <c r="EF10" i="27" s="1"/>
  <c r="EG10" i="27" s="1"/>
  <c r="EH10" i="27" s="1"/>
  <c r="EI10" i="27" s="1"/>
  <c r="EJ10" i="27" s="1"/>
  <c r="BO49" i="27"/>
  <c r="BO58" i="27"/>
  <c r="DW57" i="27"/>
  <c r="DU57" i="27"/>
  <c r="DV57" i="27"/>
  <c r="CS43" i="27"/>
  <c r="CS56" i="27"/>
  <c r="CS57" i="27"/>
  <c r="BS55" i="27"/>
  <c r="BS47" i="27"/>
  <c r="DX56" i="27"/>
  <c r="DX57" i="27"/>
  <c r="CX43" i="27"/>
  <c r="CX47" i="27" s="1"/>
  <c r="CX49" i="27" s="1"/>
  <c r="CU43" i="27"/>
  <c r="CU47" i="27" s="1"/>
  <c r="CU49" i="27" s="1"/>
  <c r="CW43" i="27"/>
  <c r="CW47" i="27" s="1"/>
  <c r="CW49" i="27" s="1"/>
  <c r="CV43" i="27"/>
  <c r="CV47" i="27" s="1"/>
  <c r="CV49" i="27" s="1"/>
  <c r="CT51" i="27"/>
  <c r="CT52" i="27" s="1"/>
  <c r="CT60" i="27"/>
  <c r="CU62" i="27"/>
  <c r="CU55" i="27"/>
  <c r="CU56" i="27"/>
  <c r="CU58" i="27"/>
  <c r="CU57" i="27"/>
  <c r="CT56" i="27"/>
  <c r="CT55" i="27"/>
  <c r="CT62" i="27"/>
  <c r="CT58" i="27"/>
  <c r="CT57" i="27"/>
  <c r="CX56" i="27"/>
  <c r="CX57" i="27"/>
  <c r="CW56" i="27"/>
  <c r="CW57" i="27"/>
  <c r="CV62" i="27"/>
  <c r="CV57" i="27"/>
  <c r="CV56" i="27"/>
  <c r="DX43" i="27"/>
  <c r="DX62" i="27"/>
  <c r="DW43" i="27"/>
  <c r="DW55" i="27" s="1"/>
  <c r="DW62" i="27"/>
  <c r="CN122" i="27"/>
  <c r="CN123" i="27" s="1"/>
  <c r="CO119" i="27"/>
  <c r="DU43" i="27"/>
  <c r="DU55" i="27" s="1"/>
  <c r="DV43" i="27"/>
  <c r="DV55" i="27" s="1"/>
  <c r="DV62" i="27"/>
  <c r="CR123" i="27"/>
  <c r="CQ55" i="27"/>
  <c r="CQ49" i="27"/>
  <c r="CQ51" i="27" s="1"/>
  <c r="CQ103" i="27" s="1"/>
  <c r="CR49" i="27"/>
  <c r="CR58" i="27"/>
  <c r="CW62" i="27"/>
  <c r="CX62" i="27"/>
  <c r="EA45" i="27"/>
  <c r="DV47" i="27"/>
  <c r="DV58" i="27" s="1"/>
  <c r="CA49" i="27"/>
  <c r="CA58" i="27"/>
  <c r="BX49" i="27"/>
  <c r="BX58" i="27"/>
  <c r="EA26" i="27"/>
  <c r="EB26" i="27" s="1"/>
  <c r="EC26" i="27" s="1"/>
  <c r="ED26" i="27" s="1"/>
  <c r="EE26" i="27" s="1"/>
  <c r="EF26" i="27" s="1"/>
  <c r="EG26" i="27" s="1"/>
  <c r="EH26" i="27" s="1"/>
  <c r="EI26" i="27" s="1"/>
  <c r="EJ26" i="27" s="1"/>
  <c r="BV49" i="27"/>
  <c r="BV58" i="27"/>
  <c r="BZ49" i="27"/>
  <c r="BZ58" i="27"/>
  <c r="BW49" i="27"/>
  <c r="BW51" i="27" s="1"/>
  <c r="BW58" i="27"/>
  <c r="CB58" i="27"/>
  <c r="CB49" i="27"/>
  <c r="CK56" i="27"/>
  <c r="CK47" i="27"/>
  <c r="CK49" i="27" s="1"/>
  <c r="CK57" i="27"/>
  <c r="CJ58" i="27"/>
  <c r="CJ49" i="27"/>
  <c r="CC49" i="27"/>
  <c r="CC58" i="27"/>
  <c r="CD58" i="27"/>
  <c r="CD49" i="27"/>
  <c r="EC39" i="27" l="1"/>
  <c r="CV42" i="27"/>
  <c r="BS58" i="27"/>
  <c r="BS49" i="27"/>
  <c r="DU47" i="27"/>
  <c r="DU58" i="27" s="1"/>
  <c r="CO122" i="27"/>
  <c r="CO123" i="27" s="1"/>
  <c r="CP119" i="27"/>
  <c r="CP122" i="27" s="1"/>
  <c r="CP123" i="27" s="1"/>
  <c r="CS47" i="27"/>
  <c r="CS55" i="27"/>
  <c r="CW58" i="27"/>
  <c r="BO51" i="27"/>
  <c r="BO60" i="27"/>
  <c r="DX47" i="27"/>
  <c r="DX58" i="27" s="1"/>
  <c r="DX55" i="27"/>
  <c r="DW47" i="27"/>
  <c r="DW58" i="27" s="1"/>
  <c r="CW55" i="27"/>
  <c r="CX58" i="27"/>
  <c r="CX55" i="27"/>
  <c r="CW42" i="27"/>
  <c r="CV58" i="27"/>
  <c r="CV50" i="27"/>
  <c r="CV60" i="27" s="1"/>
  <c r="CU50" i="27"/>
  <c r="CU60" i="27" s="1"/>
  <c r="CW50" i="27"/>
  <c r="CW60" i="27" s="1"/>
  <c r="CW51" i="27"/>
  <c r="CW59" i="27" s="1"/>
  <c r="CU42" i="27"/>
  <c r="CX50" i="27"/>
  <c r="CX51" i="27" s="1"/>
  <c r="CX59" i="27" s="1"/>
  <c r="CV55" i="27"/>
  <c r="CX42" i="27"/>
  <c r="CT59" i="27"/>
  <c r="DW49" i="27"/>
  <c r="CQ60" i="27"/>
  <c r="CQ59" i="27"/>
  <c r="CQ52" i="27"/>
  <c r="CR51" i="27"/>
  <c r="CR103" i="27" s="1"/>
  <c r="CR60" i="27"/>
  <c r="DZ46" i="27"/>
  <c r="DV49" i="27"/>
  <c r="BW52" i="27"/>
  <c r="BW59" i="27"/>
  <c r="BZ51" i="27"/>
  <c r="BZ60" i="27"/>
  <c r="BV51" i="27"/>
  <c r="BV60" i="27"/>
  <c r="DU49" i="27"/>
  <c r="EA3" i="27"/>
  <c r="BW60" i="27"/>
  <c r="BX51" i="27"/>
  <c r="BX60" i="27"/>
  <c r="CA51" i="27"/>
  <c r="CA60" i="27"/>
  <c r="EA46" i="27"/>
  <c r="EB45" i="27"/>
  <c r="CB60" i="27"/>
  <c r="CB51" i="27"/>
  <c r="CM43" i="27"/>
  <c r="CK55" i="27"/>
  <c r="CK58" i="27"/>
  <c r="CL49" i="27"/>
  <c r="CK60" i="27"/>
  <c r="DY53" i="27"/>
  <c r="DZ53" i="27" s="1"/>
  <c r="EA53" i="27" s="1"/>
  <c r="EB53" i="27" s="1"/>
  <c r="EC53" i="27" s="1"/>
  <c r="ED53" i="27" s="1"/>
  <c r="EE53" i="27" s="1"/>
  <c r="EF53" i="27" s="1"/>
  <c r="EG53" i="27" s="1"/>
  <c r="EH53" i="27" s="1"/>
  <c r="EI53" i="27" s="1"/>
  <c r="EJ53" i="27" s="1"/>
  <c r="CL56" i="27"/>
  <c r="CL57" i="27"/>
  <c r="CJ60" i="27"/>
  <c r="CJ51" i="27"/>
  <c r="CC60" i="27"/>
  <c r="CC51" i="27"/>
  <c r="CD51" i="27"/>
  <c r="CD60" i="27"/>
  <c r="EE19" i="27" l="1"/>
  <c r="ED39" i="27"/>
  <c r="DW51" i="27"/>
  <c r="DW60" i="27"/>
  <c r="CS58" i="27"/>
  <c r="CS49" i="27"/>
  <c r="DU51" i="27"/>
  <c r="DU52" i="27" s="1"/>
  <c r="DU60" i="27"/>
  <c r="BO52" i="27"/>
  <c r="BO59" i="27"/>
  <c r="DX49" i="27"/>
  <c r="BS51" i="27"/>
  <c r="BS60" i="27"/>
  <c r="DV51" i="27"/>
  <c r="DV59" i="27" s="1"/>
  <c r="DV60" i="27"/>
  <c r="DZ42" i="27"/>
  <c r="DZ50" i="27"/>
  <c r="CX60" i="27"/>
  <c r="CU51" i="27"/>
  <c r="CU59" i="27" s="1"/>
  <c r="CV51" i="27"/>
  <c r="CV59" i="27" s="1"/>
  <c r="DW52" i="27"/>
  <c r="DW59" i="27"/>
  <c r="CS62" i="27"/>
  <c r="CO43" i="27"/>
  <c r="CO47" i="27" s="1"/>
  <c r="CO49" i="27" s="1"/>
  <c r="CO60" i="27" s="1"/>
  <c r="CM47" i="27"/>
  <c r="CM49" i="27" s="1"/>
  <c r="CM60" i="27" s="1"/>
  <c r="CQ62" i="27"/>
  <c r="CR52" i="27"/>
  <c r="CR59" i="27"/>
  <c r="CN47" i="27"/>
  <c r="CN49" i="27" s="1"/>
  <c r="CN60" i="27" s="1"/>
  <c r="BX52" i="27"/>
  <c r="BX59" i="27"/>
  <c r="EB3" i="27"/>
  <c r="DU59" i="27"/>
  <c r="CA52" i="27"/>
  <c r="CA59" i="27"/>
  <c r="BV52" i="27"/>
  <c r="BV59" i="27"/>
  <c r="BZ52" i="27"/>
  <c r="BZ59" i="27"/>
  <c r="EB46" i="27"/>
  <c r="EC45" i="27"/>
  <c r="CM56" i="27"/>
  <c r="CB59" i="27"/>
  <c r="CB52" i="27"/>
  <c r="CM57" i="27"/>
  <c r="CM55" i="27"/>
  <c r="CL58" i="27"/>
  <c r="CL55" i="27"/>
  <c r="CK51" i="27"/>
  <c r="CK59" i="27" s="1"/>
  <c r="CL60" i="27"/>
  <c r="CO56" i="27"/>
  <c r="CO57" i="27"/>
  <c r="CO62" i="27"/>
  <c r="CJ52" i="27"/>
  <c r="CJ59" i="27"/>
  <c r="CC59" i="27"/>
  <c r="CC52" i="27"/>
  <c r="CD59" i="27"/>
  <c r="CD52" i="27"/>
  <c r="EF19" i="27" l="1"/>
  <c r="EE39" i="27"/>
  <c r="DX51" i="27"/>
  <c r="DX59" i="27" s="1"/>
  <c r="DX60" i="27"/>
  <c r="BS52" i="27"/>
  <c r="BS59" i="27"/>
  <c r="CS60" i="27"/>
  <c r="CS51" i="27"/>
  <c r="CM58" i="27"/>
  <c r="CM51" i="27"/>
  <c r="CN62" i="27"/>
  <c r="CN56" i="27"/>
  <c r="CN57" i="27"/>
  <c r="CP43" i="27"/>
  <c r="EC3" i="27"/>
  <c r="ED45" i="27"/>
  <c r="EC46" i="27"/>
  <c r="CN58" i="27"/>
  <c r="CK52" i="27"/>
  <c r="CN51" i="27"/>
  <c r="CL51" i="27"/>
  <c r="CL59" i="27" s="1"/>
  <c r="CN55" i="27"/>
  <c r="CO58" i="27"/>
  <c r="CO55" i="27"/>
  <c r="CO51" i="27"/>
  <c r="CO103" i="27" s="1"/>
  <c r="CH46" i="27"/>
  <c r="CG46" i="27"/>
  <c r="CF46" i="27"/>
  <c r="CE46" i="27"/>
  <c r="CI46" i="27"/>
  <c r="CI41" i="27"/>
  <c r="CM62" i="27" s="1"/>
  <c r="CH41" i="27"/>
  <c r="CL62" i="27" s="1"/>
  <c r="CG41" i="27"/>
  <c r="CF41" i="27"/>
  <c r="CE41" i="27"/>
  <c r="CE62" i="27" s="1"/>
  <c r="BD48" i="27"/>
  <c r="BD46" i="27"/>
  <c r="BD5" i="27"/>
  <c r="BD39" i="27" s="1"/>
  <c r="BD41" i="27" s="1"/>
  <c r="BD43" i="27" s="1"/>
  <c r="BC5" i="27"/>
  <c r="BC39" i="27" s="1"/>
  <c r="BB5" i="27"/>
  <c r="BB39" i="27" s="1"/>
  <c r="BA5" i="27"/>
  <c r="BA39" i="27" s="1"/>
  <c r="AZ5" i="27"/>
  <c r="AZ39" i="27" s="1"/>
  <c r="AY5" i="27"/>
  <c r="AY39" i="27" s="1"/>
  <c r="AV72" i="27"/>
  <c r="AV75" i="27"/>
  <c r="AU75" i="27"/>
  <c r="AV74" i="27"/>
  <c r="AU74" i="27"/>
  <c r="AV66" i="27"/>
  <c r="AV48" i="27"/>
  <c r="AV46" i="27"/>
  <c r="AV40" i="27"/>
  <c r="AW40" i="27" s="1"/>
  <c r="AX40" i="27" s="1"/>
  <c r="AV39" i="27"/>
  <c r="AV5" i="27"/>
  <c r="AW16" i="27"/>
  <c r="AX16" i="27" s="1"/>
  <c r="AW18" i="27"/>
  <c r="AX18" i="27" s="1"/>
  <c r="AW19" i="27"/>
  <c r="AX19" i="27" s="1"/>
  <c r="AW20" i="27"/>
  <c r="AX20" i="27" s="1"/>
  <c r="AW29" i="27"/>
  <c r="AX29" i="27" s="1"/>
  <c r="AU3" i="27"/>
  <c r="AU66" i="27" s="1"/>
  <c r="AS53" i="27"/>
  <c r="AT53" i="27" s="1"/>
  <c r="DL53" i="27" s="1"/>
  <c r="DM53" i="27" s="1"/>
  <c r="DN53" i="27" s="1"/>
  <c r="DO53" i="27" s="1"/>
  <c r="DP53" i="27" s="1"/>
  <c r="DQ53" i="27" s="1"/>
  <c r="DR53" i="27" s="1"/>
  <c r="DS53" i="27" s="1"/>
  <c r="AS45" i="27"/>
  <c r="AS46" i="27" s="1"/>
  <c r="AR66" i="27"/>
  <c r="AR48" i="27"/>
  <c r="AR46" i="27"/>
  <c r="AR40" i="27"/>
  <c r="AR29" i="27"/>
  <c r="AS29" i="27" s="1"/>
  <c r="AT29" i="27" s="1"/>
  <c r="AR19" i="27"/>
  <c r="AV70" i="27" s="1"/>
  <c r="AR18" i="27"/>
  <c r="AS18" i="27" s="1"/>
  <c r="AT18" i="27" s="1"/>
  <c r="AR16" i="27"/>
  <c r="AV73" i="27" s="1"/>
  <c r="AR8" i="27"/>
  <c r="AR7" i="27"/>
  <c r="AV67" i="27" s="1"/>
  <c r="AR6" i="27"/>
  <c r="AR4" i="27"/>
  <c r="AV65" i="27" s="1"/>
  <c r="AQ48" i="27"/>
  <c r="AQ46" i="27"/>
  <c r="AQ19" i="27"/>
  <c r="AQ29" i="27"/>
  <c r="AQ18" i="27"/>
  <c r="AQ16" i="27"/>
  <c r="AQ8" i="27"/>
  <c r="AU8" i="27" s="1"/>
  <c r="AQ7" i="27"/>
  <c r="AU7" i="27" s="1"/>
  <c r="AU67" i="27" s="1"/>
  <c r="AQ6" i="27"/>
  <c r="AU6" i="27" s="1"/>
  <c r="AQ4" i="27"/>
  <c r="AU4" i="27" s="1"/>
  <c r="AU65" i="27" s="1"/>
  <c r="AT44" i="27"/>
  <c r="AT74" i="27" s="1"/>
  <c r="DK53" i="27"/>
  <c r="DK50" i="27"/>
  <c r="DK45" i="27"/>
  <c r="DK44" i="27"/>
  <c r="DK42" i="27"/>
  <c r="DK40" i="27"/>
  <c r="AQ75" i="27"/>
  <c r="AP75" i="27"/>
  <c r="AO75" i="27"/>
  <c r="AS74" i="27"/>
  <c r="AR74" i="27"/>
  <c r="AQ74" i="27"/>
  <c r="AP74" i="27"/>
  <c r="AO74" i="27"/>
  <c r="AS20" i="27"/>
  <c r="AT20" i="27" s="1"/>
  <c r="AU20" i="27" s="1"/>
  <c r="AU72" i="27" s="1"/>
  <c r="AT45" i="27"/>
  <c r="AR75" i="27"/>
  <c r="AP46" i="27"/>
  <c r="AP69" i="27"/>
  <c r="AP66" i="27"/>
  <c r="AT3" i="27"/>
  <c r="AT66" i="27" s="1"/>
  <c r="AS3" i="27"/>
  <c r="AW3" i="27" s="1"/>
  <c r="AQ66" i="27"/>
  <c r="AP29" i="27"/>
  <c r="AP19" i="27"/>
  <c r="DK19" i="27" s="1"/>
  <c r="AP18" i="27"/>
  <c r="AP16" i="27"/>
  <c r="AP8" i="27"/>
  <c r="AT8" i="27" s="1"/>
  <c r="AP7" i="27"/>
  <c r="AT7" i="27" s="1"/>
  <c r="AX7" i="27" s="1"/>
  <c r="AP6" i="27"/>
  <c r="AT6" i="27" s="1"/>
  <c r="AX6" i="27" s="1"/>
  <c r="AP4" i="27"/>
  <c r="AP5" i="27" s="1"/>
  <c r="AO69" i="27"/>
  <c r="AO66" i="27"/>
  <c r="AO48" i="27"/>
  <c r="AO46" i="27"/>
  <c r="AO29" i="27"/>
  <c r="AO18" i="27"/>
  <c r="AO16" i="27"/>
  <c r="AO8" i="27"/>
  <c r="AS8" i="27" s="1"/>
  <c r="AW8" i="27" s="1"/>
  <c r="AO7" i="27"/>
  <c r="AS7" i="27" s="1"/>
  <c r="AO6" i="27"/>
  <c r="DK3" i="27"/>
  <c r="AO4" i="27"/>
  <c r="AO5" i="27" s="1"/>
  <c r="AN75" i="27"/>
  <c r="AN74" i="27"/>
  <c r="AN69" i="27"/>
  <c r="AN66" i="27"/>
  <c r="AN48" i="27"/>
  <c r="AN18" i="27"/>
  <c r="AN29" i="27"/>
  <c r="AN16" i="27"/>
  <c r="AN8" i="27"/>
  <c r="AN7" i="27"/>
  <c r="AN6" i="27"/>
  <c r="AN4" i="27"/>
  <c r="AN5" i="27" s="1"/>
  <c r="DD7" i="27"/>
  <c r="AM94" i="27"/>
  <c r="AM99" i="27" s="1"/>
  <c r="AM101" i="27" s="1"/>
  <c r="AM87" i="27"/>
  <c r="AM85" i="27"/>
  <c r="DJ3" i="27"/>
  <c r="AN46" i="27"/>
  <c r="DJ45" i="27"/>
  <c r="DJ44" i="27"/>
  <c r="DJ40" i="27"/>
  <c r="AM75" i="27"/>
  <c r="AM74" i="27"/>
  <c r="AM69" i="27"/>
  <c r="AM66" i="27"/>
  <c r="AL48" i="27"/>
  <c r="AL18" i="27"/>
  <c r="AL16" i="27"/>
  <c r="AL15" i="27"/>
  <c r="AL8" i="27"/>
  <c r="AL7" i="27"/>
  <c r="AL6" i="27"/>
  <c r="AL4" i="27"/>
  <c r="AL5" i="27" s="1"/>
  <c r="AM48" i="27"/>
  <c r="AM46" i="27"/>
  <c r="AM29" i="27"/>
  <c r="AM18" i="27"/>
  <c r="AM16" i="27"/>
  <c r="AM8" i="27"/>
  <c r="AM7" i="27"/>
  <c r="AM6" i="27"/>
  <c r="AM4" i="27"/>
  <c r="AK48" i="27"/>
  <c r="AK18" i="27"/>
  <c r="AK16" i="27"/>
  <c r="AK15" i="27"/>
  <c r="AK8" i="27"/>
  <c r="AK7" i="27"/>
  <c r="AK6" i="27"/>
  <c r="AK4" i="27"/>
  <c r="AK5" i="27" s="1"/>
  <c r="AJ48" i="27"/>
  <c r="AJ15" i="27"/>
  <c r="AJ18" i="27"/>
  <c r="AJ16" i="27"/>
  <c r="AJ8" i="27"/>
  <c r="AJ7" i="27"/>
  <c r="AJ6" i="27"/>
  <c r="AJ4" i="27"/>
  <c r="AJ5" i="27" s="1"/>
  <c r="DI3" i="27"/>
  <c r="AJ69" i="27"/>
  <c r="AK69" i="27"/>
  <c r="AL69" i="27"/>
  <c r="AJ75" i="27"/>
  <c r="AJ46" i="27"/>
  <c r="AI75" i="27"/>
  <c r="AH75" i="27"/>
  <c r="AG75" i="27"/>
  <c r="AF75" i="27"/>
  <c r="AE75" i="27"/>
  <c r="AI74" i="27"/>
  <c r="AH74" i="27"/>
  <c r="AG74" i="27"/>
  <c r="AF74" i="27"/>
  <c r="AE74" i="27"/>
  <c r="AH15" i="27"/>
  <c r="AH18" i="27"/>
  <c r="AH16" i="27"/>
  <c r="AH8" i="27"/>
  <c r="AH7" i="27"/>
  <c r="AH6" i="27"/>
  <c r="AH4" i="27"/>
  <c r="AH5" i="27" s="1"/>
  <c r="AI69" i="27"/>
  <c r="AH69" i="27"/>
  <c r="AG69" i="27"/>
  <c r="AI66" i="27"/>
  <c r="AH66" i="27"/>
  <c r="AG66" i="27"/>
  <c r="AI46"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3" i="27" s="1"/>
  <c r="AE18" i="27"/>
  <c r="AF18" i="27"/>
  <c r="AG18" i="27"/>
  <c r="DI40" i="27"/>
  <c r="DI45" i="27"/>
  <c r="AA15" i="27"/>
  <c r="AB15" i="27"/>
  <c r="AA4" i="27"/>
  <c r="AA5" i="27" s="1"/>
  <c r="AB4" i="27"/>
  <c r="AB5" i="27" s="1"/>
  <c r="AH46" i="27"/>
  <c r="DK56" i="27"/>
  <c r="DL56" i="27" s="1"/>
  <c r="DM56" i="27" s="1"/>
  <c r="DN56" i="27" s="1"/>
  <c r="DO56" i="27" s="1"/>
  <c r="DP56" i="27" s="1"/>
  <c r="DQ56" i="27" s="1"/>
  <c r="DR56" i="27" s="1"/>
  <c r="DS56" i="27" s="1"/>
  <c r="DI53" i="27"/>
  <c r="DJ53" i="27" s="1"/>
  <c r="DI44" i="27"/>
  <c r="DI48" i="27"/>
  <c r="DI50" i="27"/>
  <c r="AG46" i="27"/>
  <c r="AA16" i="27"/>
  <c r="AB16" i="27"/>
  <c r="AD16" i="27"/>
  <c r="DH18" i="27"/>
  <c r="DH40" i="27"/>
  <c r="AE66" i="27"/>
  <c r="AE69" i="27"/>
  <c r="AE46" i="27"/>
  <c r="AF69" i="27"/>
  <c r="AF66" i="27"/>
  <c r="AF46" i="27"/>
  <c r="DH53" i="27"/>
  <c r="DD3" i="27"/>
  <c r="DD66"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9" i="27" s="1"/>
  <c r="I4" i="27"/>
  <c r="I65"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7" i="27" s="1"/>
  <c r="Q7" i="27"/>
  <c r="R7" i="27"/>
  <c r="S7" i="27"/>
  <c r="T7" i="27"/>
  <c r="T67" i="27" s="1"/>
  <c r="U7" i="27"/>
  <c r="V7" i="27"/>
  <c r="W7" i="27"/>
  <c r="X7" i="27"/>
  <c r="Y7" i="27"/>
  <c r="Z7" i="27"/>
  <c r="I7" i="27"/>
  <c r="L7" i="27"/>
  <c r="L67" i="27" s="1"/>
  <c r="M7" i="27"/>
  <c r="N7" i="27"/>
  <c r="N67"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3" i="27" s="1"/>
  <c r="V16" i="27"/>
  <c r="V73" i="27" s="1"/>
  <c r="W16" i="27"/>
  <c r="X16" i="27"/>
  <c r="Y16" i="27"/>
  <c r="Y73" i="27" s="1"/>
  <c r="Z16" i="27"/>
  <c r="DG18" i="27"/>
  <c r="DA39" i="27"/>
  <c r="DA41" i="27" s="1"/>
  <c r="DA43" i="27" s="1"/>
  <c r="DB39" i="27"/>
  <c r="DB41" i="27" s="1"/>
  <c r="DC39" i="27"/>
  <c r="DC41" i="27" s="1"/>
  <c r="C39" i="27"/>
  <c r="D39" i="27"/>
  <c r="E39" i="27"/>
  <c r="F39" i="27"/>
  <c r="F41" i="27" s="1"/>
  <c r="F82" i="27" s="1"/>
  <c r="P39" i="27"/>
  <c r="DF40" i="27"/>
  <c r="DF69" i="27" s="1"/>
  <c r="DG40" i="27"/>
  <c r="C40" i="27"/>
  <c r="D40" i="27"/>
  <c r="E40" i="27"/>
  <c r="G40" i="27"/>
  <c r="H40" i="27"/>
  <c r="I40" i="27"/>
  <c r="M69" i="27" s="1"/>
  <c r="J40" i="27"/>
  <c r="N40" i="27"/>
  <c r="R69" i="27" s="1"/>
  <c r="O40" i="27"/>
  <c r="S69" i="27" s="1"/>
  <c r="P40" i="27"/>
  <c r="T69" i="27" s="1"/>
  <c r="Q40" i="27"/>
  <c r="Q69" i="27" s="1"/>
  <c r="DE44" i="27"/>
  <c r="DF44" i="27"/>
  <c r="DG44" i="27"/>
  <c r="DH44" i="27"/>
  <c r="DE45" i="27"/>
  <c r="DF45" i="27"/>
  <c r="DG45" i="27"/>
  <c r="DH45" i="27"/>
  <c r="G45" i="27"/>
  <c r="G46" i="27" s="1"/>
  <c r="H45" i="27"/>
  <c r="H46" i="27" s="1"/>
  <c r="I45" i="27"/>
  <c r="I46" i="27" s="1"/>
  <c r="J45" i="27"/>
  <c r="J46" i="27" s="1"/>
  <c r="K45" i="27"/>
  <c r="O75" i="27" s="1"/>
  <c r="M45" i="27"/>
  <c r="Q75" i="27" s="1"/>
  <c r="N45" i="27"/>
  <c r="N46" i="27" s="1"/>
  <c r="DA46" i="27"/>
  <c r="DB46" i="27"/>
  <c r="DC46" i="27"/>
  <c r="DD46" i="27"/>
  <c r="C46" i="27"/>
  <c r="D46" i="27"/>
  <c r="E46" i="27"/>
  <c r="L46" i="27"/>
  <c r="O46" i="27"/>
  <c r="P46" i="27"/>
  <c r="Q46" i="27"/>
  <c r="R46" i="27"/>
  <c r="S46" i="27"/>
  <c r="T46" i="27"/>
  <c r="U46" i="27"/>
  <c r="V46" i="27"/>
  <c r="W46" i="27"/>
  <c r="X46" i="27"/>
  <c r="Y46" i="27"/>
  <c r="Z46" i="27"/>
  <c r="AA46" i="27"/>
  <c r="AB46" i="27"/>
  <c r="AC46" i="27"/>
  <c r="AD46" i="27"/>
  <c r="DE48" i="27"/>
  <c r="DF48" i="27"/>
  <c r="DE50" i="27"/>
  <c r="DF50" i="27"/>
  <c r="DG50" i="27"/>
  <c r="DF53" i="27"/>
  <c r="DG53" i="27"/>
  <c r="DD52" i="27"/>
  <c r="DE52" i="27"/>
  <c r="DC65" i="27"/>
  <c r="DB66" i="27"/>
  <c r="DC66" i="27"/>
  <c r="G66" i="27"/>
  <c r="H66" i="27"/>
  <c r="I66" i="27"/>
  <c r="J66" i="27"/>
  <c r="K66" i="27"/>
  <c r="L66" i="27"/>
  <c r="M66" i="27"/>
  <c r="N66" i="27"/>
  <c r="O66" i="27"/>
  <c r="P66" i="27"/>
  <c r="Q66" i="27"/>
  <c r="R66" i="27"/>
  <c r="S66" i="27"/>
  <c r="T66" i="27"/>
  <c r="U66" i="27"/>
  <c r="V66" i="27"/>
  <c r="W66" i="27"/>
  <c r="X66" i="27"/>
  <c r="Y66" i="27"/>
  <c r="Z66" i="27"/>
  <c r="AA66" i="27"/>
  <c r="AB66" i="27"/>
  <c r="AC66" i="27"/>
  <c r="AD66" i="27"/>
  <c r="V69" i="27"/>
  <c r="W69" i="27"/>
  <c r="X69" i="27"/>
  <c r="Y69" i="27"/>
  <c r="Z69" i="27"/>
  <c r="AA69" i="27"/>
  <c r="AB69" i="27"/>
  <c r="AC69" i="27"/>
  <c r="AD69" i="27"/>
  <c r="U73" i="27"/>
  <c r="DN74" i="27"/>
  <c r="DO74" i="27"/>
  <c r="O74" i="27"/>
  <c r="P74" i="27"/>
  <c r="Q74" i="27"/>
  <c r="R74" i="27"/>
  <c r="S74" i="27"/>
  <c r="T74" i="27"/>
  <c r="U74" i="27"/>
  <c r="V74" i="27"/>
  <c r="W74" i="27"/>
  <c r="X74" i="27"/>
  <c r="Y74" i="27"/>
  <c r="Z74" i="27"/>
  <c r="AA74" i="27"/>
  <c r="AB74" i="27"/>
  <c r="AC74" i="27"/>
  <c r="AD74" i="27"/>
  <c r="P75" i="27"/>
  <c r="S75" i="27"/>
  <c r="T75" i="27"/>
  <c r="U75" i="27"/>
  <c r="V75" i="27"/>
  <c r="W75" i="27"/>
  <c r="X75" i="27"/>
  <c r="Y75" i="27"/>
  <c r="Z75" i="27"/>
  <c r="AA75" i="27"/>
  <c r="AB75" i="27"/>
  <c r="AC75" i="27"/>
  <c r="AD75" i="27"/>
  <c r="Q138" i="27"/>
  <c r="R138" i="27" s="1"/>
  <c r="S138" i="27" s="1"/>
  <c r="T138" i="27" s="1"/>
  <c r="Q144" i="27"/>
  <c r="R144" i="27" s="1"/>
  <c r="S144" i="27" s="1"/>
  <c r="T144" i="27" s="1"/>
  <c r="U144" i="27" s="1"/>
  <c r="F78" i="27"/>
  <c r="I93" i="27"/>
  <c r="I94" i="27" s="1"/>
  <c r="I99" i="27" s="1"/>
  <c r="I101" i="27" s="1"/>
  <c r="J78" i="27"/>
  <c r="K78" i="27"/>
  <c r="L78" i="27"/>
  <c r="M78" i="27"/>
  <c r="N78" i="27"/>
  <c r="O78" i="27"/>
  <c r="P79" i="27"/>
  <c r="P78" i="27" s="1"/>
  <c r="Q78" i="27"/>
  <c r="R78" i="27"/>
  <c r="S78" i="27"/>
  <c r="T78" i="27"/>
  <c r="U78" i="27"/>
  <c r="V78" i="27"/>
  <c r="W79" i="27"/>
  <c r="W78" i="27" s="1"/>
  <c r="X78" i="27"/>
  <c r="Y78" i="27"/>
  <c r="Z93" i="27"/>
  <c r="Z78" i="27" s="1"/>
  <c r="AA78" i="27"/>
  <c r="AB78" i="27"/>
  <c r="F85" i="27"/>
  <c r="I85" i="27"/>
  <c r="J85" i="27"/>
  <c r="K85" i="27"/>
  <c r="L85" i="27"/>
  <c r="M85" i="27"/>
  <c r="N85" i="27"/>
  <c r="O85" i="27"/>
  <c r="Q85" i="27"/>
  <c r="R85" i="27"/>
  <c r="S85" i="27"/>
  <c r="T85" i="27"/>
  <c r="U85" i="27"/>
  <c r="V85" i="27"/>
  <c r="X85" i="27"/>
  <c r="Y85" i="27"/>
  <c r="Z85" i="27"/>
  <c r="AA85" i="27"/>
  <c r="F87" i="27"/>
  <c r="I87" i="27"/>
  <c r="J87" i="27"/>
  <c r="K87" i="27"/>
  <c r="L87" i="27"/>
  <c r="M87" i="27"/>
  <c r="N87" i="27"/>
  <c r="O87" i="27"/>
  <c r="P87" i="27"/>
  <c r="Q87" i="27"/>
  <c r="R87" i="27"/>
  <c r="S87" i="27"/>
  <c r="T87" i="27"/>
  <c r="U87" i="27"/>
  <c r="V87" i="27"/>
  <c r="W87" i="27"/>
  <c r="X87" i="27"/>
  <c r="Y87" i="27"/>
  <c r="Z87" i="27"/>
  <c r="AA87" i="27"/>
  <c r="F94" i="27"/>
  <c r="F99" i="27" s="1"/>
  <c r="F101" i="27" s="1"/>
  <c r="J94" i="27"/>
  <c r="J99" i="27" s="1"/>
  <c r="J101" i="27" s="1"/>
  <c r="K94" i="27"/>
  <c r="K99" i="27" s="1"/>
  <c r="K101" i="27" s="1"/>
  <c r="L94" i="27"/>
  <c r="L99" i="27" s="1"/>
  <c r="L101" i="27" s="1"/>
  <c r="M94" i="27"/>
  <c r="M99" i="27" s="1"/>
  <c r="M101" i="27" s="1"/>
  <c r="N94" i="27"/>
  <c r="N99" i="27" s="1"/>
  <c r="N101" i="27" s="1"/>
  <c r="O94" i="27"/>
  <c r="O99" i="27" s="1"/>
  <c r="O101" i="27" s="1"/>
  <c r="P94" i="27"/>
  <c r="P99" i="27" s="1"/>
  <c r="P101" i="27" s="1"/>
  <c r="Q94" i="27"/>
  <c r="Q99" i="27" s="1"/>
  <c r="Q101" i="27" s="1"/>
  <c r="R94" i="27"/>
  <c r="R99" i="27" s="1"/>
  <c r="R101" i="27" s="1"/>
  <c r="S94" i="27"/>
  <c r="S99" i="27" s="1"/>
  <c r="S101" i="27" s="1"/>
  <c r="T94" i="27"/>
  <c r="T99" i="27" s="1"/>
  <c r="T101" i="27" s="1"/>
  <c r="U94" i="27"/>
  <c r="U99" i="27" s="1"/>
  <c r="U101" i="27" s="1"/>
  <c r="V94" i="27"/>
  <c r="V99" i="27" s="1"/>
  <c r="V101" i="27" s="1"/>
  <c r="W94" i="27"/>
  <c r="W99" i="27" s="1"/>
  <c r="W101" i="27" s="1"/>
  <c r="X94" i="27"/>
  <c r="X99" i="27" s="1"/>
  <c r="X101" i="27" s="1"/>
  <c r="Y94" i="27"/>
  <c r="Y99" i="27" s="1"/>
  <c r="Y101" i="27" s="1"/>
  <c r="AA94" i="27"/>
  <c r="AA99" i="27" s="1"/>
  <c r="AA101" i="27" s="1"/>
  <c r="E111" i="27"/>
  <c r="F111" i="27" s="1"/>
  <c r="H111" i="27"/>
  <c r="I111" i="27" s="1"/>
  <c r="J111" i="27" s="1"/>
  <c r="L111" i="27"/>
  <c r="M111" i="27" s="1"/>
  <c r="N111" i="27" s="1"/>
  <c r="P111" i="27"/>
  <c r="Q111" i="27" s="1"/>
  <c r="R111" i="27" s="1"/>
  <c r="T111" i="27"/>
  <c r="U111" i="27" s="1"/>
  <c r="V111" i="27" s="1"/>
  <c r="X111" i="27"/>
  <c r="Y111" i="27" s="1"/>
  <c r="F103" i="27"/>
  <c r="W106" i="27"/>
  <c r="X106" i="27"/>
  <c r="Y106" i="27"/>
  <c r="J4" i="1"/>
  <c r="J7" i="1" s="1"/>
  <c r="AK75" i="27"/>
  <c r="AJ66" i="27"/>
  <c r="AJ74" i="27"/>
  <c r="AL74" i="27"/>
  <c r="AK66" i="27"/>
  <c r="AL75" i="27"/>
  <c r="AK46" i="27"/>
  <c r="AL46" i="27"/>
  <c r="AK74" i="27"/>
  <c r="AL66" i="27"/>
  <c r="AQ69" i="27"/>
  <c r="EG19" i="27" l="1"/>
  <c r="EF39" i="27"/>
  <c r="EF41" i="27" s="1"/>
  <c r="CS59" i="27"/>
  <c r="CS52" i="27"/>
  <c r="CN52" i="27"/>
  <c r="CN103" i="27"/>
  <c r="CM52" i="27"/>
  <c r="CM103" i="27"/>
  <c r="CM59" i="27"/>
  <c r="CP57" i="27"/>
  <c r="CP62" i="27"/>
  <c r="CP47" i="27"/>
  <c r="CP49" i="27" s="1"/>
  <c r="CP60" i="27" s="1"/>
  <c r="BD47" i="27"/>
  <c r="BD49" i="27" s="1"/>
  <c r="BD51" i="27" s="1"/>
  <c r="BD52" i="27" s="1"/>
  <c r="G39" i="27"/>
  <c r="G41" i="27" s="1"/>
  <c r="G43" i="27" s="1"/>
  <c r="G47" i="27" s="1"/>
  <c r="G49" i="27" s="1"/>
  <c r="G51" i="27" s="1"/>
  <c r="CP55" i="27"/>
  <c r="CP56" i="27"/>
  <c r="AS66" i="27"/>
  <c r="AS75" i="27"/>
  <c r="O69" i="27"/>
  <c r="AS16" i="27"/>
  <c r="AT16" i="27" s="1"/>
  <c r="AU16" i="27" s="1"/>
  <c r="AU73" i="27" s="1"/>
  <c r="AV41" i="27"/>
  <c r="AV57" i="27" s="1"/>
  <c r="EA40" i="27"/>
  <c r="ED3" i="27"/>
  <c r="CL52" i="27"/>
  <c r="DX52" i="27"/>
  <c r="DY41" i="27"/>
  <c r="ED46" i="27"/>
  <c r="EE45" i="27"/>
  <c r="P65" i="27"/>
  <c r="DG66" i="27"/>
  <c r="AQ67" i="27"/>
  <c r="DL45" i="27"/>
  <c r="DL75" i="27" s="1"/>
  <c r="AS4" i="27"/>
  <c r="AS65" i="27" s="1"/>
  <c r="DL3" i="27"/>
  <c r="DM3" i="27" s="1"/>
  <c r="DN3" i="27" s="1"/>
  <c r="DO3" i="27" s="1"/>
  <c r="DP3" i="27" s="1"/>
  <c r="DQ3" i="27" s="1"/>
  <c r="I78" i="27"/>
  <c r="CN59" i="27"/>
  <c r="AB65" i="27"/>
  <c r="DL44" i="27"/>
  <c r="DM74" i="27" s="1"/>
  <c r="AC73" i="27"/>
  <c r="AF64" i="27"/>
  <c r="CF62" i="27"/>
  <c r="CJ62" i="27"/>
  <c r="AR5" i="27"/>
  <c r="AR39" i="27" s="1"/>
  <c r="AV68" i="27" s="1"/>
  <c r="CG62" i="27"/>
  <c r="CK62" i="27"/>
  <c r="CO52" i="27"/>
  <c r="CO59" i="27"/>
  <c r="CE43" i="27"/>
  <c r="CE55" i="27" s="1"/>
  <c r="CE56" i="27"/>
  <c r="CE57" i="27"/>
  <c r="CI62" i="27"/>
  <c r="CI57" i="27"/>
  <c r="CI56" i="27"/>
  <c r="CI43" i="27"/>
  <c r="CF57" i="27"/>
  <c r="CF56" i="27"/>
  <c r="CF43" i="27"/>
  <c r="CF55" i="27" s="1"/>
  <c r="CG56" i="27"/>
  <c r="CG57" i="27"/>
  <c r="CG43" i="27"/>
  <c r="CG55" i="27" s="1"/>
  <c r="CH43" i="27"/>
  <c r="CH55" i="27" s="1"/>
  <c r="CH62" i="27"/>
  <c r="CH57" i="27"/>
  <c r="CH56" i="27"/>
  <c r="AL67" i="27"/>
  <c r="DG6" i="27"/>
  <c r="AM73" i="27"/>
  <c r="AX3" i="27"/>
  <c r="M67" i="27"/>
  <c r="AG67" i="27"/>
  <c r="DG46" i="27"/>
  <c r="DF16" i="27"/>
  <c r="G64" i="27"/>
  <c r="AL65" i="27"/>
  <c r="AK67" i="27"/>
  <c r="AQ73" i="27"/>
  <c r="AR65" i="27"/>
  <c r="DG75" i="27"/>
  <c r="AT4" i="27"/>
  <c r="AT5" i="27" s="1"/>
  <c r="AT64" i="27" s="1"/>
  <c r="AE65" i="27"/>
  <c r="AO65" i="27"/>
  <c r="DH66" i="27"/>
  <c r="P67" i="27"/>
  <c r="AK73" i="27"/>
  <c r="M89" i="27"/>
  <c r="R75" i="27"/>
  <c r="S65" i="27"/>
  <c r="K46" i="27"/>
  <c r="F89" i="27"/>
  <c r="DF74" i="27"/>
  <c r="Z73" i="27"/>
  <c r="U39" i="27"/>
  <c r="U41" i="27" s="1"/>
  <c r="U56" i="27" s="1"/>
  <c r="W67" i="27"/>
  <c r="J89" i="27"/>
  <c r="AA73" i="27"/>
  <c r="AP64" i="27"/>
  <c r="AG65" i="27"/>
  <c r="AP65" i="27"/>
  <c r="AE73" i="27"/>
  <c r="AK65" i="27"/>
  <c r="J65" i="27"/>
  <c r="AT75" i="27"/>
  <c r="AT46" i="27"/>
  <c r="DI66" i="27"/>
  <c r="DH75" i="27"/>
  <c r="DJ7" i="27"/>
  <c r="AE64" i="27"/>
  <c r="AA67" i="27"/>
  <c r="DH15" i="27"/>
  <c r="Y67" i="27"/>
  <c r="Z94" i="27"/>
  <c r="Z99" i="27" s="1"/>
  <c r="Z101" i="27" s="1"/>
  <c r="DH16" i="27"/>
  <c r="AB73" i="27"/>
  <c r="I89" i="27"/>
  <c r="DF75" i="27"/>
  <c r="AI65" i="27"/>
  <c r="X89" i="27"/>
  <c r="AN65" i="27"/>
  <c r="AB67" i="27"/>
  <c r="DE6" i="27"/>
  <c r="AJ64" i="27"/>
  <c r="DH7" i="27"/>
  <c r="AN67" i="27"/>
  <c r="AK39" i="27"/>
  <c r="AK41" i="27" s="1"/>
  <c r="AK43" i="27" s="1"/>
  <c r="DJ6" i="27"/>
  <c r="DH4" i="27"/>
  <c r="DH5" i="27" s="1"/>
  <c r="DE46" i="27"/>
  <c r="S5" i="27"/>
  <c r="S64" i="27" s="1"/>
  <c r="AO73" i="27"/>
  <c r="AH65" i="27"/>
  <c r="N65" i="27"/>
  <c r="AF67" i="27"/>
  <c r="AM65" i="27"/>
  <c r="AD65" i="27"/>
  <c r="AH73" i="27"/>
  <c r="DK6" i="27"/>
  <c r="DK48" i="27"/>
  <c r="DJ4" i="27"/>
  <c r="Y65" i="27"/>
  <c r="E41" i="27"/>
  <c r="E43" i="27" s="1"/>
  <c r="E47" i="27" s="1"/>
  <c r="E49" i="27" s="1"/>
  <c r="E51" i="27" s="1"/>
  <c r="W65" i="27"/>
  <c r="DG15" i="27"/>
  <c r="AH64" i="27"/>
  <c r="O39" i="27"/>
  <c r="O41" i="27" s="1"/>
  <c r="O146" i="27" s="1"/>
  <c r="O148" i="27" s="1"/>
  <c r="O89" i="27"/>
  <c r="DF8" i="27"/>
  <c r="J64" i="27"/>
  <c r="U65" i="27"/>
  <c r="DG69" i="27"/>
  <c r="DK74" i="27"/>
  <c r="AM67" i="27"/>
  <c r="M46" i="27"/>
  <c r="AI39" i="27"/>
  <c r="AI41" i="27" s="1"/>
  <c r="AI56" i="27" s="1"/>
  <c r="W85" i="27"/>
  <c r="W89" i="27" s="1"/>
  <c r="AD67" i="27"/>
  <c r="DG16" i="27"/>
  <c r="Q64" i="27"/>
  <c r="DI74" i="27"/>
  <c r="AA39" i="27"/>
  <c r="AA41" i="27" s="1"/>
  <c r="AA143" i="27" s="1"/>
  <c r="AA145" i="27" s="1"/>
  <c r="AE67" i="27"/>
  <c r="AH67" i="27"/>
  <c r="DG7" i="27"/>
  <c r="AD39" i="27"/>
  <c r="AD41" i="27" s="1"/>
  <c r="AD56" i="27" s="1"/>
  <c r="J39" i="27"/>
  <c r="J41" i="27" s="1"/>
  <c r="J82" i="27" s="1"/>
  <c r="X39" i="27"/>
  <c r="X41" i="27" s="1"/>
  <c r="I39" i="27"/>
  <c r="I41" i="27" s="1"/>
  <c r="I43" i="27" s="1"/>
  <c r="I47" i="27" s="1"/>
  <c r="I49" i="27" s="1"/>
  <c r="I51" i="27" s="1"/>
  <c r="I103" i="27" s="1"/>
  <c r="T89" i="27"/>
  <c r="DI4" i="27"/>
  <c r="AF65" i="27"/>
  <c r="S89" i="27"/>
  <c r="DF46" i="27"/>
  <c r="U64" i="27"/>
  <c r="AJ65" i="27"/>
  <c r="AI64" i="27"/>
  <c r="N5" i="27"/>
  <c r="N64" i="27" s="1"/>
  <c r="AE39" i="27"/>
  <c r="N39" i="27"/>
  <c r="N41" i="27" s="1"/>
  <c r="M65" i="27"/>
  <c r="U67" i="27"/>
  <c r="DK4" i="27"/>
  <c r="DK5" i="27" s="1"/>
  <c r="DJ74" i="27"/>
  <c r="X67" i="27"/>
  <c r="R89" i="27"/>
  <c r="DF15" i="27"/>
  <c r="DJ15" i="27"/>
  <c r="AM89" i="27"/>
  <c r="AQ65" i="27"/>
  <c r="AI73" i="27"/>
  <c r="AM5" i="27"/>
  <c r="AM64" i="27" s="1"/>
  <c r="AF39" i="27"/>
  <c r="AF41" i="27" s="1"/>
  <c r="DI8" i="27"/>
  <c r="DK46" i="27"/>
  <c r="AJ67" i="27"/>
  <c r="Z5" i="27"/>
  <c r="Z64" i="27" s="1"/>
  <c r="DB64" i="27"/>
  <c r="AB39" i="27"/>
  <c r="AB41" i="27" s="1"/>
  <c r="DI7" i="27"/>
  <c r="Y5" i="27"/>
  <c r="Y64" i="27" s="1"/>
  <c r="AC65" i="27"/>
  <c r="M39" i="27"/>
  <c r="DF6" i="27"/>
  <c r="X73" i="27"/>
  <c r="P85" i="27"/>
  <c r="P89" i="27" s="1"/>
  <c r="DE76" i="27"/>
  <c r="Z65" i="27"/>
  <c r="AI67" i="27"/>
  <c r="R65" i="27"/>
  <c r="DK18" i="27"/>
  <c r="DF7" i="27"/>
  <c r="Q65" i="27"/>
  <c r="K64" i="27"/>
  <c r="U69" i="27"/>
  <c r="K65" i="27"/>
  <c r="DF4" i="27"/>
  <c r="DF5" i="27" s="1"/>
  <c r="DI16" i="27"/>
  <c r="DG4" i="27"/>
  <c r="AG64" i="27"/>
  <c r="X65" i="27"/>
  <c r="DH6" i="27"/>
  <c r="AH39" i="27"/>
  <c r="AL64" i="27"/>
  <c r="S39" i="27"/>
  <c r="S41" i="27" s="1"/>
  <c r="S57" i="27" s="1"/>
  <c r="AS19" i="27"/>
  <c r="DF66" i="27"/>
  <c r="DH71" i="27"/>
  <c r="DK29" i="27"/>
  <c r="K39" i="27"/>
  <c r="N69" i="27"/>
  <c r="I5" i="27"/>
  <c r="T39" i="27"/>
  <c r="W73" i="27"/>
  <c r="L89" i="27"/>
  <c r="C41" i="27"/>
  <c r="C43" i="27" s="1"/>
  <c r="C47" i="27" s="1"/>
  <c r="C49" i="27" s="1"/>
  <c r="C51" i="27" s="1"/>
  <c r="C52" i="27" s="1"/>
  <c r="H41" i="27"/>
  <c r="H43" i="27" s="1"/>
  <c r="H47" i="27" s="1"/>
  <c r="H49" i="27" s="1"/>
  <c r="DK8" i="27"/>
  <c r="AD73" i="27"/>
  <c r="AT72" i="27"/>
  <c r="Y39" i="27"/>
  <c r="Y41" i="27" s="1"/>
  <c r="Y82" i="27" s="1"/>
  <c r="DD4" i="27"/>
  <c r="AC67" i="27"/>
  <c r="W39" i="27"/>
  <c r="O65" i="27"/>
  <c r="DJ75" i="27"/>
  <c r="AN73" i="27"/>
  <c r="DL20" i="27"/>
  <c r="DM20" i="27" s="1"/>
  <c r="DN20" i="27" s="1"/>
  <c r="DO20" i="27" s="1"/>
  <c r="DP20" i="27" s="1"/>
  <c r="DQ20" i="27" s="1"/>
  <c r="W5" i="27"/>
  <c r="DG74" i="27"/>
  <c r="AM39" i="27"/>
  <c r="AM41" i="27" s="1"/>
  <c r="DJ8" i="27"/>
  <c r="T65" i="27"/>
  <c r="V89" i="27"/>
  <c r="S67" i="27"/>
  <c r="DC64" i="27"/>
  <c r="U138" i="27"/>
  <c r="V138" i="27" s="1"/>
  <c r="W138" i="27" s="1"/>
  <c r="X138" i="27" s="1"/>
  <c r="AK64" i="27"/>
  <c r="AO64" i="27"/>
  <c r="T64" i="27"/>
  <c r="P64" i="27"/>
  <c r="DC62" i="27"/>
  <c r="DC43" i="27"/>
  <c r="DC47" i="27" s="1"/>
  <c r="DL7" i="27"/>
  <c r="DM7" i="27" s="1"/>
  <c r="DN7" i="27" s="1"/>
  <c r="DO7" i="27" s="1"/>
  <c r="DP7" i="27" s="1"/>
  <c r="DQ7" i="27" s="1"/>
  <c r="AW7" i="27"/>
  <c r="AS67" i="27"/>
  <c r="DB62" i="27"/>
  <c r="DB43" i="27"/>
  <c r="DB47" i="27" s="1"/>
  <c r="O64" i="27"/>
  <c r="V65" i="27"/>
  <c r="L65" i="27"/>
  <c r="AB64" i="27"/>
  <c r="DJ46" i="27"/>
  <c r="Y89" i="27"/>
  <c r="P69" i="27"/>
  <c r="DK75" i="27"/>
  <c r="AO39" i="27"/>
  <c r="AQ5" i="27"/>
  <c r="AT67" i="27"/>
  <c r="AV69" i="27"/>
  <c r="DA47" i="27"/>
  <c r="Q39" i="27"/>
  <c r="AG39" i="27"/>
  <c r="AG41" i="27" s="1"/>
  <c r="AJ73" i="27"/>
  <c r="AS40" i="27"/>
  <c r="AN39" i="27"/>
  <c r="DE66" i="27"/>
  <c r="P41" i="27"/>
  <c r="AF73" i="27"/>
  <c r="AA65" i="27"/>
  <c r="AL73" i="27"/>
  <c r="AP73" i="27"/>
  <c r="R39" i="27"/>
  <c r="R41" i="27" s="1"/>
  <c r="R146" i="27" s="1"/>
  <c r="R148" i="27" s="1"/>
  <c r="DK16" i="27"/>
  <c r="AR69" i="27"/>
  <c r="AP67" i="27"/>
  <c r="AJ39" i="27"/>
  <c r="R5" i="27"/>
  <c r="V64" i="27" s="1"/>
  <c r="DJ18" i="27"/>
  <c r="Z39" i="27"/>
  <c r="Z41" i="27" s="1"/>
  <c r="Z143" i="27" s="1"/>
  <c r="Z145" i="27" s="1"/>
  <c r="DE4" i="27"/>
  <c r="H5" i="27"/>
  <c r="H64" i="27" s="1"/>
  <c r="K89" i="27"/>
  <c r="DI15" i="27"/>
  <c r="AO67" i="27"/>
  <c r="X64" i="27"/>
  <c r="DI46" i="27"/>
  <c r="DI6" i="27"/>
  <c r="AR73" i="27"/>
  <c r="DH74" i="27"/>
  <c r="D41" i="27"/>
  <c r="D43" i="27" s="1"/>
  <c r="D47" i="27" s="1"/>
  <c r="D49" i="27" s="1"/>
  <c r="D51" i="27" s="1"/>
  <c r="D52" i="27" s="1"/>
  <c r="AQ39" i="27"/>
  <c r="AU5" i="27"/>
  <c r="DK7" i="27"/>
  <c r="V39" i="27"/>
  <c r="DH46" i="27"/>
  <c r="DG8" i="27"/>
  <c r="Q89" i="27"/>
  <c r="L39" i="27"/>
  <c r="V67" i="27"/>
  <c r="AP39" i="27"/>
  <c r="AP41" i="27" s="1"/>
  <c r="AP57" i="27" s="1"/>
  <c r="DI75" i="27"/>
  <c r="AN64" i="27"/>
  <c r="AA89" i="27"/>
  <c r="DI18" i="27"/>
  <c r="R67" i="27"/>
  <c r="Z89" i="27"/>
  <c r="N89" i="27"/>
  <c r="DH8" i="27"/>
  <c r="DJ16" i="27"/>
  <c r="AL39" i="27"/>
  <c r="AL41" i="27" s="1"/>
  <c r="AX8" i="27"/>
  <c r="DL8" i="27"/>
  <c r="DM8" i="27" s="1"/>
  <c r="DN8" i="27" s="1"/>
  <c r="DO8" i="27" s="1"/>
  <c r="DP8" i="27" s="1"/>
  <c r="DQ8" i="27" s="1"/>
  <c r="V144" i="27"/>
  <c r="AU18" i="27"/>
  <c r="DL18" i="27"/>
  <c r="DM18" i="27" s="1"/>
  <c r="DN18" i="27" s="1"/>
  <c r="DO18" i="27" s="1"/>
  <c r="U89" i="27"/>
  <c r="AU29" i="27"/>
  <c r="DL29" i="27"/>
  <c r="DM29" i="27" s="1"/>
  <c r="DN29" i="27" s="1"/>
  <c r="DO29" i="27" s="1"/>
  <c r="DP29" i="27" s="1"/>
  <c r="DQ29" i="27" s="1"/>
  <c r="DR29" i="27" s="1"/>
  <c r="AC39" i="27"/>
  <c r="AS6" i="27"/>
  <c r="DE7" i="27"/>
  <c r="Q67" i="27"/>
  <c r="Z67" i="27"/>
  <c r="AR67" i="27"/>
  <c r="EH19" i="27" l="1"/>
  <c r="DY43" i="27"/>
  <c r="DY57" i="27"/>
  <c r="DY62" i="27"/>
  <c r="DY56" i="27"/>
  <c r="CP58" i="27"/>
  <c r="CP51" i="27"/>
  <c r="AV43" i="27"/>
  <c r="AT73" i="27"/>
  <c r="AV56" i="27"/>
  <c r="DL16" i="27"/>
  <c r="DM16" i="27" s="1"/>
  <c r="DN16" i="27" s="1"/>
  <c r="DO16" i="27" s="1"/>
  <c r="DP16" i="27" s="1"/>
  <c r="DQ16" i="27" s="1"/>
  <c r="AW4" i="27"/>
  <c r="AW5" i="27" s="1"/>
  <c r="AS73" i="27"/>
  <c r="AS5" i="27"/>
  <c r="AS64" i="27" s="1"/>
  <c r="EE3" i="27"/>
  <c r="EB40" i="27"/>
  <c r="EA35" i="27"/>
  <c r="DZ41" i="27"/>
  <c r="EF45" i="27"/>
  <c r="EE46" i="27"/>
  <c r="AV64" i="27"/>
  <c r="DL46" i="27"/>
  <c r="AR64" i="27"/>
  <c r="DL74" i="27"/>
  <c r="CE47" i="27"/>
  <c r="CE49" i="27" s="1"/>
  <c r="CH47" i="27"/>
  <c r="CH49" i="27" s="1"/>
  <c r="CE58" i="27"/>
  <c r="CI47" i="27"/>
  <c r="CI55" i="27"/>
  <c r="CF47" i="27"/>
  <c r="CG47" i="27"/>
  <c r="AX4" i="27"/>
  <c r="AX5" i="27" s="1"/>
  <c r="DL4" i="27"/>
  <c r="DL5" i="27" s="1"/>
  <c r="DL64" i="27" s="1"/>
  <c r="AT65" i="27"/>
  <c r="AA146" i="27"/>
  <c r="AA148" i="27" s="1"/>
  <c r="AK56" i="27"/>
  <c r="AK57" i="27"/>
  <c r="AA43" i="27"/>
  <c r="AA47" i="27" s="1"/>
  <c r="AA149" i="27"/>
  <c r="AA151" i="27" s="1"/>
  <c r="AA68" i="27"/>
  <c r="AA57" i="27"/>
  <c r="AK62" i="27"/>
  <c r="AA137" i="27"/>
  <c r="AA139" i="27" s="1"/>
  <c r="U137" i="27"/>
  <c r="U139" i="27" s="1"/>
  <c r="U43" i="27"/>
  <c r="U55" i="27" s="1"/>
  <c r="U135" i="27" s="1"/>
  <c r="U143" i="27"/>
  <c r="U145" i="27" s="1"/>
  <c r="U146" i="27"/>
  <c r="U148" i="27" s="1"/>
  <c r="U149" i="27"/>
  <c r="U151" i="27" s="1"/>
  <c r="AA82" i="27"/>
  <c r="U82" i="27"/>
  <c r="U140" i="27"/>
  <c r="U142" i="27" s="1"/>
  <c r="U57" i="27"/>
  <c r="O56" i="27"/>
  <c r="O82" i="27"/>
  <c r="O143" i="27"/>
  <c r="O145" i="27" s="1"/>
  <c r="DI67" i="27"/>
  <c r="DJ65" i="27"/>
  <c r="DH73" i="27"/>
  <c r="DF67" i="27"/>
  <c r="AA140" i="27"/>
  <c r="AA142" i="27" s="1"/>
  <c r="AA56" i="27"/>
  <c r="AR41" i="27"/>
  <c r="AR57" i="27" s="1"/>
  <c r="S62" i="27"/>
  <c r="O137" i="27"/>
  <c r="O139" i="27" s="1"/>
  <c r="O149" i="27"/>
  <c r="O151" i="27" s="1"/>
  <c r="O57" i="27"/>
  <c r="O43" i="27"/>
  <c r="O140" i="27"/>
  <c r="O142" i="27" s="1"/>
  <c r="E60" i="27"/>
  <c r="N82" i="27"/>
  <c r="N149" i="27"/>
  <c r="N151" i="27" s="1"/>
  <c r="N146" i="27"/>
  <c r="N148" i="27" s="1"/>
  <c r="N57" i="27"/>
  <c r="N56" i="27"/>
  <c r="N137" i="27"/>
  <c r="N139" i="27" s="1"/>
  <c r="N143" i="27"/>
  <c r="N145" i="27" s="1"/>
  <c r="N140" i="27"/>
  <c r="N142" i="27" s="1"/>
  <c r="DH39" i="27"/>
  <c r="DH41" i="27" s="1"/>
  <c r="DH56" i="27" s="1"/>
  <c r="AC64" i="27"/>
  <c r="DJ5" i="27"/>
  <c r="Y43" i="27"/>
  <c r="Y47" i="27" s="1"/>
  <c r="AE68" i="27"/>
  <c r="W41" i="27"/>
  <c r="W62" i="27" s="1"/>
  <c r="Y149" i="27"/>
  <c r="Y151" i="27" s="1"/>
  <c r="I52" i="27"/>
  <c r="Y143" i="27"/>
  <c r="AD64" i="27"/>
  <c r="I60" i="27"/>
  <c r="AP56" i="27"/>
  <c r="I82" i="27"/>
  <c r="AB68" i="27"/>
  <c r="M68" i="27"/>
  <c r="Y62" i="27"/>
  <c r="DG67" i="27"/>
  <c r="DH67" i="27"/>
  <c r="X68" i="27"/>
  <c r="S140" i="27"/>
  <c r="S142" i="27" s="1"/>
  <c r="DG39" i="27"/>
  <c r="DG41" i="27" s="1"/>
  <c r="AE41" i="27"/>
  <c r="AE56" i="27" s="1"/>
  <c r="AH68" i="27"/>
  <c r="AF43" i="27"/>
  <c r="AF47" i="27" s="1"/>
  <c r="AF62" i="27"/>
  <c r="AI43" i="27"/>
  <c r="AP43" i="27"/>
  <c r="AP47" i="27" s="1"/>
  <c r="N68" i="27"/>
  <c r="AP68" i="27"/>
  <c r="AF68" i="27"/>
  <c r="AI68" i="27"/>
  <c r="DI5" i="27"/>
  <c r="DI64" i="27" s="1"/>
  <c r="DI65" i="27"/>
  <c r="J43" i="27"/>
  <c r="J47" i="27" s="1"/>
  <c r="J49" i="27" s="1"/>
  <c r="J60" i="27" s="1"/>
  <c r="AM68" i="27"/>
  <c r="AI57" i="27"/>
  <c r="AH41" i="27"/>
  <c r="AH43" i="27" s="1"/>
  <c r="AH55" i="27" s="1"/>
  <c r="AF56" i="27"/>
  <c r="Y140" i="27"/>
  <c r="Y142" i="27" s="1"/>
  <c r="M41" i="27"/>
  <c r="M62" i="27" s="1"/>
  <c r="AF57" i="27"/>
  <c r="Z68" i="27"/>
  <c r="DK39" i="27"/>
  <c r="DK41" i="27" s="1"/>
  <c r="AB43" i="27"/>
  <c r="AB56" i="27"/>
  <c r="AB57" i="27"/>
  <c r="G60" i="27"/>
  <c r="AU64" i="27"/>
  <c r="Y68" i="27"/>
  <c r="Y56" i="27"/>
  <c r="E103" i="27"/>
  <c r="E52" i="27"/>
  <c r="AQ64" i="27"/>
  <c r="Y146" i="27"/>
  <c r="Y148" i="27" s="1"/>
  <c r="Y137" i="27"/>
  <c r="Y139" i="27" s="1"/>
  <c r="Y57" i="27"/>
  <c r="S149" i="27"/>
  <c r="S151" i="27" s="1"/>
  <c r="DG5" i="27"/>
  <c r="DG65" i="27"/>
  <c r="DH65" i="27"/>
  <c r="S56" i="27"/>
  <c r="S68" i="27"/>
  <c r="AS70" i="27"/>
  <c r="AT19" i="27"/>
  <c r="DL19" i="27" s="1"/>
  <c r="S146" i="27"/>
  <c r="S148" i="27" s="1"/>
  <c r="DF39" i="27"/>
  <c r="DF41" i="27" s="1"/>
  <c r="T41" i="27"/>
  <c r="T62" i="27" s="1"/>
  <c r="T68" i="27"/>
  <c r="V41" i="27"/>
  <c r="V82" i="27" s="1"/>
  <c r="V68" i="27"/>
  <c r="R140" i="27"/>
  <c r="R142" i="27" s="1"/>
  <c r="DD65" i="27"/>
  <c r="DD5" i="27"/>
  <c r="DD64" i="27" s="1"/>
  <c r="N43" i="27"/>
  <c r="N62" i="27"/>
  <c r="AK68" i="27"/>
  <c r="AA64" i="27"/>
  <c r="W64" i="27"/>
  <c r="M64" i="27"/>
  <c r="I64" i="27"/>
  <c r="S143" i="27"/>
  <c r="S145" i="27" s="1"/>
  <c r="S43" i="27"/>
  <c r="S47" i="27" s="1"/>
  <c r="K41" i="27"/>
  <c r="K68" i="27"/>
  <c r="S137" i="27"/>
  <c r="S139" i="27" s="1"/>
  <c r="AP62" i="27"/>
  <c r="W68" i="27"/>
  <c r="S82" i="27"/>
  <c r="O68" i="27"/>
  <c r="DD39" i="27"/>
  <c r="DD41" i="27" s="1"/>
  <c r="Q41" i="27"/>
  <c r="Q68" i="27"/>
  <c r="U68" i="27"/>
  <c r="P57" i="27"/>
  <c r="P43" i="27"/>
  <c r="P140" i="27"/>
  <c r="P142" i="27" s="1"/>
  <c r="P137" i="27"/>
  <c r="P139" i="27" s="1"/>
  <c r="P56" i="27"/>
  <c r="P82" i="27"/>
  <c r="P143" i="27"/>
  <c r="P145" i="27" s="1"/>
  <c r="P146" i="27"/>
  <c r="P148" i="27" s="1"/>
  <c r="P149" i="27"/>
  <c r="P151" i="27" s="1"/>
  <c r="R64" i="27"/>
  <c r="R137" i="27"/>
  <c r="R139" i="27" s="1"/>
  <c r="AJ68" i="27"/>
  <c r="AJ41" i="27"/>
  <c r="AR68" i="27"/>
  <c r="AN41" i="27"/>
  <c r="AN68" i="27"/>
  <c r="AQ68" i="27"/>
  <c r="AQ41" i="27"/>
  <c r="AL68" i="27"/>
  <c r="AL43" i="27"/>
  <c r="AL57" i="27"/>
  <c r="AL56" i="27"/>
  <c r="AT40" i="27"/>
  <c r="AS69" i="27"/>
  <c r="R68" i="27"/>
  <c r="AM56" i="27"/>
  <c r="AM82" i="27"/>
  <c r="AM57" i="27"/>
  <c r="AM62" i="27"/>
  <c r="AM43" i="27"/>
  <c r="AK55" i="27"/>
  <c r="AK47" i="27"/>
  <c r="AB62" i="27"/>
  <c r="X137" i="27"/>
  <c r="X139" i="27" s="1"/>
  <c r="X146" i="27"/>
  <c r="X148" i="27" s="1"/>
  <c r="X149" i="27"/>
  <c r="X151" i="27" s="1"/>
  <c r="X143" i="27"/>
  <c r="X43" i="27"/>
  <c r="X140" i="27"/>
  <c r="X142" i="27" s="1"/>
  <c r="X82" i="27"/>
  <c r="X56" i="27"/>
  <c r="X57" i="27"/>
  <c r="H60" i="27"/>
  <c r="H51" i="27"/>
  <c r="AD43" i="27"/>
  <c r="AD62" i="27"/>
  <c r="AD57" i="27"/>
  <c r="P68" i="27"/>
  <c r="L41" i="27"/>
  <c r="L68" i="27"/>
  <c r="R56" i="27"/>
  <c r="R43" i="27"/>
  <c r="R149" i="27"/>
  <c r="R151" i="27" s="1"/>
  <c r="R62" i="27"/>
  <c r="R57" i="27"/>
  <c r="R143" i="27"/>
  <c r="R145" i="27" s="1"/>
  <c r="R82" i="27"/>
  <c r="AO68" i="27"/>
  <c r="AO41" i="27"/>
  <c r="AD68" i="27"/>
  <c r="DE65" i="27"/>
  <c r="DF65" i="27"/>
  <c r="DE5" i="27"/>
  <c r="DI39" i="27"/>
  <c r="Z137" i="27"/>
  <c r="Z139" i="27" s="1"/>
  <c r="Z140" i="27"/>
  <c r="Z142" i="27" s="1"/>
  <c r="Z57" i="27"/>
  <c r="Z56" i="27"/>
  <c r="Z149" i="27"/>
  <c r="Z151" i="27" s="1"/>
  <c r="Z82" i="27"/>
  <c r="Z146" i="27"/>
  <c r="Z148" i="27" s="1"/>
  <c r="Z43" i="27"/>
  <c r="AG56" i="27"/>
  <c r="AG43" i="27"/>
  <c r="AG57" i="27"/>
  <c r="L64" i="27"/>
  <c r="AC68" i="27"/>
  <c r="AC41" i="27"/>
  <c r="AG68" i="27"/>
  <c r="AV55" i="27"/>
  <c r="AV47" i="27"/>
  <c r="DE39" i="27"/>
  <c r="W144" i="27"/>
  <c r="G52" i="27"/>
  <c r="G103" i="27"/>
  <c r="AW6" i="27"/>
  <c r="AS39" i="27"/>
  <c r="DL6" i="27"/>
  <c r="EI19" i="27" l="1"/>
  <c r="EH39" i="27"/>
  <c r="DY47" i="27"/>
  <c r="DY55" i="27"/>
  <c r="DZ43" i="27"/>
  <c r="DZ62" i="27"/>
  <c r="DZ57" i="27"/>
  <c r="DZ56" i="27"/>
  <c r="CP52" i="27"/>
  <c r="CP103" i="27"/>
  <c r="AW39" i="27"/>
  <c r="AW41" i="27" s="1"/>
  <c r="CP59" i="27"/>
  <c r="CH58" i="27"/>
  <c r="AX39" i="27"/>
  <c r="AX41" i="27" s="1"/>
  <c r="DM4" i="27"/>
  <c r="DN4" i="27" s="1"/>
  <c r="EB35" i="27"/>
  <c r="EA41" i="27"/>
  <c r="EC40" i="27"/>
  <c r="EF3" i="27"/>
  <c r="EG45" i="27"/>
  <c r="EF46" i="27"/>
  <c r="AA55" i="27"/>
  <c r="AA135" i="27" s="1"/>
  <c r="CI49" i="27"/>
  <c r="CI58" i="27"/>
  <c r="CE51" i="27"/>
  <c r="CE60" i="27"/>
  <c r="CF58" i="27"/>
  <c r="CF49" i="27"/>
  <c r="CG58" i="27"/>
  <c r="CG49" i="27"/>
  <c r="CH51" i="27"/>
  <c r="CH60" i="27"/>
  <c r="DH57" i="27"/>
  <c r="U47" i="27"/>
  <c r="U49" i="27" s="1"/>
  <c r="AA136" i="27"/>
  <c r="Y55" i="27"/>
  <c r="Y135" i="27" s="1"/>
  <c r="DH62" i="27"/>
  <c r="U136" i="27"/>
  <c r="AF55" i="27"/>
  <c r="DH68" i="27"/>
  <c r="J51" i="27"/>
  <c r="J52" i="27" s="1"/>
  <c r="DJ64" i="27"/>
  <c r="O136" i="27"/>
  <c r="DJ39" i="27"/>
  <c r="DJ41" i="27" s="1"/>
  <c r="W43" i="27"/>
  <c r="W55" i="27" s="1"/>
  <c r="W135" i="27" s="1"/>
  <c r="N136" i="27"/>
  <c r="W149" i="27"/>
  <c r="W151" i="27" s="1"/>
  <c r="AR56" i="27"/>
  <c r="AV62" i="27"/>
  <c r="DK64" i="27"/>
  <c r="V62" i="27"/>
  <c r="AR43" i="27"/>
  <c r="W146" i="27"/>
  <c r="W148" i="27" s="1"/>
  <c r="M137" i="27"/>
  <c r="M139" i="27" s="1"/>
  <c r="W57" i="27"/>
  <c r="W82" i="27"/>
  <c r="M140" i="27"/>
  <c r="M142" i="27" s="1"/>
  <c r="W143" i="27"/>
  <c r="W145" i="27" s="1"/>
  <c r="W140" i="27"/>
  <c r="W142" i="27" s="1"/>
  <c r="W137" i="27"/>
  <c r="W139" i="27" s="1"/>
  <c r="W56" i="27"/>
  <c r="O55" i="27"/>
  <c r="O135" i="27" s="1"/>
  <c r="O47" i="27"/>
  <c r="AA62" i="27"/>
  <c r="M43" i="27"/>
  <c r="M55" i="27" s="1"/>
  <c r="M135" i="27" s="1"/>
  <c r="M82" i="27"/>
  <c r="M149" i="27"/>
  <c r="M151" i="27" s="1"/>
  <c r="M56" i="27"/>
  <c r="AP55" i="27"/>
  <c r="AE43" i="27"/>
  <c r="AE47" i="27" s="1"/>
  <c r="AE58" i="27" s="1"/>
  <c r="AE57" i="27"/>
  <c r="AE62" i="27"/>
  <c r="AH62" i="27"/>
  <c r="AL62" i="27"/>
  <c r="AI62" i="27"/>
  <c r="M57" i="27"/>
  <c r="AI47" i="27"/>
  <c r="AI55" i="27"/>
  <c r="DG68" i="27"/>
  <c r="S136" i="27"/>
  <c r="M143" i="27"/>
  <c r="M145" i="27" s="1"/>
  <c r="M146" i="27"/>
  <c r="M148" i="27" s="1"/>
  <c r="V57" i="27"/>
  <c r="V143" i="27"/>
  <c r="V145" i="27" s="1"/>
  <c r="V137" i="27"/>
  <c r="V139" i="27" s="1"/>
  <c r="AB47" i="27"/>
  <c r="AB55" i="27"/>
  <c r="P136" i="27"/>
  <c r="Z62" i="27"/>
  <c r="V146" i="27"/>
  <c r="V148" i="27" s="1"/>
  <c r="V140" i="27"/>
  <c r="V142" i="27" s="1"/>
  <c r="V149" i="27"/>
  <c r="V151" i="27" s="1"/>
  <c r="V43" i="27"/>
  <c r="V55" i="27" s="1"/>
  <c r="V135" i="27" s="1"/>
  <c r="V56" i="27"/>
  <c r="AH56" i="27"/>
  <c r="AH57" i="27"/>
  <c r="DD43" i="27"/>
  <c r="DD47" i="27" s="1"/>
  <c r="DD49" i="27" s="1"/>
  <c r="DD60" i="27" s="1"/>
  <c r="DD62" i="27"/>
  <c r="AA58" i="27"/>
  <c r="AA49" i="27"/>
  <c r="X62" i="27"/>
  <c r="T57" i="27"/>
  <c r="T149" i="27"/>
  <c r="T151" i="27" s="1"/>
  <c r="T82" i="27"/>
  <c r="T56" i="27"/>
  <c r="T43" i="27"/>
  <c r="T146" i="27"/>
  <c r="T148" i="27" s="1"/>
  <c r="T143" i="27"/>
  <c r="T145" i="27" s="1"/>
  <c r="T140" i="27"/>
  <c r="T142" i="27" s="1"/>
  <c r="T137" i="27"/>
  <c r="T139" i="27" s="1"/>
  <c r="DF56" i="27"/>
  <c r="DF43" i="27"/>
  <c r="DF57" i="27"/>
  <c r="N47" i="27"/>
  <c r="N55" i="27"/>
  <c r="N135" i="27" s="1"/>
  <c r="AT70" i="27"/>
  <c r="AT39" i="27"/>
  <c r="AT68" i="27" s="1"/>
  <c r="AU19" i="27"/>
  <c r="S55" i="27"/>
  <c r="S135" i="27" s="1"/>
  <c r="R136" i="27"/>
  <c r="K149" i="27"/>
  <c r="K151" i="27" s="1"/>
  <c r="K56" i="27"/>
  <c r="K146" i="27"/>
  <c r="K148" i="27" s="1"/>
  <c r="K140" i="27"/>
  <c r="K142" i="27" s="1"/>
  <c r="K82" i="27"/>
  <c r="K143" i="27"/>
  <c r="K145" i="27" s="1"/>
  <c r="K137" i="27"/>
  <c r="K139" i="27" s="1"/>
  <c r="O62" i="27"/>
  <c r="K57" i="27"/>
  <c r="K62" i="27"/>
  <c r="K43" i="27"/>
  <c r="DH64" i="27"/>
  <c r="DG64" i="27"/>
  <c r="AO62" i="27"/>
  <c r="AO43" i="27"/>
  <c r="AO57" i="27"/>
  <c r="AO56" i="27"/>
  <c r="X55" i="27"/>
  <c r="X135" i="27" s="1"/>
  <c r="X47" i="27"/>
  <c r="AM47" i="27"/>
  <c r="AM55" i="27"/>
  <c r="AL55" i="27"/>
  <c r="AL47" i="27"/>
  <c r="Y58" i="27"/>
  <c r="Y49" i="27"/>
  <c r="P47" i="27"/>
  <c r="P55" i="27"/>
  <c r="P135" i="27" s="1"/>
  <c r="L57" i="27"/>
  <c r="L146" i="27"/>
  <c r="L148" i="27" s="1"/>
  <c r="L149" i="27"/>
  <c r="L151" i="27" s="1"/>
  <c r="L56" i="27"/>
  <c r="L143" i="27"/>
  <c r="L145" i="27" s="1"/>
  <c r="L140" i="27"/>
  <c r="L142" i="27" s="1"/>
  <c r="L43" i="27"/>
  <c r="L62" i="27"/>
  <c r="L82" i="27"/>
  <c r="L137" i="27"/>
  <c r="L139" i="27" s="1"/>
  <c r="AQ56" i="27"/>
  <c r="AQ62" i="27"/>
  <c r="AQ43" i="27"/>
  <c r="AQ57" i="27"/>
  <c r="AT69" i="27"/>
  <c r="AU40" i="27"/>
  <c r="AU69" i="27" s="1"/>
  <c r="DL40" i="27"/>
  <c r="DM40" i="27" s="1"/>
  <c r="DN40" i="27" s="1"/>
  <c r="DO40" i="27" s="1"/>
  <c r="DP40" i="27" s="1"/>
  <c r="DQ40" i="27" s="1"/>
  <c r="Z136" i="27"/>
  <c r="AD55" i="27"/>
  <c r="AD47" i="27"/>
  <c r="DI41" i="27"/>
  <c r="DI68" i="27"/>
  <c r="H103" i="27"/>
  <c r="H52" i="27"/>
  <c r="AG47" i="27"/>
  <c r="AG55" i="27"/>
  <c r="DF64" i="27"/>
  <c r="DE64" i="27"/>
  <c r="R55" i="27"/>
  <c r="R135" i="27" s="1"/>
  <c r="R47" i="27"/>
  <c r="AN57" i="27"/>
  <c r="AN62" i="27"/>
  <c r="AN43" i="27"/>
  <c r="AN56" i="27"/>
  <c r="AR62" i="27"/>
  <c r="Q57" i="27"/>
  <c r="Q149" i="27"/>
  <c r="Q151" i="27" s="1"/>
  <c r="Q82" i="27"/>
  <c r="Q56" i="27"/>
  <c r="Q43" i="27"/>
  <c r="Q137" i="27"/>
  <c r="Q139" i="27" s="1"/>
  <c r="Q62" i="27"/>
  <c r="Q140" i="27"/>
  <c r="Q142" i="27" s="1"/>
  <c r="Q146" i="27"/>
  <c r="Q148" i="27" s="1"/>
  <c r="U62" i="27"/>
  <c r="Q143" i="27"/>
  <c r="Q145" i="27" s="1"/>
  <c r="AH47" i="27"/>
  <c r="AH58" i="27" s="1"/>
  <c r="DG56" i="27"/>
  <c r="DG57" i="27"/>
  <c r="DG62" i="27"/>
  <c r="Z55" i="27"/>
  <c r="Z135" i="27" s="1"/>
  <c r="Z47" i="27"/>
  <c r="AK49" i="27"/>
  <c r="AK58" i="27"/>
  <c r="AJ57" i="27"/>
  <c r="AJ43" i="27"/>
  <c r="AJ56" i="27"/>
  <c r="AJ62" i="27"/>
  <c r="P62" i="27"/>
  <c r="AV49" i="27"/>
  <c r="AV58" i="27"/>
  <c r="AP49" i="27"/>
  <c r="AP58" i="27"/>
  <c r="X144" i="27"/>
  <c r="AF49" i="27"/>
  <c r="AF58" i="27"/>
  <c r="DF68" i="27"/>
  <c r="DE41" i="27"/>
  <c r="AG62" i="27"/>
  <c r="AC62" i="27"/>
  <c r="AC43" i="27"/>
  <c r="AC57" i="27"/>
  <c r="AC56" i="27"/>
  <c r="AS41" i="27"/>
  <c r="AS68" i="27"/>
  <c r="DL39" i="27"/>
  <c r="DM6" i="27"/>
  <c r="S58" i="27"/>
  <c r="S49" i="27"/>
  <c r="EJ19" i="27" l="1"/>
  <c r="EJ39" i="27" s="1"/>
  <c r="EI39" i="27"/>
  <c r="DY49" i="27"/>
  <c r="DY58" i="27"/>
  <c r="EA43" i="27"/>
  <c r="EA57" i="27"/>
  <c r="EA56" i="27"/>
  <c r="EA62" i="27"/>
  <c r="DZ47" i="27"/>
  <c r="DZ55" i="27"/>
  <c r="DM5" i="27"/>
  <c r="DM64" i="27" s="1"/>
  <c r="ED40" i="27"/>
  <c r="EG3" i="27"/>
  <c r="EC35" i="27"/>
  <c r="EB41" i="27"/>
  <c r="EH45" i="27"/>
  <c r="EG46" i="27"/>
  <c r="U58" i="27"/>
  <c r="CE52" i="27"/>
  <c r="CE59" i="27"/>
  <c r="CI60" i="27"/>
  <c r="CI51" i="27"/>
  <c r="CF60" i="27"/>
  <c r="CF51" i="27"/>
  <c r="CG60" i="27"/>
  <c r="CG51" i="27"/>
  <c r="CH52" i="27"/>
  <c r="CH59" i="27"/>
  <c r="DK68" i="27"/>
  <c r="AE49" i="27"/>
  <c r="AE60" i="27" s="1"/>
  <c r="W47" i="27"/>
  <c r="W49" i="27" s="1"/>
  <c r="W136" i="27"/>
  <c r="J103" i="27"/>
  <c r="DJ68" i="27"/>
  <c r="V47" i="27"/>
  <c r="V58" i="27" s="1"/>
  <c r="M47" i="27"/>
  <c r="M49" i="27" s="1"/>
  <c r="DG43" i="27"/>
  <c r="DG42" i="27" s="1"/>
  <c r="AE55" i="27"/>
  <c r="AR55" i="27"/>
  <c r="AR47" i="27"/>
  <c r="DI43" i="27"/>
  <c r="DI47" i="27" s="1"/>
  <c r="DI49" i="27" s="1"/>
  <c r="DI51" i="27" s="1"/>
  <c r="O49" i="27"/>
  <c r="O58" i="27"/>
  <c r="M136" i="27"/>
  <c r="V136" i="27"/>
  <c r="AH49" i="27"/>
  <c r="AH60" i="27" s="1"/>
  <c r="AI58" i="27"/>
  <c r="AI49" i="27"/>
  <c r="T136" i="27"/>
  <c r="AB49" i="27"/>
  <c r="AB58" i="27"/>
  <c r="K136" i="27"/>
  <c r="T47" i="27"/>
  <c r="T55" i="27"/>
  <c r="T135" i="27" s="1"/>
  <c r="N49" i="27"/>
  <c r="N58" i="27"/>
  <c r="DF55" i="27"/>
  <c r="DF47" i="27"/>
  <c r="AT41" i="27"/>
  <c r="K47" i="27"/>
  <c r="K55" i="27"/>
  <c r="K135" i="27" s="1"/>
  <c r="AA51" i="27"/>
  <c r="AA60" i="27"/>
  <c r="AU70" i="27"/>
  <c r="AU39" i="27"/>
  <c r="AU68" i="27" s="1"/>
  <c r="Z49" i="27"/>
  <c r="Z58" i="27"/>
  <c r="Q136" i="27"/>
  <c r="DN5" i="27"/>
  <c r="DO4" i="27"/>
  <c r="AM58" i="27"/>
  <c r="AM49" i="27"/>
  <c r="Q47" i="27"/>
  <c r="Q55" i="27"/>
  <c r="Q135" i="27" s="1"/>
  <c r="AD49" i="27"/>
  <c r="AD58" i="27"/>
  <c r="X58" i="27"/>
  <c r="X49" i="27"/>
  <c r="AQ55" i="27"/>
  <c r="AQ47" i="27"/>
  <c r="R49" i="27"/>
  <c r="R58" i="27"/>
  <c r="AG58" i="27"/>
  <c r="AG49" i="27"/>
  <c r="DE43" i="27"/>
  <c r="DE47" i="27" s="1"/>
  <c r="DE49" i="27" s="1"/>
  <c r="DE60" i="27" s="1"/>
  <c r="AJ47" i="27"/>
  <c r="AJ55" i="27"/>
  <c r="DJ43" i="27"/>
  <c r="DJ47" i="27" s="1"/>
  <c r="DJ58" i="27" s="1"/>
  <c r="L136" i="27"/>
  <c r="P58" i="27"/>
  <c r="P49" i="27"/>
  <c r="Y51" i="27"/>
  <c r="Y60" i="27"/>
  <c r="AO55" i="27"/>
  <c r="AO47" i="27"/>
  <c r="AN47" i="27"/>
  <c r="AN55" i="27"/>
  <c r="DK43" i="27"/>
  <c r="DK47" i="27" s="1"/>
  <c r="DI56" i="27"/>
  <c r="DI57" i="27"/>
  <c r="DI62" i="27"/>
  <c r="AK51" i="27"/>
  <c r="AK60" i="27"/>
  <c r="L55" i="27"/>
  <c r="L135" i="27" s="1"/>
  <c r="L47" i="27"/>
  <c r="AL58" i="27"/>
  <c r="AL49" i="27"/>
  <c r="DE59" i="27"/>
  <c r="DE57" i="27"/>
  <c r="DE62" i="27"/>
  <c r="DE56" i="27"/>
  <c r="DF62" i="27"/>
  <c r="Y144" i="27"/>
  <c r="Y145" i="27" s="1"/>
  <c r="Y136" i="27" s="1"/>
  <c r="X145" i="27"/>
  <c r="X136" i="27" s="1"/>
  <c r="AP51" i="27"/>
  <c r="AP60" i="27"/>
  <c r="DJ62" i="27"/>
  <c r="DK62" i="27"/>
  <c r="S51" i="27"/>
  <c r="S60" i="27"/>
  <c r="DR40" i="27"/>
  <c r="DN6" i="27"/>
  <c r="DM39" i="27"/>
  <c r="DL68" i="27"/>
  <c r="DL41" i="27"/>
  <c r="AF51" i="27"/>
  <c r="AF60" i="27"/>
  <c r="AS57" i="27"/>
  <c r="AS43" i="27"/>
  <c r="AS47" i="27" s="1"/>
  <c r="AS56" i="27"/>
  <c r="AS62" i="27"/>
  <c r="DH43" i="27"/>
  <c r="AC55" i="27"/>
  <c r="AC47" i="27"/>
  <c r="U60" i="27"/>
  <c r="U51" i="27"/>
  <c r="AV60" i="27"/>
  <c r="AV51" i="27"/>
  <c r="DN64" i="27" l="1"/>
  <c r="DY60" i="27"/>
  <c r="DY51" i="27"/>
  <c r="EB43" i="27"/>
  <c r="EB57" i="27"/>
  <c r="EB56" i="27"/>
  <c r="EB62" i="27"/>
  <c r="DZ49" i="27"/>
  <c r="DZ58" i="27"/>
  <c r="EA47" i="27"/>
  <c r="EA58" i="27" s="1"/>
  <c r="EA55" i="27"/>
  <c r="EE40" i="27"/>
  <c r="EH3" i="27"/>
  <c r="W58" i="27"/>
  <c r="ED35" i="27"/>
  <c r="EC41" i="27"/>
  <c r="EI45" i="27"/>
  <c r="EH46" i="27"/>
  <c r="CI59" i="27"/>
  <c r="CI52" i="27"/>
  <c r="CF59" i="27"/>
  <c r="CF52" i="27"/>
  <c r="CG59" i="27"/>
  <c r="CG52" i="27"/>
  <c r="DG47" i="27"/>
  <c r="DG49" i="27" s="1"/>
  <c r="AE51" i="27"/>
  <c r="AE59" i="27" s="1"/>
  <c r="M58" i="27"/>
  <c r="DI58" i="27"/>
  <c r="DG55" i="27"/>
  <c r="V49" i="27"/>
  <c r="V51" i="27" s="1"/>
  <c r="DI55" i="27"/>
  <c r="AH51" i="27"/>
  <c r="AH59" i="27" s="1"/>
  <c r="AR49" i="27"/>
  <c r="AR58" i="27"/>
  <c r="DI42" i="27"/>
  <c r="O60" i="27"/>
  <c r="O51" i="27"/>
  <c r="DE55" i="27"/>
  <c r="AI60" i="27"/>
  <c r="AI51" i="27"/>
  <c r="AU41" i="27"/>
  <c r="AU62" i="27" s="1"/>
  <c r="AB51" i="27"/>
  <c r="AB60" i="27"/>
  <c r="DE58" i="27"/>
  <c r="AA52" i="27"/>
  <c r="AA59" i="27"/>
  <c r="AA103" i="27"/>
  <c r="AT43" i="27"/>
  <c r="AT47" i="27" s="1"/>
  <c r="AT62" i="27"/>
  <c r="AT56" i="27"/>
  <c r="AT57" i="27"/>
  <c r="K58" i="27"/>
  <c r="K49" i="27"/>
  <c r="M51" i="27"/>
  <c r="M60" i="27"/>
  <c r="DF58" i="27"/>
  <c r="DF49" i="27"/>
  <c r="AS42" i="27"/>
  <c r="N60" i="27"/>
  <c r="N51" i="27"/>
  <c r="T49" i="27"/>
  <c r="T58" i="27"/>
  <c r="AD60" i="27"/>
  <c r="AD51" i="27"/>
  <c r="P51" i="27"/>
  <c r="P60" i="27"/>
  <c r="DK58" i="27"/>
  <c r="DK49" i="27"/>
  <c r="Q49" i="27"/>
  <c r="Q58" i="27"/>
  <c r="AM60" i="27"/>
  <c r="AM51" i="27"/>
  <c r="AN49" i="27"/>
  <c r="AN58" i="27"/>
  <c r="W51" i="27"/>
  <c r="W60" i="27"/>
  <c r="R51" i="27"/>
  <c r="R60" i="27"/>
  <c r="AK59" i="27"/>
  <c r="AK52" i="27"/>
  <c r="AL51" i="27"/>
  <c r="AL60" i="27"/>
  <c r="DO5" i="27"/>
  <c r="DO64" i="27" s="1"/>
  <c r="DP4" i="27"/>
  <c r="Y52" i="27"/>
  <c r="Y103" i="27"/>
  <c r="Y59" i="27"/>
  <c r="L58" i="27"/>
  <c r="L49" i="27"/>
  <c r="AO49" i="27"/>
  <c r="AO58" i="27"/>
  <c r="AQ58" i="27"/>
  <c r="AQ49" i="27"/>
  <c r="AG60" i="27"/>
  <c r="AG51" i="27"/>
  <c r="AJ49" i="27"/>
  <c r="AJ58" i="27"/>
  <c r="DJ42" i="27"/>
  <c r="X60" i="27"/>
  <c r="X51" i="27"/>
  <c r="Z60" i="27"/>
  <c r="Z51" i="27"/>
  <c r="DI52" i="27"/>
  <c r="DI59" i="27"/>
  <c r="AF52" i="27"/>
  <c r="AF59" i="27"/>
  <c r="DM68" i="27"/>
  <c r="DM41" i="27"/>
  <c r="DH55" i="27"/>
  <c r="DH47" i="27"/>
  <c r="DH42" i="27"/>
  <c r="AS58" i="27"/>
  <c r="AS49" i="27"/>
  <c r="DO6" i="27"/>
  <c r="DN39" i="27"/>
  <c r="AP52" i="27"/>
  <c r="AP59" i="27"/>
  <c r="S59" i="27"/>
  <c r="S103" i="27"/>
  <c r="S52" i="27"/>
  <c r="U103" i="27"/>
  <c r="U59" i="27"/>
  <c r="U52" i="27"/>
  <c r="AV59" i="27"/>
  <c r="AV52" i="27"/>
  <c r="DL43" i="27"/>
  <c r="DL47" i="27" s="1"/>
  <c r="DL62" i="27"/>
  <c r="AC58" i="27"/>
  <c r="AC49" i="27"/>
  <c r="DY52" i="27" l="1"/>
  <c r="DY59" i="27"/>
  <c r="EC43" i="27"/>
  <c r="EC56" i="27"/>
  <c r="EC62" i="27"/>
  <c r="EC57" i="27"/>
  <c r="DZ60" i="27"/>
  <c r="DZ51" i="27"/>
  <c r="EB47" i="27"/>
  <c r="EB58" i="27" s="1"/>
  <c r="EB55" i="27"/>
  <c r="EI3" i="27"/>
  <c r="EE35" i="27"/>
  <c r="ED41" i="27"/>
  <c r="AE52" i="27"/>
  <c r="AE76" i="27" s="1"/>
  <c r="EF40" i="27"/>
  <c r="EJ45" i="27"/>
  <c r="EJ46" i="27" s="1"/>
  <c r="EI46" i="27"/>
  <c r="AH78" i="27"/>
  <c r="DI78" i="27" s="1"/>
  <c r="DJ48" i="27" s="1"/>
  <c r="DJ49" i="27" s="1"/>
  <c r="AH52" i="27"/>
  <c r="DG58" i="27"/>
  <c r="V60" i="27"/>
  <c r="AR60" i="27"/>
  <c r="AR51" i="27"/>
  <c r="O52" i="27"/>
  <c r="S76" i="27" s="1"/>
  <c r="O103" i="27"/>
  <c r="O59" i="27"/>
  <c r="AI52" i="27"/>
  <c r="AI76" i="27" s="1"/>
  <c r="AI59" i="27"/>
  <c r="AT42" i="27"/>
  <c r="AB59" i="27"/>
  <c r="AB52" i="27"/>
  <c r="AF76" i="27" s="1"/>
  <c r="M103" i="27"/>
  <c r="M52" i="27"/>
  <c r="M59" i="27"/>
  <c r="K60" i="27"/>
  <c r="K51" i="27"/>
  <c r="T60" i="27"/>
  <c r="T51" i="27"/>
  <c r="N52" i="27"/>
  <c r="N59" i="27"/>
  <c r="N103" i="27"/>
  <c r="AT58" i="27"/>
  <c r="AT49" i="27"/>
  <c r="DF51" i="27"/>
  <c r="DF60" i="27"/>
  <c r="DK60" i="27"/>
  <c r="DK51" i="27"/>
  <c r="L51" i="27"/>
  <c r="L60" i="27"/>
  <c r="X52" i="27"/>
  <c r="X59" i="27"/>
  <c r="X103" i="27"/>
  <c r="Z59" i="27"/>
  <c r="Z103" i="27"/>
  <c r="Z52" i="27"/>
  <c r="R59" i="27"/>
  <c r="R52" i="27"/>
  <c r="R103" i="27"/>
  <c r="P59" i="27"/>
  <c r="P103" i="27"/>
  <c r="P52" i="27"/>
  <c r="AD52" i="27"/>
  <c r="AD59" i="27"/>
  <c r="AO51" i="27"/>
  <c r="AO60" i="27"/>
  <c r="W103" i="27"/>
  <c r="W52" i="27"/>
  <c r="AA76" i="27" s="1"/>
  <c r="W59" i="27"/>
  <c r="AQ51" i="27"/>
  <c r="AQ60" i="27"/>
  <c r="Q60" i="27"/>
  <c r="Q51" i="27"/>
  <c r="AJ51" i="27"/>
  <c r="AJ60" i="27"/>
  <c r="AG52" i="27"/>
  <c r="AK76" i="27" s="1"/>
  <c r="AG59" i="27"/>
  <c r="AN51" i="27"/>
  <c r="AN60" i="27"/>
  <c r="AL52" i="27"/>
  <c r="AP76" i="27" s="1"/>
  <c r="AL59" i="27"/>
  <c r="DQ4" i="27"/>
  <c r="DP5" i="27"/>
  <c r="DP64" i="27" s="1"/>
  <c r="AM52" i="27"/>
  <c r="AM59" i="27"/>
  <c r="AM103" i="27"/>
  <c r="DG51" i="27"/>
  <c r="DG60" i="27"/>
  <c r="AS50" i="27"/>
  <c r="AS60" i="27" s="1"/>
  <c r="DM62" i="27"/>
  <c r="DM43" i="27"/>
  <c r="DM42" i="27" s="1"/>
  <c r="DM45" i="27"/>
  <c r="DH58" i="27"/>
  <c r="DH49" i="27"/>
  <c r="Y76" i="27"/>
  <c r="DN68" i="27"/>
  <c r="DN41" i="27"/>
  <c r="AC51" i="27"/>
  <c r="AC60" i="27"/>
  <c r="DP6" i="27"/>
  <c r="DO39" i="27"/>
  <c r="DL42" i="27"/>
  <c r="DL58" i="27"/>
  <c r="DL49" i="27"/>
  <c r="V103" i="27"/>
  <c r="V59" i="27"/>
  <c r="V52" i="27"/>
  <c r="ED43" i="27" l="1"/>
  <c r="ED56" i="27"/>
  <c r="ED57" i="27"/>
  <c r="ED62" i="27"/>
  <c r="DZ52" i="27"/>
  <c r="DZ59" i="27"/>
  <c r="EC47" i="27"/>
  <c r="EC58" i="27" s="1"/>
  <c r="EC55" i="27"/>
  <c r="EF35" i="27"/>
  <c r="EE41" i="27"/>
  <c r="EJ3" i="27"/>
  <c r="AH76" i="27"/>
  <c r="EG40" i="27"/>
  <c r="AM76" i="27"/>
  <c r="AR52" i="27"/>
  <c r="AV76" i="27" s="1"/>
  <c r="AR59" i="27"/>
  <c r="AL76" i="27"/>
  <c r="W76" i="27"/>
  <c r="T59" i="27"/>
  <c r="T52" i="27"/>
  <c r="T76" i="27" s="1"/>
  <c r="T103" i="27"/>
  <c r="AT50" i="27"/>
  <c r="AT60" i="27" s="1"/>
  <c r="K59" i="27"/>
  <c r="K52" i="27"/>
  <c r="O76" i="27" s="1"/>
  <c r="K103" i="27"/>
  <c r="R76" i="27"/>
  <c r="DF59" i="27"/>
  <c r="DF52" i="27"/>
  <c r="DF76" i="27" s="1"/>
  <c r="AO52" i="27"/>
  <c r="AO76" i="27" s="1"/>
  <c r="AO59" i="27"/>
  <c r="DG59" i="27"/>
  <c r="DG52" i="27"/>
  <c r="AJ52" i="27"/>
  <c r="AJ76" i="27" s="1"/>
  <c r="AJ59" i="27"/>
  <c r="AD76" i="27"/>
  <c r="AB76" i="27"/>
  <c r="Q52" i="27"/>
  <c r="Q59" i="27"/>
  <c r="Q103" i="27"/>
  <c r="AN59" i="27"/>
  <c r="AN52" i="27"/>
  <c r="DQ5" i="27"/>
  <c r="L52" i="27"/>
  <c r="P76" i="27" s="1"/>
  <c r="L59" i="27"/>
  <c r="L103" i="27"/>
  <c r="AQ59" i="27"/>
  <c r="AQ52" i="27"/>
  <c r="DK52" i="27"/>
  <c r="DK59" i="27"/>
  <c r="DQ6" i="27"/>
  <c r="DP39" i="27"/>
  <c r="DP41" i="27" s="1"/>
  <c r="DL50" i="27"/>
  <c r="DL51" i="27" s="1"/>
  <c r="DM46" i="27"/>
  <c r="DM47" i="27" s="1"/>
  <c r="DM75" i="27"/>
  <c r="AS51" i="27"/>
  <c r="AC52" i="27"/>
  <c r="AC59" i="27"/>
  <c r="DN62" i="27"/>
  <c r="DN43" i="27"/>
  <c r="DN42" i="27" s="1"/>
  <c r="DN45" i="27"/>
  <c r="DH50" i="27"/>
  <c r="DH51" i="27" s="1"/>
  <c r="V76" i="27"/>
  <c r="Z76" i="27"/>
  <c r="DO68" i="27"/>
  <c r="DO41" i="27"/>
  <c r="DJ50" i="27"/>
  <c r="DJ51" i="27" s="1"/>
  <c r="EE43" i="27" l="1"/>
  <c r="EE57" i="27"/>
  <c r="EE56" i="27"/>
  <c r="EE62" i="27"/>
  <c r="ED47" i="27"/>
  <c r="ED58" i="27" s="1"/>
  <c r="ED55" i="27"/>
  <c r="EH40" i="27"/>
  <c r="X76" i="27"/>
  <c r="EG35" i="27"/>
  <c r="AT51" i="27"/>
  <c r="AT52" i="27" s="1"/>
  <c r="AT76" i="27" s="1"/>
  <c r="DG76" i="27"/>
  <c r="Q76" i="27"/>
  <c r="U76" i="27"/>
  <c r="AN76" i="27"/>
  <c r="AR76" i="27"/>
  <c r="AQ76" i="27"/>
  <c r="AU76" i="27"/>
  <c r="DM58" i="27"/>
  <c r="DJ52" i="27"/>
  <c r="DJ59" i="27"/>
  <c r="DJ78" i="27"/>
  <c r="DK78" i="27" s="1"/>
  <c r="DL78" i="27" s="1"/>
  <c r="DO45" i="27"/>
  <c r="DO62" i="27"/>
  <c r="DO43" i="27"/>
  <c r="AC76" i="27"/>
  <c r="AG76" i="27"/>
  <c r="DH52" i="27"/>
  <c r="DH59" i="27"/>
  <c r="DL59" i="27"/>
  <c r="DL52" i="27"/>
  <c r="DL76" i="27" s="1"/>
  <c r="DP43" i="27"/>
  <c r="DP62" i="27"/>
  <c r="DP45" i="27"/>
  <c r="AS52" i="27"/>
  <c r="AS76" i="27" s="1"/>
  <c r="AS59" i="27"/>
  <c r="DN46" i="27"/>
  <c r="DN47" i="27" s="1"/>
  <c r="DN75" i="27"/>
  <c r="DQ39" i="27"/>
  <c r="DQ41" i="27" s="1"/>
  <c r="EF43" i="27" l="1"/>
  <c r="EF62" i="27"/>
  <c r="EF57" i="27"/>
  <c r="EF56" i="27"/>
  <c r="EE47" i="27"/>
  <c r="EE58" i="27" s="1"/>
  <c r="EE55" i="27"/>
  <c r="EH35" i="27"/>
  <c r="EG41" i="27"/>
  <c r="EI40" i="27"/>
  <c r="AT59" i="27"/>
  <c r="DO75" i="27"/>
  <c r="DO46" i="27"/>
  <c r="DO47" i="27" s="1"/>
  <c r="DQ45" i="27"/>
  <c r="DP46" i="27"/>
  <c r="DP47" i="27" s="1"/>
  <c r="DH76" i="27"/>
  <c r="DI76" i="27"/>
  <c r="DM48" i="27"/>
  <c r="DM49" i="27" s="1"/>
  <c r="DJ76" i="27"/>
  <c r="DK76" i="27"/>
  <c r="DR39" i="27"/>
  <c r="DR41" i="27" s="1"/>
  <c r="DP42" i="27"/>
  <c r="DO42" i="27"/>
  <c r="DN58" i="27"/>
  <c r="DQ62" i="27"/>
  <c r="DQ43" i="27"/>
  <c r="DQ42" i="27" s="1"/>
  <c r="EG43" i="27" l="1"/>
  <c r="EG57" i="27"/>
  <c r="EG62" i="27"/>
  <c r="EG56" i="27"/>
  <c r="EF47" i="27"/>
  <c r="EF58" i="27" s="1"/>
  <c r="EF55" i="27"/>
  <c r="EJ40" i="27"/>
  <c r="EJ41" i="27" s="1"/>
  <c r="EI35" i="27"/>
  <c r="EH41" i="27"/>
  <c r="DP58" i="27"/>
  <c r="DM50" i="27"/>
  <c r="DM51" i="27" s="1"/>
  <c r="DQ46" i="27"/>
  <c r="DQ47" i="27" s="1"/>
  <c r="DR45" i="27"/>
  <c r="DT41" i="27"/>
  <c r="DU62" i="27" s="1"/>
  <c r="DS39" i="27"/>
  <c r="DS41" i="27" s="1"/>
  <c r="DO58" i="27"/>
  <c r="DR43" i="27"/>
  <c r="DR62" i="27"/>
  <c r="EH43" i="27" l="1"/>
  <c r="EH56" i="27"/>
  <c r="EH62" i="27"/>
  <c r="EH57" i="27"/>
  <c r="EG47" i="27"/>
  <c r="EG58" i="27" s="1"/>
  <c r="EG55" i="27"/>
  <c r="EJ35" i="27"/>
  <c r="EI41" i="27"/>
  <c r="DQ58" i="27"/>
  <c r="DM52" i="27"/>
  <c r="DM76" i="27" s="1"/>
  <c r="DM59" i="27"/>
  <c r="DM78" i="27"/>
  <c r="DS62" i="27"/>
  <c r="DR46" i="27"/>
  <c r="DR47" i="27" s="1"/>
  <c r="DT62" i="27"/>
  <c r="DR42" i="27"/>
  <c r="EJ43" i="27" l="1"/>
  <c r="EJ62" i="27"/>
  <c r="EJ57" i="27"/>
  <c r="EJ56" i="27"/>
  <c r="EI43" i="27"/>
  <c r="EI62" i="27"/>
  <c r="EI56" i="27"/>
  <c r="EI57" i="27"/>
  <c r="EH47" i="27"/>
  <c r="EH58" i="27" s="1"/>
  <c r="EH55" i="27"/>
  <c r="DR58" i="27"/>
  <c r="DN48" i="27"/>
  <c r="DN49" i="27" s="1"/>
  <c r="EI47" i="27" l="1"/>
  <c r="EI58" i="27" s="1"/>
  <c r="EI55" i="27"/>
  <c r="EJ47" i="27"/>
  <c r="EJ58" i="27" s="1"/>
  <c r="EJ55" i="27"/>
  <c r="DS58" i="27"/>
  <c r="DT58" i="27"/>
  <c r="DN50" i="27"/>
  <c r="DN51" i="27" s="1"/>
  <c r="DN59" i="27" l="1"/>
  <c r="DN52" i="27"/>
  <c r="DN76" i="27" s="1"/>
  <c r="DN78" i="27"/>
  <c r="DO48" i="27" l="1"/>
  <c r="DO49" i="27" s="1"/>
  <c r="DO50" i="27" l="1"/>
  <c r="DO51" i="27" s="1"/>
  <c r="DO52" i="27" l="1"/>
  <c r="DO76" i="27" s="1"/>
  <c r="DO59" i="27"/>
  <c r="DO78" i="27"/>
  <c r="DP48" i="27" l="1"/>
  <c r="DP49" i="27" s="1"/>
  <c r="DP50" i="27" l="1"/>
  <c r="DP51" i="27" s="1"/>
  <c r="DP52" i="27" l="1"/>
  <c r="DP59" i="27"/>
  <c r="DP78" i="27"/>
  <c r="DQ48" i="27" l="1"/>
  <c r="DQ49" i="27" s="1"/>
  <c r="DQ50" i="27" l="1"/>
  <c r="DQ51" i="27" s="1"/>
  <c r="DQ59" i="27" l="1"/>
  <c r="DQ52" i="27"/>
  <c r="DQ78" i="27"/>
  <c r="DR48" i="27" l="1"/>
  <c r="DR49" i="27" s="1"/>
  <c r="DR50" i="27" l="1"/>
  <c r="DR51" i="27" s="1"/>
  <c r="DR52" i="27" l="1"/>
  <c r="DR59" i="27"/>
  <c r="DR78" i="27"/>
  <c r="DS49" i="27" l="1"/>
  <c r="DS50" i="27" l="1"/>
  <c r="DS51" i="27" s="1"/>
  <c r="DS59" i="27" l="1"/>
  <c r="DS52" i="27"/>
  <c r="DS78" i="27"/>
  <c r="DT49" i="27" l="1"/>
  <c r="DT50" i="27" l="1"/>
  <c r="DT51" i="27" s="1"/>
  <c r="DT52" i="27" l="1"/>
  <c r="DT59" i="27"/>
  <c r="DT78" i="27"/>
  <c r="DV52" i="27" l="1"/>
  <c r="EA49" i="27" l="1"/>
  <c r="EA50" i="27" l="1"/>
  <c r="EA51" i="27" l="1"/>
  <c r="EA59" i="27" s="1"/>
  <c r="EA60" i="27"/>
  <c r="EA78" i="27" l="1"/>
  <c r="EA52" i="27"/>
  <c r="EB48" i="27"/>
  <c r="EB49" i="27" s="1"/>
  <c r="EB50" i="27" l="1"/>
  <c r="EB51" i="27" l="1"/>
  <c r="EB59" i="27" s="1"/>
  <c r="EB60" i="27"/>
  <c r="EB52" i="27"/>
  <c r="EB78" i="27"/>
  <c r="EC48" i="27" l="1"/>
  <c r="EC49" i="27" s="1"/>
  <c r="EC50" i="27" l="1"/>
  <c r="EC51" i="27" l="1"/>
  <c r="EC59" i="27" s="1"/>
  <c r="EC60" i="27"/>
  <c r="EC52" i="27"/>
  <c r="EC78" i="27"/>
  <c r="ED48" i="27" l="1"/>
  <c r="ED49" i="27" s="1"/>
  <c r="ED50" i="27" l="1"/>
  <c r="ED51" i="27" l="1"/>
  <c r="ED59" i="27" s="1"/>
  <c r="ED60" i="27"/>
  <c r="ED78" i="27" l="1"/>
  <c r="ED52" i="27"/>
  <c r="EE48" i="27"/>
  <c r="EE49" i="27" s="1"/>
  <c r="EE50" i="27" l="1"/>
  <c r="EE51" i="27" l="1"/>
  <c r="EE59" i="27" s="1"/>
  <c r="EE60" i="27"/>
  <c r="EE52" i="27" l="1"/>
  <c r="EE78" i="27"/>
  <c r="EF48" i="27" s="1"/>
  <c r="EF49" i="27" s="1"/>
  <c r="EF50" i="27" l="1"/>
  <c r="EF51" i="27" l="1"/>
  <c r="EF52" i="27" s="1"/>
  <c r="EF60" i="27"/>
  <c r="EF78" i="27" l="1"/>
  <c r="EF59" i="27"/>
  <c r="EG48" i="27"/>
  <c r="EG49" i="27" s="1"/>
  <c r="EG50" i="27" l="1"/>
  <c r="EG51" i="27" l="1"/>
  <c r="EG60" i="27"/>
  <c r="EG59" i="27" l="1"/>
  <c r="EG78" i="27"/>
  <c r="EG52" i="27"/>
  <c r="EH48" i="27"/>
  <c r="EH49" i="27" s="1"/>
  <c r="EH50" i="27" l="1"/>
  <c r="EH51" i="27" l="1"/>
  <c r="EH60" i="27"/>
  <c r="EH59" i="27" l="1"/>
  <c r="EH52" i="27"/>
  <c r="EH78" i="27"/>
  <c r="EI48" i="27" s="1"/>
  <c r="EI49" i="27" s="1"/>
  <c r="EI50" i="27" l="1"/>
  <c r="EI51" i="27" l="1"/>
  <c r="EI60" i="27"/>
  <c r="EI52" i="27"/>
  <c r="EI78" i="27"/>
  <c r="EI59" i="27" l="1"/>
  <c r="EJ48" i="27"/>
  <c r="EJ49" i="27" s="1"/>
  <c r="EJ50" i="27" l="1"/>
  <c r="EJ51" i="27" l="1"/>
  <c r="EK51" i="27" s="1"/>
  <c r="EL51" i="27" s="1"/>
  <c r="EM51" i="27" s="1"/>
  <c r="EN51" i="27" s="1"/>
  <c r="EO51" i="27" s="1"/>
  <c r="EP51" i="27" s="1"/>
  <c r="EQ51" i="27" s="1"/>
  <c r="ER51" i="27" s="1"/>
  <c r="ES51" i="27" s="1"/>
  <c r="ET51" i="27" s="1"/>
  <c r="EU51" i="27" s="1"/>
  <c r="EV51" i="27" s="1"/>
  <c r="EW51" i="27" s="1"/>
  <c r="EX51" i="27" s="1"/>
  <c r="EY51" i="27" s="1"/>
  <c r="EZ51" i="27" s="1"/>
  <c r="FA51" i="27" s="1"/>
  <c r="FB51" i="27" s="1"/>
  <c r="FC51" i="27" s="1"/>
  <c r="FD51" i="27" s="1"/>
  <c r="FE51" i="27" s="1"/>
  <c r="FF51" i="27" s="1"/>
  <c r="FG51" i="27" s="1"/>
  <c r="FH51" i="27" s="1"/>
  <c r="FI51" i="27" s="1"/>
  <c r="FJ51" i="27" s="1"/>
  <c r="FK51" i="27" s="1"/>
  <c r="FL51" i="27" s="1"/>
  <c r="FM51" i="27" s="1"/>
  <c r="FN51" i="27" s="1"/>
  <c r="FO51" i="27" s="1"/>
  <c r="FP51" i="27" s="1"/>
  <c r="FQ51" i="27" s="1"/>
  <c r="FR51" i="27" s="1"/>
  <c r="FS51" i="27" s="1"/>
  <c r="FT51" i="27" s="1"/>
  <c r="FU51" i="27" s="1"/>
  <c r="FV51" i="27" s="1"/>
  <c r="FW51" i="27" s="1"/>
  <c r="FX51" i="27" s="1"/>
  <c r="FY51" i="27" s="1"/>
  <c r="FZ51" i="27" s="1"/>
  <c r="GA51" i="27" s="1"/>
  <c r="GB51" i="27" s="1"/>
  <c r="GC51" i="27" s="1"/>
  <c r="GD51" i="27" s="1"/>
  <c r="GE51" i="27" s="1"/>
  <c r="GF51" i="27" s="1"/>
  <c r="GG51" i="27" s="1"/>
  <c r="GH51" i="27" s="1"/>
  <c r="GI51" i="27" s="1"/>
  <c r="GJ51" i="27" s="1"/>
  <c r="GK51" i="27" s="1"/>
  <c r="GL51" i="27" s="1"/>
  <c r="GM51" i="27" s="1"/>
  <c r="GN51" i="27" s="1"/>
  <c r="GO51" i="27" s="1"/>
  <c r="GP51" i="27" s="1"/>
  <c r="GQ51" i="27" s="1"/>
  <c r="GR51" i="27" s="1"/>
  <c r="EJ60" i="27"/>
  <c r="EJ78" i="27" l="1"/>
  <c r="EJ52" i="27"/>
  <c r="EJ59" i="27"/>
  <c r="GS51" i="27"/>
  <c r="GT51" i="27" s="1"/>
  <c r="GU51" i="27" s="1"/>
  <c r="GV51" i="27" s="1"/>
  <c r="GW51" i="27" s="1"/>
  <c r="GX51" i="27" s="1"/>
  <c r="GY51" i="27" s="1"/>
  <c r="GZ51" i="27" s="1"/>
  <c r="HA51" i="27" s="1"/>
  <c r="HB51" i="27" s="1"/>
  <c r="EM57" i="27" l="1"/>
  <c r="EM58" i="27" s="1"/>
  <c r="D177"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tc={A6543DC0-CB94-4CB1-99B4-3F7D8212FA7D}</author>
    <author>tc={54ECDECD-AA35-4375-AC21-94668D788B79}</author>
    <author>tc={D6A92409-CA99-40A1-88DC-B7A73ABD2D61}</author>
    <author>tc={44E7E711-BCC1-4AD2-8680-58369B8354DF}</author>
    <author>tc={3CC28BE0-8712-41A4-9E7A-C2331E672FA9}</author>
    <author>tc={E609C7CB-3EB7-4FF0-803C-2DC500014A2B}</author>
    <author>tc={2C48FDE0-F3B7-42E8-9372-1A785F610513}</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40"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41" authorId="0" shapeId="0" xr:uid="{00000000-0006-0000-0100-000025000000}">
      <text>
        <r>
          <rPr>
            <b/>
            <sz val="8"/>
            <color indexed="81"/>
            <rFont val="Tahoma"/>
            <family val="2"/>
          </rPr>
          <t>Martin Shkreli:</t>
        </r>
        <r>
          <rPr>
            <sz val="8"/>
            <color indexed="81"/>
            <rFont val="Tahoma"/>
            <family val="2"/>
          </rPr>
          <t xml:space="preserve">
3324 consensus</t>
        </r>
      </text>
    </comment>
    <comment ref="Y41" authorId="0" shapeId="0" xr:uid="{00000000-0006-0000-0100-000026000000}">
      <text>
        <r>
          <rPr>
            <b/>
            <sz val="8"/>
            <color indexed="81"/>
            <rFont val="Tahoma"/>
            <family val="2"/>
          </rPr>
          <t>Martin Shkreli:</t>
        </r>
        <r>
          <rPr>
            <sz val="8"/>
            <color indexed="81"/>
            <rFont val="Tahoma"/>
            <family val="2"/>
          </rPr>
          <t xml:space="preserve">
inventory left channel</t>
        </r>
      </text>
    </comment>
    <comment ref="AA41" authorId="0" shapeId="0" xr:uid="{00000000-0006-0000-0100-000027000000}">
      <text>
        <r>
          <rPr>
            <b/>
            <sz val="8"/>
            <color indexed="81"/>
            <rFont val="Tahoma"/>
            <family val="2"/>
          </rPr>
          <t>Martin Shkreli:</t>
        </r>
        <r>
          <rPr>
            <sz val="8"/>
            <color indexed="81"/>
            <rFont val="Tahoma"/>
            <family val="2"/>
          </rPr>
          <t xml:space="preserve">
3768 mean</t>
        </r>
      </text>
    </comment>
    <comment ref="AJ41" authorId="0" shapeId="0" xr:uid="{00000000-0006-0000-0100-000028000000}">
      <text>
        <r>
          <rPr>
            <b/>
            <sz val="8"/>
            <color indexed="81"/>
            <rFont val="Tahoma"/>
            <family val="2"/>
          </rPr>
          <t>Martin Shkreli:</t>
        </r>
        <r>
          <rPr>
            <sz val="8"/>
            <color indexed="81"/>
            <rFont val="Tahoma"/>
            <family val="2"/>
          </rPr>
          <t xml:space="preserve">
3577 consensus</t>
        </r>
      </text>
    </comment>
    <comment ref="DG41"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41"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41" authorId="0" shapeId="0" xr:uid="{00000000-0006-0000-0100-00002B000000}">
      <text>
        <r>
          <rPr>
            <b/>
            <sz val="8"/>
            <color indexed="81"/>
            <rFont val="Tahoma"/>
            <family val="2"/>
          </rPr>
          <t>Martin Shkreli:</t>
        </r>
        <r>
          <rPr>
            <sz val="8"/>
            <color indexed="81"/>
            <rFont val="Tahoma"/>
            <family val="2"/>
          </rPr>
          <t xml:space="preserve">
14.4-14.8bn guidance</t>
        </r>
      </text>
    </comment>
    <comment ref="DL41" authorId="5" shapeId="0" xr:uid="{00000000-0006-0000-0100-00002C000000}">
      <text>
        <r>
          <rPr>
            <b/>
            <sz val="9"/>
            <color indexed="81"/>
            <rFont val="Tahoma"/>
            <family val="2"/>
          </rPr>
          <t>Martin:</t>
        </r>
        <r>
          <rPr>
            <sz val="9"/>
            <color indexed="81"/>
            <rFont val="Tahoma"/>
            <family val="2"/>
          </rPr>
          <t xml:space="preserve">
Q410: 15.1-15.5</t>
        </r>
      </text>
    </comment>
    <comment ref="DZ41" authorId="6" shapeId="0" xr:uid="{A6543DC0-CB94-4CB1-99B4-3F7D8212FA7D}">
      <text>
        <t>[Threaded comment]
Your version of Excel allows you to read this threaded comment; however, any edits to it will get removed if the file is opened in a newer version of Excel. Learn more: https://go.microsoft.com/fwlink/?linkid=870924
Comment:
    Q4 guidance: 34.3-35.7B</t>
      </text>
    </comment>
    <comment ref="DH45"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5"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DZ50" authorId="7" shapeId="0" xr:uid="{54ECDECD-AA35-4375-AC21-94668D788B79}">
      <text>
        <t>[Threaded comment]
Your version of Excel allows you to read this threaded comment; however, any edits to it will get removed if the file is opened in a newer version of Excel. Learn more: https://go.microsoft.com/fwlink/?linkid=870924
Comment:
    Q4 guidance: 15-16%</t>
      </text>
    </comment>
    <comment ref="BW51" authorId="8"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51" authorId="9"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51" authorId="10"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51" authorId="11"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2" authorId="0" shapeId="0" xr:uid="{00000000-0006-0000-0100-00002F000000}">
      <text>
        <r>
          <rPr>
            <b/>
            <sz val="8"/>
            <color indexed="81"/>
            <rFont val="Tahoma"/>
            <family val="2"/>
          </rPr>
          <t>Martin Shkreli:</t>
        </r>
        <r>
          <rPr>
            <sz val="8"/>
            <color indexed="81"/>
            <rFont val="Tahoma"/>
            <family val="2"/>
          </rPr>
          <t xml:space="preserve">
1.16 consensus</t>
        </r>
      </text>
    </comment>
    <comment ref="DD52" authorId="0" shapeId="0" xr:uid="{00000000-0006-0000-0100-000030000000}">
      <text>
        <r>
          <rPr>
            <b/>
            <sz val="8"/>
            <color indexed="81"/>
            <rFont val="Tahoma"/>
            <family val="2"/>
          </rPr>
          <t>Martin Shkreli:</t>
        </r>
        <r>
          <rPr>
            <sz val="8"/>
            <color indexed="81"/>
            <rFont val="Tahoma"/>
            <family val="2"/>
          </rPr>
          <t xml:space="preserve">
1.85-1.95 guidance</t>
        </r>
      </text>
    </comment>
    <comment ref="DE52" authorId="0" shapeId="0" xr:uid="{00000000-0006-0000-0100-000031000000}">
      <text>
        <r>
          <rPr>
            <b/>
            <sz val="8"/>
            <color indexed="81"/>
            <rFont val="Tahoma"/>
            <family val="2"/>
          </rPr>
          <t>Martin Shkreli:</t>
        </r>
        <r>
          <rPr>
            <sz val="8"/>
            <color indexed="81"/>
            <rFont val="Tahoma"/>
            <family val="2"/>
          </rPr>
          <t xml:space="preserve">
2.30-4.0 guidance</t>
        </r>
      </text>
    </comment>
    <comment ref="DF52"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2"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2"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2"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2" authorId="5" shapeId="0" xr:uid="{00000000-0006-0000-0100-000036000000}">
      <text>
        <r>
          <rPr>
            <b/>
            <sz val="9"/>
            <color indexed="81"/>
            <rFont val="Tahoma"/>
            <family val="2"/>
          </rPr>
          <t>Martin:</t>
        </r>
        <r>
          <rPr>
            <sz val="9"/>
            <color indexed="81"/>
            <rFont val="Tahoma"/>
            <family val="2"/>
          </rPr>
          <t xml:space="preserve">
Q410: 5.00-5.20</t>
        </r>
      </text>
    </comment>
    <comment ref="DZ52" authorId="12" shapeId="0" xr:uid="{2C48FDE0-F3B7-42E8-9372-1A785F610513}">
      <text>
        <t>[Threaded comment]
Your version of Excel allows you to read this threaded comment; however, any edits to it will get removed if the file is opened in a newer version of Excel. Learn more: https://go.microsoft.com/fwlink/?linkid=870924
Comment:
    Q4 guidance: 20.00-21.20</t>
      </text>
    </comment>
    <comment ref="DH53"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60" authorId="5" shapeId="0" xr:uid="{00000000-0006-0000-0100-000038000000}">
      <text>
        <r>
          <rPr>
            <b/>
            <sz val="9"/>
            <color indexed="81"/>
            <rFont val="Tahoma"/>
            <family val="2"/>
          </rPr>
          <t>Martin:</t>
        </r>
        <r>
          <rPr>
            <sz val="9"/>
            <color indexed="81"/>
            <rFont val="Tahoma"/>
            <family val="2"/>
          </rPr>
          <t xml:space="preserve">
Q410: 19-20%</t>
        </r>
      </text>
    </comment>
    <comment ref="DF62" authorId="0" shapeId="0" xr:uid="{00000000-0006-0000-0100-000039000000}">
      <text>
        <r>
          <rPr>
            <b/>
            <sz val="8"/>
            <color indexed="81"/>
            <rFont val="Tahoma"/>
            <family val="2"/>
          </rPr>
          <t>Martin Shkreli:</t>
        </r>
        <r>
          <rPr>
            <sz val="8"/>
            <color indexed="81"/>
            <rFont val="Tahoma"/>
            <family val="2"/>
          </rPr>
          <t xml:space="preserve">
12-16% guidance</t>
        </r>
      </text>
    </comment>
    <comment ref="DG74" authorId="0" shapeId="0" xr:uid="{00000000-0006-0000-0100-00003A000000}">
      <text>
        <r>
          <rPr>
            <b/>
            <sz val="8"/>
            <color indexed="81"/>
            <rFont val="Tahoma"/>
            <family val="2"/>
          </rPr>
          <t>Martin Shkreli:</t>
        </r>
        <r>
          <rPr>
            <sz val="8"/>
            <color indexed="81"/>
            <rFont val="Tahoma"/>
            <family val="2"/>
          </rPr>
          <t xml:space="preserve">
30-40% growth guidance</t>
        </r>
      </text>
    </comment>
    <comment ref="DF76"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<sst xmlns="http://schemas.openxmlformats.org/spreadsheetml/2006/main" count="1914" uniqueCount="1536">
  <si>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</si>
  <si>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</si>
  <si>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</si>
  <si>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</si>
  <si>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</si>
  <si>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</si>
  <si>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</si>
  <si>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</si>
  <si>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</si>
  <si>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</si>
  <si>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</si>
  <si>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</si>
  <si>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</si>
  <si>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</si>
  <si>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</si>
  <si>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</si>
  <si>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</si>
  <si>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</si>
  <si>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</si>
  <si>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</si>
  <si>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</si>
  <si>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</si>
  <si>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</si>
  <si>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</si>
  <si>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</si>
  <si>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</si>
  <si>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</si>
  <si>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</si>
  <si>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</si>
  <si>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</si>
  <si>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</si>
  <si>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</si>
  <si>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</si>
  <si>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</si>
  <si>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</si>
  <si>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</si>
  <si>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</si>
  <si>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</si>
  <si>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</si>
  <si>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</si>
  <si>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</si>
  <si>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</si>
  <si>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</si>
  <si>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</si>
  <si>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</si>
  <si>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</si>
  <si>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</si>
  <si>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</si>
  <si>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</si>
  <si>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</si>
  <si>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</si>
  <si>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</si>
  <si>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</si>
  <si>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</si>
  <si>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</si>
  <si>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</si>
  <si>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</si>
  <si>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</si>
  <si>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</si>
  <si>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</si>
  <si>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</si>
  <si>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</si>
  <si>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</si>
  <si>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</si>
  <si>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</si>
  <si>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</si>
  <si>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</si>
  <si>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</si>
  <si>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</si>
  <si>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</si>
  <si>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</si>
  <si>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</si>
  <si>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</si>
  <si>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</si>
  <si>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</si>
  <si>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</si>
  <si>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</si>
  <si>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</si>
  <si>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</si>
  <si>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</si>
  <si>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</si>
  <si>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</si>
  <si>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</si>
  <si>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</si>
  <si>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</si>
  <si>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</si>
  <si>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</si>
  <si>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</si>
  <si>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</si>
  <si>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</si>
  <si>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</si>
  <si>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</si>
  <si>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</si>
  <si>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</si>
  <si>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</si>
  <si>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</si>
  <si>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</si>
  <si>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</si>
  <si>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</si>
  <si>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</si>
  <si>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</si>
  <si>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</si>
  <si>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</si>
  <si>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</si>
  <si>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</si>
  <si>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</si>
  <si>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</si>
  <si>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</si>
  <si>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</si>
  <si>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</si>
  <si>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</si>
  <si>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</si>
  <si>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</si>
  <si>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</si>
  <si>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</si>
  <si>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</si>
  <si>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</si>
  <si>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</si>
  <si>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</si>
  <si>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</si>
  <si>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</si>
  <si>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</si>
  <si>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</si>
  <si>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</si>
  <si>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</si>
  <si>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</si>
  <si>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</si>
  <si>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</si>
  <si>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</si>
  <si>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</si>
  <si>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</si>
  <si>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</si>
  <si>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</si>
  <si>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</si>
  <si>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</si>
  <si>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</si>
  <si>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</si>
  <si>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</si>
  <si>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</si>
  <si>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</si>
  <si>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</si>
  <si>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</si>
  <si>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</si>
  <si>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</si>
  <si>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</si>
  <si>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</si>
  <si>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</si>
  <si>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</si>
  <si>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</si>
  <si>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</si>
  <si>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</si>
  <si>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</si>
  <si>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</si>
  <si>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</si>
  <si>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</si>
  <si>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</si>
  <si>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</si>
  <si>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</si>
  <si>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</si>
  <si>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</si>
  <si>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</si>
  <si>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</si>
  <si>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</si>
  <si>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</si>
  <si>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</si>
  <si>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</si>
  <si>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</si>
  <si>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</si>
  <si>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</si>
  <si>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</si>
  <si>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</si>
  <si>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</si>
  <si>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</si>
  <si>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</si>
  <si>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</si>
  <si>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</si>
  <si>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</si>
  <si>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</si>
  <si>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</si>
  <si>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</si>
  <si>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</si>
  <si>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</si>
  <si>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</si>
  <si>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</si>
  <si>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</si>
  <si>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</si>
  <si>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</si>
  <si>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</si>
  <si>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</si>
  <si>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</si>
  <si>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</si>
  <si>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</si>
  <si>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</si>
  <si>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</si>
  <si>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</si>
  <si>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</si>
  <si>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</si>
  <si>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</si>
  <si>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</si>
  <si>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</si>
  <si>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</si>
  <si>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</si>
  <si>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</si>
  <si>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</si>
  <si>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</si>
  <si>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</si>
  <si>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</si>
  <si>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</si>
  <si>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</si>
  <si>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</si>
  <si>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</si>
  <si>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</si>
  <si>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</si>
  <si>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</si>
  <si>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</si>
  <si>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</si>
  <si>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</si>
  <si>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</si>
  <si>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</si>
  <si>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</si>
  <si>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</si>
  <si>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</si>
  <si>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</si>
  <si>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</si>
  <si>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</si>
  <si>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</si>
  <si>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</si>
  <si>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</si>
  <si>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</si>
  <si>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</si>
  <si>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</si>
  <si>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</si>
  <si>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</si>
  <si>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</si>
  <si>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</si>
  <si>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</si>
  <si>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</si>
  <si>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</si>
  <si>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</si>
  <si>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</si>
  <si>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</si>
  <si>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</si>
  <si>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</si>
  <si>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</si>
  <si>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</si>
  <si>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</si>
  <si>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</si>
  <si>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</si>
  <si>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</si>
  <si>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</si>
  <si>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</si>
  <si>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</si>
  <si>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</si>
  <si>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</si>
  <si>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</si>
  <si>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</si>
  <si>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</si>
  <si>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</si>
  <si>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</si>
  <si>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</si>
  <si>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</si>
  <si>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</si>
  <si>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</si>
  <si>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</si>
  <si>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</si>
  <si>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</si>
  <si>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</si>
  <si>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</si>
  <si>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</si>
  <si>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</si>
  <si>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</si>
  <si>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</si>
  <si>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</si>
  <si>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</si>
  <si>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</si>
  <si>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</si>
  <si>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</si>
  <si>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</si>
  <si>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</si>
  <si>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</si>
  <si>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</si>
  <si>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</si>
  <si>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</si>
  <si>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</si>
  <si>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</si>
  <si>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</si>
  <si>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</si>
  <si>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</si>
  <si>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</si>
  <si>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</si>
  <si>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</si>
  <si>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</si>
  <si>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</si>
  <si>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</si>
  <si>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</si>
  <si>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</si>
  <si>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</si>
  <si>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</si>
  <si>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</si>
  <si>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</si>
  <si>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</si>
  <si>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</si>
  <si>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</si>
  <si>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</si>
  <si>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</si>
  <si>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</si>
  <si>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</si>
  <si>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</si>
  <si>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</si>
  <si>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</si>
  <si>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</si>
  <si>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</si>
  <si>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</si>
  <si>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</si>
  <si>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</si>
  <si>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</si>
  <si>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</si>
  <si>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</si>
  <si>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</si>
  <si>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</si>
  <si>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</si>
  <si>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</si>
  <si>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</si>
  <si>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</si>
  <si>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</si>
  <si>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</si>
  <si>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</si>
  <si>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</si>
  <si>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</si>
  <si>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</si>
  <si>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</si>
  <si>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</si>
  <si>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</si>
  <si>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</si>
  <si>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</si>
  <si>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</si>
  <si>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</si>
  <si>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</si>
  <si>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</si>
  <si>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</si>
  <si>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</si>
  <si>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</si>
  <si>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</si>
  <si>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</si>
  <si>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</si>
  <si>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</si>
  <si>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</si>
  <si>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</si>
  <si>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</si>
  <si>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</si>
  <si>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</si>
  <si>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</si>
  <si>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</si>
  <si>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</si>
  <si>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</si>
  <si>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</si>
  <si>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</si>
  <si>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</si>
  <si>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</si>
  <si>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</si>
  <si>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</si>
  <si>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</si>
  <si>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</si>
  <si>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</si>
  <si>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</si>
  <si>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</si>
  <si>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</si>
  <si>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</si>
  <si>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</si>
  <si>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</si>
  <si>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</si>
  <si>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</si>
  <si>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</si>
  <si>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</si>
  <si>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</si>
  <si>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</si>
  <si>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</si>
  <si>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</si>
  <si>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</si>
  <si>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</si>
  <si>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</si>
  <si>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</si>
  <si>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</si>
  <si>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</si>
  <si>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</si>
  <si>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</si>
  <si>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</si>
  <si>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</si>
  <si>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</si>
  <si>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</si>
  <si>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</si>
  <si>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</si>
  <si>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</si>
  <si>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</si>
  <si>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</si>
  <si>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</si>
  <si>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</si>
  <si>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</si>
  <si>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</si>
  <si>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</si>
  <si>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</si>
  <si>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</si>
  <si>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</si>
  <si>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</si>
  <si>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</si>
  <si>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</si>
  <si>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</si>
  <si>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</si>
  <si>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</si>
  <si>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</si>
  <si>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</si>
  <si>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</si>
  <si>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</si>
  <si>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</si>
  <si>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</si>
  <si>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</si>
  <si>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</si>
  <si>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</si>
  <si>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</si>
  <si>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</si>
  <si>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</si>
  <si>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</si>
  <si>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</si>
  <si>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</si>
  <si>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</si>
  <si>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</si>
  <si>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</si>
  <si>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</si>
  <si>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</si>
  <si>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</si>
  <si>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</si>
  <si>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</si>
  <si>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</si>
  <si>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</si>
  <si>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</si>
  <si>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</si>
  <si>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</si>
  <si>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</si>
  <si>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</si>
  <si>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</si>
  <si>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</si>
  <si>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</si>
  <si>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</si>
  <si>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</si>
  <si>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</si>
  <si>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</si>
  <si>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</si>
  <si>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</si>
  <si>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</si>
  <si>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</si>
  <si>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</si>
  <si>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</si>
  <si>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</si>
  <si>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</si>
  <si>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</si>
  <si>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</si>
  <si>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</si>
  <si>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</si>
  <si>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</si>
  <si>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</si>
  <si>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</si>
  <si>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</si>
  <si>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</si>
  <si>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</si>
  <si>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</si>
  <si>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</si>
  <si>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</si>
  <si>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</si>
  <si>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</si>
  <si>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</si>
  <si>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</si>
  <si>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</si>
  <si>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</si>
  <si>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</si>
  <si>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</si>
  <si>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</si>
  <si>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</si>
  <si>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</si>
  <si>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</si>
  <si>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</si>
  <si>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</si>
  <si>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</si>
  <si>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</si>
  <si>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</si>
  <si>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</si>
  <si>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</si>
  <si>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</si>
  <si>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</si>
  <si>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</si>
  <si>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</si>
  <si>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</si>
  <si>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</si>
  <si>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</si>
  <si>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</si>
  <si>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</si>
  <si>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</si>
  <si>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</si>
  <si>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</si>
  <si>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</si>
  <si>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</si>
  <si>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</si>
  <si>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</si>
  <si>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</si>
  <si>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</si>
  <si>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</si>
  <si>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</si>
  <si>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</si>
  <si>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</si>
  <si>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</si>
  <si>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</si>
  <si>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</si>
  <si>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</si>
  <si>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</si>
  <si>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</si>
  <si>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</si>
  <si>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</si>
  <si>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</si>
  <si>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</si>
  <si>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</si>
  <si>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</si>
  <si>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</si>
  <si>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</si>
  <si>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</si>
  <si>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</si>
  <si>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</si>
  <si>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</si>
  <si>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</si>
  <si>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</si>
  <si>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</si>
  <si>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</si>
  <si>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</si>
  <si>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</si>
  <si>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</si>
  <si>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</si>
  <si>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</si>
  <si>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</si>
  <si>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</si>
  <si>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</si>
  <si>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</si>
  <si>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</si>
  <si>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</si>
  <si>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</si>
  <si>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</si>
  <si>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</si>
  <si>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</si>
  <si>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</si>
  <si>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</si>
  <si>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</si>
  <si>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</si>
  <si>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</si>
  <si>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</si>
  <si>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</si>
  <si>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</si>
  <si>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</si>
  <si>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</si>
  <si>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</si>
  <si>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</si>
  <si>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</si>
  <si>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</si>
  <si>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</si>
  <si>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</si>
  <si>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</si>
  <si>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</si>
  <si>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</si>
  <si>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</si>
  <si>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</si>
  <si>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</si>
  <si>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</si>
  <si>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</si>
  <si>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</si>
  <si>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</si>
  <si>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</si>
  <si>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</si>
  <si>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</si>
  <si>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</si>
  <si>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</si>
  <si>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</si>
  <si>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</si>
  <si>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</si>
  <si>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</si>
  <si>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</si>
  <si>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</si>
  <si>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</si>
  <si>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</si>
  <si>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</si>
  <si>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</si>
  <si>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</si>
  <si>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</si>
  <si>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</si>
  <si>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</si>
  <si>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</si>
  <si>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</si>
  <si>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</si>
  <si>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</si>
  <si>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</si>
  <si>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</si>
  <si>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</si>
  <si>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</si>
  <si>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</si>
  <si>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</si>
  <si>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</si>
  <si>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</si>
  <si>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</si>
  <si>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</si>
  <si>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</si>
  <si>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</si>
  <si>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</si>
  <si>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</si>
  <si>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</si>
  <si>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</si>
  <si>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</si>
  <si>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</si>
  <si>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</si>
  <si>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</si>
  <si>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</si>
  <si>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</si>
  <si>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</si>
  <si>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</si>
  <si>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</si>
  <si>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</si>
  <si>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</si>
  <si>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</si>
  <si>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</si>
  <si>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</si>
  <si>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</si>
  <si>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</si>
  <si>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</si>
  <si>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</si>
  <si>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</si>
  <si>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</si>
  <si>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</si>
  <si>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</si>
  <si>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</si>
  <si>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</si>
  <si>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</si>
  <si>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</si>
  <si>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</si>
  <si>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</si>
  <si>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</si>
  <si>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</si>
  <si>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</si>
  <si>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</si>
  <si>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</si>
  <si>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</si>
  <si>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</si>
  <si>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</si>
  <si>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</si>
  <si>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</si>
  <si>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</si>
  <si>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</si>
  <si>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</si>
  <si>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</si>
  <si>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</si>
  <si>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</si>
  <si>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</si>
  <si>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</si>
  <si>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</si>
  <si>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</si>
  <si>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</si>
  <si>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</si>
  <si>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</si>
  <si>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</si>
  <si>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</si>
  <si>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</si>
  <si>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</si>
  <si>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</si>
  <si>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</si>
  <si>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</si>
  <si>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</si>
  <si>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</si>
  <si>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</si>
  <si>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</si>
  <si>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</si>
  <si>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</si>
  <si>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</si>
  <si>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</si>
  <si>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</si>
  <si>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</si>
  <si>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</si>
  <si>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</si>
  <si>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</si>
  <si>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</si>
  <si>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</si>
  <si>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</si>
  <si>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</si>
  <si>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</si>
  <si>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</si>
  <si>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</si>
  <si>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</si>
  <si>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</si>
  <si>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</si>
  <si>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</si>
  <si>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</si>
  <si>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</si>
  <si>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</si>
  <si>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</si>
  <si>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</si>
  <si>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</si>
  <si>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</si>
  <si>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</si>
  <si>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</si>
  <si>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</si>
  <si>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</si>
  <si>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</si>
  <si>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</si>
  <si>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</si>
  <si>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</si>
  <si>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</si>
  <si>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</si>
  <si>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</si>
  <si>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</si>
  <si>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</si>
  <si>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</si>
  <si>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</si>
  <si>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</si>
  <si>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</si>
  <si>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</si>
  <si>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</si>
  <si>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</si>
  <si>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</si>
  <si>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</si>
  <si>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</si>
  <si>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</si>
  <si>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</si>
  <si>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</si>
  <si>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</si>
  <si>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</si>
  <si>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</si>
  <si>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</si>
  <si>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</si>
  <si>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</si>
  <si>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</si>
  <si>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</si>
  <si>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</si>
  <si>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</si>
  <si>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</si>
  <si>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</si>
  <si>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</si>
  <si>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</si>
  <si>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</si>
  <si>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</si>
  <si>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</si>
  <si>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</si>
  <si>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</si>
  <si>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</si>
  <si>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</si>
  <si>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</si>
  <si>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</si>
  <si>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</si>
  <si>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</si>
  <si>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</si>
  <si>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</si>
  <si>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</si>
  <si>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</si>
  <si>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</si>
  <si>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</si>
  <si>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</si>
  <si>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</si>
  <si>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</si>
  <si>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</si>
  <si>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</si>
  <si>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</si>
  <si>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</si>
  <si>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</si>
  <si>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</si>
  <si>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</si>
  <si>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</si>
  <si>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</si>
  <si>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</si>
  <si>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</si>
  <si>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</si>
  <si>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</si>
  <si>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</si>
  <si>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</si>
  <si>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</si>
  <si>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</si>
  <si>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</si>
  <si>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</si>
  <si>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</si>
  <si>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</si>
  <si>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</si>
  <si>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</si>
  <si>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</si>
  <si>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</si>
  <si>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</si>
  <si>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</si>
  <si>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</si>
  <si>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</si>
  <si>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</si>
  <si>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</si>
  <si>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</si>
  <si>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</si>
  <si>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</si>
  <si>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</si>
  <si>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</si>
  <si>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</si>
  <si>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</si>
  <si>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</si>
  <si>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</si>
  <si>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</si>
  <si>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</si>
  <si>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</si>
  <si>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</si>
  <si>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</si>
  <si>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</si>
  <si>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</si>
  <si>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</si>
  <si>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</si>
  <si>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</si>
  <si>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</si>
  <si>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</si>
  <si>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</si>
  <si>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</si>
  <si>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</si>
  <si>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</si>
  <si>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</si>
  <si>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</si>
  <si>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</si>
  <si>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</si>
  <si>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</si>
  <si>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</si>
  <si>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</si>
  <si>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</si>
  <si>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</si>
  <si>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</si>
  <si>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</si>
  <si>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</si>
  <si>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</si>
  <si>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</si>
  <si>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</si>
  <si>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</si>
  <si>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</si>
  <si>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</si>
  <si>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</si>
  <si>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</si>
  <si>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</si>
  <si>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</si>
  <si>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</si>
  <si>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</si>
  <si>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</si>
  <si>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</si>
  <si>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</si>
  <si>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</si>
  <si>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</si>
  <si>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</si>
  <si>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</si>
  <si>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</si>
  <si>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</si>
  <si>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</si>
  <si>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</si>
  <si>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</si>
  <si>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</si>
  <si>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</si>
  <si>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</si>
  <si>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</si>
  <si>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</si>
  <si>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</si>
  <si>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</si>
  <si>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</si>
  <si>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</si>
  <si>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</si>
  <si>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</si>
  <si>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</si>
  <si>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</si>
  <si>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</si>
  <si>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</si>
  <si>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</si>
  <si>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</si>
  <si>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</si>
  <si>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</si>
  <si>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</si>
  <si>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</si>
  <si>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</si>
  <si>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</si>
  <si>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</si>
  <si>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</si>
  <si>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</si>
  <si>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</si>
  <si>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</si>
  <si>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</si>
  <si>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</si>
  <si>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</si>
  <si>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</si>
  <si>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</si>
  <si>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</si>
  <si>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</si>
  <si>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</si>
  <si>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</si>
  <si>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</si>
  <si>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</si>
  <si>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</si>
  <si>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</si>
  <si>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</si>
  <si>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</si>
  <si>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</si>
  <si>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</si>
  <si>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</si>
  <si>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</si>
  <si>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</si>
  <si>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</si>
  <si>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</si>
  <si>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</si>
  <si>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</si>
  <si>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</si>
  <si>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</si>
  <si>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</si>
  <si>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</si>
  <si>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</si>
  <si>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</si>
  <si>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</si>
  <si>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</si>
  <si>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</si>
  <si>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</si>
  <si>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</si>
  <si>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</si>
  <si>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</si>
  <si>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</si>
  <si>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</si>
  <si>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</si>
  <si>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</si>
  <si>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</si>
  <si>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</si>
  <si>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</si>
  <si>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</si>
  <si>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</si>
  <si>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</si>
  <si>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</si>
  <si>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</si>
  <si>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</si>
  <si>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</si>
  <si>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</si>
  <si>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</si>
  <si>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</si>
  <si>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</si>
  <si>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</si>
  <si>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</si>
  <si>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</si>
  <si>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</si>
  <si>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</si>
  <si>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</si>
  <si>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</si>
  <si>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</si>
  <si>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</si>
  <si>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</si>
  <si>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</si>
  <si>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</si>
  <si>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</si>
  <si>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</si>
  <si>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</si>
  <si>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</si>
  <si>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</si>
  <si>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</si>
  <si>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</si>
  <si>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</si>
  <si>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</si>
  <si>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</si>
  <si>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</si>
  <si>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</si>
  <si>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</si>
  <si>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</si>
  <si>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</si>
  <si>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</si>
  <si>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</si>
  <si>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</si>
  <si>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</si>
  <si>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</si>
  <si>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</si>
  <si>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</si>
  <si>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</si>
  <si>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</si>
  <si>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</si>
  <si>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</si>
  <si>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</si>
  <si>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</si>
  <si>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</si>
  <si>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</si>
  <si>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</si>
  <si>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</si>
  <si>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</si>
  <si>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</si>
  <si>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</si>
  <si>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</si>
  <si>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</si>
  <si>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</si>
  <si>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</si>
  <si>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</si>
  <si>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</si>
  <si>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</si>
  <si>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</si>
  <si>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</si>
  <si>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</si>
  <si>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</si>
  <si>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</si>
  <si>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</si>
  <si>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</si>
  <si>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</si>
  <si>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</si>
  <si>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</si>
  <si>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</si>
  <si>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</si>
  <si>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</si>
  <si>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</si>
  <si>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</si>
  <si>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</si>
  <si>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</si>
  <si>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</si>
  <si>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</si>
  <si>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</si>
  <si>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</si>
  <si>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</si>
  <si>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</si>
  <si>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</si>
  <si>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</si>
  <si>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</si>
  <si>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</si>
  <si>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</si>
  <si>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</si>
  <si>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</si>
  <si>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</si>
  <si>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</si>
  <si>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</si>
  <si>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</si>
  <si>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</si>
  <si>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</si>
  <si>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</si>
  <si>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</si>
  <si>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</si>
  <si>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</si>
  <si>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</si>
  <si>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</si>
  <si>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</si>
  <si>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</si>
  <si>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</si>
  <si>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</si>
  <si>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</si>
  <si>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</si>
  <si>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</si>
  <si>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</si>
  <si>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</si>
  <si>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</si>
  <si>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</si>
  <si>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</si>
  <si>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</si>
  <si>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</si>
  <si>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</si>
  <si>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</si>
  <si>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</si>
  <si>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</si>
  <si>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</si>
  <si>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</si>
  <si>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</si>
  <si>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</si>
  <si>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</si>
  <si>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</si>
  <si>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</si>
  <si>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</si>
  <si>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</si>
  <si>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</si>
  <si>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</si>
  <si>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</si>
  <si>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</si>
  <si>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</si>
  <si>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</si>
  <si>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</si>
  <si>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</si>
  <si>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</si>
  <si>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</si>
  <si>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</si>
  <si>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</si>
  <si>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</si>
  <si>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</si>
  <si>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</si>
  <si>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</si>
  <si>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</si>
  <si>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</si>
  <si>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</si>
  <si>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</si>
  <si>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</si>
  <si>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</si>
  <si>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</si>
  <si>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</si>
  <si>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</si>
  <si>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</si>
  <si>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</si>
  <si>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</si>
  <si>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</si>
  <si>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</si>
  <si>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</si>
  <si>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</si>
  <si>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</si>
  <si>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</si>
  <si>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</si>
  <si>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</si>
  <si>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</si>
  <si>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</si>
  <si>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</si>
  <si>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</si>
  <si>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</si>
  <si>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</si>
  <si>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</si>
  <si>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</si>
  <si>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</si>
  <si>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</si>
  <si>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</si>
  <si>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</si>
  <si>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</si>
  <si>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</si>
  <si>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</si>
  <si>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</si>
  <si>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</si>
  <si>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</si>
  <si>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</si>
  <si>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</si>
  <si>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</si>
  <si>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</si>
  <si>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</si>
  <si>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</si>
  <si>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</si>
  <si>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</si>
  <si>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</si>
  <si>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</si>
  <si>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</si>
  <si>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</si>
  <si>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</si>
  <si>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</si>
  <si>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</si>
  <si>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</si>
  <si>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</si>
  <si>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</si>
  <si>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</si>
  <si>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</si>
  <si>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</si>
  <si>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</si>
  <si>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</si>
  <si>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</si>
  <si>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</si>
  <si>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</si>
  <si>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</si>
  <si>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</si>
  <si>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</si>
  <si>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</si>
  <si>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</si>
  <si>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</si>
  <si>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</si>
  <si>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</si>
  <si>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</si>
  <si>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</si>
  <si>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</si>
  <si>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</si>
  <si>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</si>
  <si>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</si>
  <si>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</si>
  <si>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</si>
  <si>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</si>
  <si>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</si>
  <si>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</si>
  <si>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</si>
  <si>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</si>
  <si>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</si>
  <si>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</si>
  <si>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</si>
  <si>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</si>
  <si>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</si>
  <si>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</si>
  <si>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</si>
  <si>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</si>
  <si>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</si>
  <si>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</si>
  <si>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</si>
  <si>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</si>
  <si>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</si>
  <si>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</si>
  <si>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</si>
  <si>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</si>
  <si>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</si>
  <si>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</si>
  <si>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</si>
  <si>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</si>
  <si>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</si>
  <si>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</si>
  <si>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</si>
  <si>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</si>
  <si>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</si>
  <si>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</si>
  <si>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</si>
  <si>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</si>
  <si>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</si>
  <si>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</si>
  <si>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</si>
  <si>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</si>
  <si>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</si>
  <si>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</si>
  <si>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</si>
  <si>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</si>
  <si>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</si>
  <si>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</si>
  <si>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</si>
  <si>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</si>
  <si>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</si>
  <si>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</si>
  <si>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</si>
  <si>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</si>
  <si>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</si>
  <si>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</si>
  <si>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</si>
  <si>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</si>
  <si>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</si>
  <si>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</si>
  <si>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</si>
  <si>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</si>
  <si>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</si>
  <si>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</si>
  <si>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</si>
  <si>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</si>
  <si>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</si>
  <si>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</si>
  <si>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</si>
  <si>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</si>
  <si>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</si>
  <si>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</si>
  <si>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</si>
  <si>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</si>
  <si>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</si>
  <si>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</si>
  <si>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</si>
  <si>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</si>
  <si>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</si>
  <si>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</si>
  <si>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</si>
  <si>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</si>
  <si>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</si>
  <si>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</si>
  <si>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</si>
  <si>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</si>
  <si>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</si>
  <si>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</si>
  <si>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</si>
  <si>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</si>
  <si>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</si>
  <si>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</si>
  <si>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</si>
  <si>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</si>
  <si>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</si>
  <si>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</si>
  <si>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</si>
  <si>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</si>
  <si>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</si>
  <si>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</si>
  <si>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</si>
  <si>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</si>
  <si>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</si>
  <si>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</si>
  <si>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</si>
  <si>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</si>
  <si>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</si>
  <si>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</si>
  <si>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</si>
  <si>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</si>
  <si>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</si>
  <si>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</si>
  <si>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</si>
  <si>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</si>
  <si>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</si>
  <si>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</si>
  <si>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</si>
  <si>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</si>
  <si>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</si>
  <si>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</si>
  <si>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</si>
  <si>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</si>
  <si>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</si>
  <si>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</si>
  <si>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</si>
  <si>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</si>
  <si>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</si>
  <si>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</si>
  <si>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</si>
  <si>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</si>
  <si>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</si>
  <si>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</si>
  <si>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</si>
  <si>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</si>
  <si>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</si>
  <si>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</si>
  <si>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</si>
  <si>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</si>
  <si>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</si>
  <si>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</si>
  <si>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</si>
  <si>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</si>
  <si>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</si>
  <si>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</si>
  <si>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</si>
  <si>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</si>
  <si>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</si>
  <si>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</si>
  <si>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</si>
  <si>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</si>
  <si>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</si>
  <si>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</si>
  <si>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</si>
  <si>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</si>
  <si>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</si>
  <si>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</si>
  <si>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</si>
  <si>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</si>
  <si>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</si>
  <si>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</si>
  <si>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</si>
  <si>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</si>
  <si>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</si>
  <si>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</si>
  <si>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</si>
  <si>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</si>
  <si>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</si>
  <si>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</si>
  <si>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</si>
  <si>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</si>
  <si>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</si>
  <si>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</si>
  <si>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</si>
  <si>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</si>
  <si>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</si>
  <si>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</si>
  <si>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</si>
  <si>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</si>
  <si>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</si>
  <si>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</si>
  <si>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</si>
  <si>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</si>
  <si>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</si>
  <si>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</si>
  <si>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</si>
  <si>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</si>
  <si>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</si>
  <si>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</si>
  <si>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</si>
  <si>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</si>
  <si>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</si>
  <si>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asthma</t>
  </si>
  <si>
    <t>dazodalibep</t>
  </si>
  <si>
    <t>CD40L</t>
  </si>
  <si>
    <t>Sjogren's</t>
  </si>
  <si>
    <t>daxdilimab</t>
  </si>
  <si>
    <t>ILT7</t>
  </si>
  <si>
    <t>AMG670/HZN825 (fipaxalparant)</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</si>
  <si>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</si>
  <si>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</si>
  <si>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</si>
  <si>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</si>
  <si>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</si>
  <si>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</si>
  <si>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</si>
  <si>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</si>
  <si>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</si>
  <si>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</si>
  <si>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</si>
  <si>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</si>
  <si>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</si>
  <si>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</si>
  <si>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</si>
  <si>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</si>
  <si>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</si>
  <si>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</si>
  <si>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</si>
  <si>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</si>
  <si>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</si>
  <si>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</si>
  <si>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</si>
  <si>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</si>
  <si>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</si>
  <si>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</si>
  <si>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</si>
  <si>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</si>
  <si>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</si>
  <si>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</si>
  <si>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</si>
  <si>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</si>
  <si>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</si>
  <si>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</si>
  <si>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</si>
  <si>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Acquisitions</t>
  </si>
  <si>
    <t>10/20/2022: Acquires ChemoCentryx for 3.9B.</t>
  </si>
  <si>
    <t>10/19/2021: Acquires Tenebio for 993m.</t>
  </si>
  <si>
    <t>4/16/2021: Acquires Five Prime for 1.6B.</t>
  </si>
  <si>
    <t>2/7/2025: investor conference</t>
  </si>
  <si>
    <t>2/4/2025: Q424 results</t>
  </si>
  <si>
    <t>Teneobio</t>
  </si>
  <si>
    <t>AMG 133</t>
  </si>
  <si>
    <t>Part 1: 52 week weight loss without a plateau</t>
  </si>
  <si>
    <t>Part 2: data readout 2H25</t>
  </si>
  <si>
    <t>Phase III MARITIME</t>
  </si>
  <si>
    <t>1H25 group of studies</t>
  </si>
  <si>
    <t>Phase II n=350 T2DM</t>
  </si>
  <si>
    <t>Phase II n=592 chronic weight management with or without obesity</t>
  </si>
  <si>
    <t>Phase I</t>
  </si>
  <si>
    <t>21mg, 70mg, 140mg, 280mg, 560mg, 840mg</t>
  </si>
  <si>
    <t>single dose from -4% to -9% weight loss at day 150</t>
  </si>
  <si>
    <t>multiple (3) doses from -6% to -15% weight loss at 90</t>
  </si>
  <si>
    <t>GLP-1/GIPR antagonist peptide-antibody conjugate</t>
  </si>
  <si>
    <t>BMD changes?</t>
  </si>
  <si>
    <t>AMG513</t>
  </si>
  <si>
    <t>Obesity</t>
  </si>
  <si>
    <t>III</t>
  </si>
  <si>
    <t>AMG 890</t>
  </si>
  <si>
    <t>olpasiran</t>
  </si>
  <si>
    <t>Lp(a) siRNA</t>
  </si>
  <si>
    <t>Phase III "OCEAN(a)-Outcomes" atherosclerotic CV with elevated Lp(a)</t>
  </si>
  <si>
    <t>Phase III outcomes with elevated Lp(a) and high risk for CV event - initiate 2H25/1H26.</t>
  </si>
  <si>
    <t>evolocumab</t>
  </si>
  <si>
    <t>Hypercholesterolemia</t>
  </si>
  <si>
    <t>PCSK9 mab</t>
  </si>
  <si>
    <t>BLA 125522 approved 8/27/2015</t>
  </si>
  <si>
    <t>Phase III "VESALIUS-CV" high CV risk without prior MI/stroke - data 2H25</t>
  </si>
  <si>
    <t>Phase IV "EVOLVE-MI" administered within 10 days of AMI</t>
  </si>
  <si>
    <t>100%?</t>
  </si>
  <si>
    <t>ANCA-vasculitis</t>
  </si>
  <si>
    <t>C5aR antagonist</t>
  </si>
  <si>
    <t>avacopan</t>
  </si>
  <si>
    <t>ANCA-associated vasculitis</t>
  </si>
  <si>
    <t>Phase III "CL010_168"</t>
  </si>
  <si>
    <t>superior sustained remission vs. prednisone (12.5% better)</t>
  </si>
  <si>
    <t>NDA 214487 approved 10/7/2021</t>
  </si>
  <si>
    <t>Tavneos, fka CCX168</t>
  </si>
  <si>
    <t xml:space="preserve">Phase III ANCA-associated vasculitis (GPA/MPA) with rituxan or cyclophosphamide </t>
  </si>
  <si>
    <t>teprotumumab</t>
  </si>
  <si>
    <t>FDA approval 1/21/2020</t>
  </si>
  <si>
    <t>EMA approval 2H25</t>
  </si>
  <si>
    <t>Phase III Japanese TED</t>
  </si>
  <si>
    <t>Phase III subcutaneous TED</t>
  </si>
  <si>
    <t>Phase III "MIRROR"</t>
  </si>
  <si>
    <t>Phase III "AGILE" shorter duration infusion</t>
  </si>
  <si>
    <t>similar to MIRROR</t>
  </si>
  <si>
    <t>pegloticase</t>
  </si>
  <si>
    <t>BLA 125293 approved 9/14/2010</t>
  </si>
  <si>
    <t>uricase</t>
  </si>
  <si>
    <t>Uplizna (inebilizumab)</t>
  </si>
  <si>
    <t>inebilizumab</t>
  </si>
  <si>
    <t>NMOSD, gMG</t>
  </si>
  <si>
    <t>BLA 761142 approved 6/11/2020</t>
  </si>
  <si>
    <t>Viela Bio acquisition by Horizon</t>
  </si>
  <si>
    <t>Uplizna, MEDI-551</t>
  </si>
  <si>
    <t>CD19 mab</t>
  </si>
  <si>
    <t>Phase III "MINT" gMG</t>
  </si>
  <si>
    <t>Phase III "MITIGATE" IgG4-RD</t>
  </si>
  <si>
    <t>IPF, systemic sclerosis (failed)</t>
  </si>
  <si>
    <t>DLE, myositis</t>
  </si>
  <si>
    <t>tezepelumab</t>
  </si>
  <si>
    <t>BLA 761224 approved 12/17/2021</t>
  </si>
  <si>
    <t>AZN?</t>
  </si>
  <si>
    <t>Severe Asthma</t>
  </si>
  <si>
    <t>Phase III "PATHWAY"</t>
  </si>
  <si>
    <t>Phase III "NAVIGATOR"</t>
  </si>
  <si>
    <t>IND 103031 filed 8/8/2008</t>
  </si>
  <si>
    <t>Phase III "SOURCE"</t>
  </si>
  <si>
    <t>Phase III "COPD"</t>
  </si>
  <si>
    <t>Phase III "WAYPOINT" chronic rhinosinusitis with nasal polyps</t>
  </si>
  <si>
    <t>Phase IV "PASSAGE"</t>
  </si>
  <si>
    <t>Phase IIIb "WAYFINDER" severe asthma</t>
  </si>
  <si>
    <t>rocatinlimab</t>
  </si>
  <si>
    <t>AMG 451/KHK4083</t>
  </si>
  <si>
    <t>Atopic Dermatitis</t>
  </si>
  <si>
    <t>Kyowa Kirin</t>
  </si>
  <si>
    <t>Phase III "ROCKET" - eight trial program</t>
  </si>
  <si>
    <t>Phase III "ROCKET SHUTTLE" moderate-to-severe AD - data 1H25</t>
  </si>
  <si>
    <t>Phase III "ROCKET IGNITE" moderate-to-severe-AD monotherapy - data 1H25</t>
  </si>
  <si>
    <t>Phase III "ROCKET ASCEND" moderate-to-severe AD maintenance - data 2H25</t>
  </si>
  <si>
    <t>Phase III "ROCKET ASTRO" moderate-to-severe adolescent AD - data 2H25</t>
  </si>
  <si>
    <t>Phase II moderate-to-severe asthma</t>
  </si>
  <si>
    <t>Phase III prurigo nodularis</t>
  </si>
  <si>
    <t>NDA 205437 filed 3/21/2013 by Celgene.</t>
  </si>
  <si>
    <t>PDE4 inhibitor</t>
  </si>
  <si>
    <t>apremilast</t>
  </si>
  <si>
    <t>Psoriatic Arthritis</t>
  </si>
  <si>
    <t>Phase II "PSA-001" n=204</t>
  </si>
  <si>
    <t>Phase III "PSA-002" n=504</t>
  </si>
  <si>
    <t>Phase III "PSA-003" n=488</t>
  </si>
  <si>
    <t>Phase III "PSA-004" n=505</t>
  </si>
  <si>
    <t>Phase III "PSA-005" n=528</t>
  </si>
  <si>
    <t>Otezla, fka CC-10004</t>
  </si>
  <si>
    <t>38% vs. 19% ACR20</t>
  </si>
  <si>
    <t>32% vs. 19% ACR20</t>
  </si>
  <si>
    <t>41% vs. 18% ACR20</t>
  </si>
  <si>
    <t>blinatumomab</t>
  </si>
  <si>
    <t>Ph- or B-precursor ALL</t>
  </si>
  <si>
    <t>CD19xCD3</t>
  </si>
  <si>
    <t>BLA 125557</t>
  </si>
  <si>
    <t>Blincyto, fka AMG 103</t>
  </si>
  <si>
    <t>Phase II "MT103-211" n=185</t>
  </si>
  <si>
    <t>41.6% CR/CRh</t>
  </si>
  <si>
    <t>Phase II "SLE"</t>
  </si>
  <si>
    <t>SNY</t>
  </si>
  <si>
    <t>failed Celiac</t>
  </si>
  <si>
    <t>inhaled TSLP fab</t>
  </si>
  <si>
    <t>Phase III "AALL1731" - published NEJM</t>
  </si>
  <si>
    <t>Phase III "Golden Gate"</t>
  </si>
  <si>
    <t>IV; subcutaneous registration study enrolling</t>
  </si>
  <si>
    <t>DLL3xCD3</t>
  </si>
  <si>
    <t>Phase III "DeLLphi-304" 2L ES-SCLC</t>
  </si>
  <si>
    <t>Phase III "DeLLphi-305" with durvalumab 1L ES-SCLC maintenance</t>
  </si>
  <si>
    <t>Phase III "DeLLphi-306" LS-SCLC</t>
  </si>
  <si>
    <t>Phase Ib "DeLLphi-308" subcutaneous ES-SCLC</t>
  </si>
  <si>
    <t>Phase II "DeLLphi-309"  ES-SCLC alternative dosing</t>
  </si>
  <si>
    <t>Phase Ib "DeLLphi-303" with PD-1 inhibitor 1L ES-SCLC</t>
  </si>
  <si>
    <t>tarlatamab</t>
  </si>
  <si>
    <t>BLA 761344 approved 5/16/24</t>
  </si>
  <si>
    <t>Imdelltra, fka AMG757</t>
  </si>
  <si>
    <t>IV</t>
  </si>
  <si>
    <t>Phase III "DeLLphi-301" R/R SCLC</t>
  </si>
  <si>
    <t>monotherapy ORR 40%</t>
  </si>
  <si>
    <t>STEAP1xCD3</t>
  </si>
  <si>
    <t>AMG 509</t>
  </si>
  <si>
    <t>xaluritamig</t>
  </si>
  <si>
    <t>Phase III 2L mCRPC</t>
  </si>
  <si>
    <t>Phase I 1L monotherapy</t>
  </si>
  <si>
    <t>Phase I combination</t>
  </si>
  <si>
    <t>Approval</t>
  </si>
  <si>
    <t>Gastric Cancer</t>
  </si>
  <si>
    <t xml:space="preserve">bemarituzumab </t>
  </si>
  <si>
    <t>gastric cancer</t>
  </si>
  <si>
    <t>Phase III "FORTITUDE-101" with chemotherapy 1L Gastric - results 1H25</t>
  </si>
  <si>
    <t>Phase III "FORTITUDE-102" with chemotherapy+PD-1 1L Gastric - 2H25 results</t>
  </si>
  <si>
    <t>Phase Ib/II "FORTITUDE-103" 1L GC</t>
  </si>
  <si>
    <t>Phase Ib/II "FORTITUDE-301" basket study</t>
  </si>
  <si>
    <t>Phase III "CodeBreaK 202" vs. Keytruda 1L G12C+ PD-L1 NSCLC</t>
  </si>
  <si>
    <t>Phase III "CodeBreaK 301" 1L G12C+ CRC</t>
  </si>
  <si>
    <t>Nplate, fka AMG531</t>
  </si>
  <si>
    <t>romiplostim</t>
  </si>
  <si>
    <t>AMG 193</t>
  </si>
  <si>
    <t>Phase II MTAP-null NSCLC</t>
  </si>
  <si>
    <t>2H25 results</t>
  </si>
  <si>
    <t>ABP692 (ocrelizumab)</t>
  </si>
  <si>
    <t>MS</t>
  </si>
  <si>
    <t>CD20</t>
  </si>
  <si>
    <t>maridebart</t>
  </si>
  <si>
    <t>ABP234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</si>
</sst>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4">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2" fontId="7" fillId="0" borderId="0" xfId="0" applyNumberFormat="1" applyFont="1" applyAlignment="1">
      <alignment horizontal="right"/>
    </xf>
    <xf numFmtId="9" fontId="0" fillId="0" borderId="0" xfId="0" applyNumberFormat="1" applyAlignment="1">
      <alignment horizontal="left"/>
    </xf>
    <xf numFmtId="0" fontId="0" fillId="0" borderId="0" xfId="0" quotePrefix="1"/>
    <xf numFmtId="14" fontId="0" fillId="0" borderId="0" xfId="0" applyNumberFormat="1"/>
    <xf numFmtId="0" fontId="1" fillId="0" borderId="0" xfId="0" quotePrefix="1" applyFont="1"/>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98</xdr:col>
      <xdr:colOff>11248</xdr:colOff>
      <xdr:row>0</xdr:row>
      <xdr:rowOff>0</xdr:rowOff>
    </xdr:from>
    <xdr:to>
      <xdr:col>98</xdr:col>
      <xdr:colOff>11248</xdr:colOff>
      <xdr:row>141</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7774196" y="0"/>
          <a:ext cx="0" cy="2286656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129</xdr:col>
      <xdr:colOff>49173</xdr:colOff>
      <xdr:row>0</xdr:row>
      <xdr:rowOff>0</xdr:rowOff>
    </xdr:from>
    <xdr:to>
      <xdr:col>129</xdr:col>
      <xdr:colOff>49173</xdr:colOff>
      <xdr:row>191</xdr:row>
      <xdr:rowOff>1</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3925794" y="0"/>
          <a:ext cx="0" cy="3145220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156883</xdr:colOff>
      <xdr:row>22</xdr:row>
      <xdr:rowOff>157013</xdr:rowOff>
    </xdr:from>
    <xdr:to>
      <xdr:col>13</xdr:col>
      <xdr:colOff>474183</xdr:colOff>
      <xdr:row>45</xdr:row>
      <xdr:rowOff>80839</xdr:rowOff>
    </xdr:to>
    <xdr:pic>
      <xdr:nvPicPr>
        <xdr:cNvPr id="2" name="Picture 1">
          <a:extLst>
            <a:ext uri="{FF2B5EF4-FFF2-40B4-BE49-F238E27FC236}">
              <a16:creationId xmlns:a16="http://schemas.microsoft.com/office/drawing/2014/main" id="{32DD577B-2F78-9C24-0926-C8A7BD2DE281}"/>
            </a:ext>
          </a:extLst>
        </xdr:cNvPr>
        <xdr:cNvPicPr>
          <a:picLocks noChangeAspect="1"/>
        </xdr:cNvPicPr>
      </xdr:nvPicPr>
      <xdr:blipFill>
        <a:blip xmlns:r="http://schemas.openxmlformats.org/officeDocument/2006/relationships" r:embed="rId1"/>
        <a:stretch>
          <a:fillRect/>
        </a:stretch>
      </xdr:blipFill>
      <xdr:spPr>
        <a:xfrm>
          <a:off x="1322295" y="3608425"/>
          <a:ext cx="7055770" cy="37039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Z41" dT="2025-02-11T18:44:00.29" personId="{7718D75B-6F2A-49A5-B788-F882785C3404}" id="{A6543DC0-CB94-4CB1-99B4-3F7D8212FA7D}">
    <text>Q4 guidance: 34.3-35.7B</text>
  </threadedComment>
  <threadedComment ref="DZ50" dT="2025-02-11T18:44:36.65" personId="{7718D75B-6F2A-49A5-B788-F882785C3404}" id="{54ECDECD-AA35-4375-AC21-94668D788B79}">
    <text>Q4 guidance: 15-16%</text>
  </threadedComment>
  <threadedComment ref="BW51" dT="2023-02-28T17:29:20.53" personId="{7718D75B-6F2A-49A5-B788-F882785C3404}" id="{D6A92409-CA99-40A1-88DC-B7A73ABD2D61}">
    <text>2230m NGNI</text>
  </threadedComment>
  <threadedComment ref="CA51" dT="2023-02-28T17:29:15.09" personId="{7718D75B-6F2A-49A5-B788-F882785C3404}" id="{44E7E711-BCC1-4AD2-8680-58369B8354DF}">
    <text>NG NI: 2476m</text>
  </threadedComment>
  <threadedComment ref="CK51" dT="2023-02-28T17:19:26.41" personId="{7718D75B-6F2A-49A5-B788-F882785C3404}" id="{3CC28BE0-8712-41A4-9E7A-C2331E672FA9}">
    <text>NGNI 2530</text>
  </threadedComment>
  <threadedComment ref="CL51" dT="2023-02-28T17:09:06.38" personId="{7718D75B-6F2A-49A5-B788-F882785C3404}" id="{E609C7CB-3EB7-4FF0-803C-2DC500014A2B}">
    <text>2202m NG NI</text>
  </threadedComment>
  <threadedComment ref="DZ52" dT="2025-02-11T18:44:23.86" personId="{7718D75B-6F2A-49A5-B788-F882785C3404}" id="{2C48FDE0-F3B7-42E8-9372-1A785F610513}">
    <text>Q4 guidance: 20.00-21.20</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I28"/>
  <sheetViews>
    <sheetView zoomScale="175" zoomScaleNormal="175" workbookViewId="0">
      <pane xSplit="2" ySplit="2" topLeftCell="D3" activePane="bottomRight" state="frozen"/>
      <selection pane="topRight" activeCell="C1" sqref="C1"/>
      <selection pane="bottomLeft" activeCell="A3" sqref="A3"/>
      <selection pane="bottomRight" activeCell="I22" sqref="I22"/>
    </sheetView>
  </sheetViews>
  <sheetFormatPr defaultColWidth="8.81640625" defaultRowHeight="12.5"/>
  <cols>
    <col min="1" max="1" width="5" bestFit="1" customWidth="1"/>
    <col min="2" max="3" width="20.81640625" customWidth="1"/>
  </cols>
  <sheetData>
    <row r="1" spans="1:8">
      <c r="A1" s="11" t="s">
        <v>5</v>
      </c>
    </row>
    <row r="2" spans="1:8">
      <c r="B2" t="s">
        <v>1201</v>
      </c>
      <c r="C2" s="102" t="s">
        <v>1210</v>
      </c>
      <c r="D2" t="s">
        <v>3</v>
      </c>
      <c r="E2" t="s">
        <v>1202</v>
      </c>
      <c r="F2" t="s">
        <v>6</v>
      </c>
      <c r="G2" t="s">
        <v>1203</v>
      </c>
      <c r="H2" s="102" t="s">
        <v>1516</v>
      </c>
    </row>
    <row r="3" spans="1:8">
      <c r="B3" s="25" t="s">
        <v>213</v>
      </c>
      <c r="C3" s="60"/>
      <c r="D3" s="29" t="s">
        <v>1045</v>
      </c>
      <c r="E3" s="6" t="s">
        <v>807</v>
      </c>
      <c r="F3" s="12">
        <v>1</v>
      </c>
      <c r="G3" t="s">
        <v>1204</v>
      </c>
    </row>
    <row r="4" spans="1:8">
      <c r="B4" s="5" t="s">
        <v>1233</v>
      </c>
      <c r="C4" s="4"/>
    </row>
    <row r="5" spans="1:8">
      <c r="B5" s="5" t="s">
        <v>1236</v>
      </c>
      <c r="C5" s="4"/>
    </row>
    <row r="6" spans="1:8">
      <c r="B6" s="5" t="s">
        <v>1242</v>
      </c>
      <c r="C6" s="4"/>
    </row>
    <row r="7" spans="1:8">
      <c r="B7" s="5" t="s">
        <v>1301</v>
      </c>
      <c r="C7" s="4"/>
    </row>
    <row r="8" spans="1:8">
      <c r="B8" s="5" t="s">
        <v>1302</v>
      </c>
      <c r="C8" s="4"/>
    </row>
    <row r="9" spans="1:8">
      <c r="B9" s="5" t="s">
        <v>1197</v>
      </c>
      <c r="C9" s="4"/>
    </row>
    <row r="10" spans="1:8">
      <c r="B10" s="5" t="s">
        <v>1190</v>
      </c>
      <c r="C10" s="4"/>
    </row>
    <row r="11" spans="1:8">
      <c r="B11" s="5" t="s">
        <v>1303</v>
      </c>
      <c r="C11" s="4"/>
    </row>
    <row r="12" spans="1:8">
      <c r="B12" s="5" t="s">
        <v>1304</v>
      </c>
      <c r="C12" s="4"/>
    </row>
    <row r="13" spans="1:8">
      <c r="B13" s="5" t="s">
        <v>1305</v>
      </c>
      <c r="C13" s="4"/>
    </row>
    <row r="14" spans="1:8">
      <c r="B14" s="109" t="s">
        <v>1306</v>
      </c>
      <c r="C14" s="112"/>
    </row>
    <row r="15" spans="1:8">
      <c r="B15" s="109" t="s">
        <v>1307</v>
      </c>
      <c r="C15" s="112"/>
    </row>
    <row r="16" spans="1:8">
      <c r="B16" s="109" t="s">
        <v>1308</v>
      </c>
      <c r="C16" s="112"/>
    </row>
    <row r="17" spans="2:9">
      <c r="B17" s="109" t="s">
        <v>1309</v>
      </c>
      <c r="C17" s="112"/>
    </row>
    <row r="18" spans="2:9">
      <c r="B18" s="109" t="s">
        <v>1310</v>
      </c>
      <c r="C18" s="112"/>
    </row>
    <row r="19" spans="2:9">
      <c r="B19" s="25" t="s">
        <v>212</v>
      </c>
      <c r="C19" s="60"/>
      <c r="D19" s="6" t="s">
        <v>568</v>
      </c>
      <c r="E19" s="6" t="s">
        <v>807</v>
      </c>
      <c r="F19" s="12">
        <v>1</v>
      </c>
      <c r="G19" s="6">
        <v>1991</v>
      </c>
      <c r="H19" s="44" t="s">
        <v>1106</v>
      </c>
    </row>
    <row r="20" spans="2:9">
      <c r="B20" s="25" t="s">
        <v>1046</v>
      </c>
      <c r="C20" s="60"/>
      <c r="D20" s="6" t="s">
        <v>1131</v>
      </c>
      <c r="E20" s="6" t="s">
        <v>34</v>
      </c>
      <c r="F20" s="12" t="s">
        <v>579</v>
      </c>
      <c r="G20" s="12"/>
      <c r="H20" s="66"/>
    </row>
    <row r="21" spans="2:9">
      <c r="B21" s="112" t="s">
        <v>1306</v>
      </c>
      <c r="C21" s="102" t="s">
        <v>1137</v>
      </c>
      <c r="D21" s="102" t="s">
        <v>1138</v>
      </c>
    </row>
    <row r="22" spans="2:9">
      <c r="B22" s="112" t="s">
        <v>1304</v>
      </c>
      <c r="C22" s="102" t="s">
        <v>1155</v>
      </c>
      <c r="D22" s="102" t="s">
        <v>529</v>
      </c>
      <c r="F22" s="102" t="s">
        <v>536</v>
      </c>
      <c r="H22" s="132">
        <v>42109</v>
      </c>
    </row>
    <row r="24" spans="2:9">
      <c r="B24" s="68" t="s">
        <v>1135</v>
      </c>
      <c r="C24" s="16"/>
      <c r="D24" s="29" t="s">
        <v>1142</v>
      </c>
      <c r="E24" s="29" t="s">
        <v>1141</v>
      </c>
      <c r="F24" s="52" t="s">
        <v>1136</v>
      </c>
      <c r="G24" s="29"/>
      <c r="H24" s="29"/>
      <c r="I24" s="24"/>
    </row>
    <row r="25" spans="2:9">
      <c r="B25" s="25" t="s">
        <v>1039</v>
      </c>
      <c r="C25" s="60"/>
      <c r="D25" s="6" t="s">
        <v>60</v>
      </c>
      <c r="E25" s="6" t="s">
        <v>808</v>
      </c>
      <c r="F25" s="12" t="s">
        <v>849</v>
      </c>
      <c r="G25" s="6" t="s">
        <v>850</v>
      </c>
      <c r="H25" s="6"/>
      <c r="I25" s="24"/>
    </row>
    <row r="26" spans="2:9">
      <c r="B26" s="68" t="s">
        <v>535</v>
      </c>
      <c r="C26" s="16"/>
      <c r="D26" s="6"/>
      <c r="E26" s="29" t="s">
        <v>214</v>
      </c>
      <c r="F26" s="29"/>
      <c r="G26" s="6"/>
      <c r="H26" s="6"/>
      <c r="I26" s="24"/>
    </row>
    <row r="27" spans="2:9">
      <c r="B27" s="25" t="s">
        <v>126</v>
      </c>
      <c r="C27" s="60"/>
      <c r="D27" s="29" t="s">
        <v>1047</v>
      </c>
      <c r="E27" s="6" t="s">
        <v>33</v>
      </c>
      <c r="F27" s="12">
        <v>1</v>
      </c>
      <c r="G27" s="6" t="s">
        <v>850</v>
      </c>
      <c r="H27" s="6"/>
    </row>
    <row r="28" spans="2:9">
      <c r="B28" s="5" t="s">
        <v>133</v>
      </c>
      <c r="C28" s="4"/>
      <c r="D28" s="6" t="s">
        <v>134</v>
      </c>
      <c r="E28" s="6" t="s">
        <v>107</v>
      </c>
      <c r="F28" s="6"/>
      <c r="G28" s="6" t="s">
        <v>769</v>
      </c>
      <c r="H28" s="6"/>
      <c r="I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5B0C-1138-47EF-A1AF-501CD2A82B77}">
  <dimension ref="A1:C12"/>
  <sheetViews>
    <sheetView zoomScale="160" zoomScaleNormal="160" workbookViewId="0"/>
  </sheetViews>
  <sheetFormatPr defaultRowHeight="12.5"/>
  <cols>
    <col min="1" max="1" width="4.6328125" bestFit="1" customWidth="1"/>
    <col min="2" max="2" width="11.453125" bestFit="1" customWidth="1"/>
  </cols>
  <sheetData>
    <row r="1" spans="1:3">
      <c r="A1" s="11" t="s">
        <v>5</v>
      </c>
    </row>
    <row r="2" spans="1:3">
      <c r="B2" s="102" t="s">
        <v>1201</v>
      </c>
      <c r="C2" s="102" t="s">
        <v>1227</v>
      </c>
    </row>
    <row r="3" spans="1:3">
      <c r="B3" s="102" t="s">
        <v>1210</v>
      </c>
      <c r="C3" s="102" t="s">
        <v>1425</v>
      </c>
    </row>
    <row r="4" spans="1:3">
      <c r="B4" s="102" t="s">
        <v>3</v>
      </c>
      <c r="C4" s="102" t="s">
        <v>1369</v>
      </c>
    </row>
    <row r="5" spans="1:3">
      <c r="B5" s="102" t="s">
        <v>806</v>
      </c>
      <c r="C5" s="102" t="s">
        <v>1375</v>
      </c>
    </row>
    <row r="6" spans="1:3">
      <c r="B6" s="102" t="s">
        <v>899</v>
      </c>
      <c r="C6" s="102" t="s">
        <v>1426</v>
      </c>
    </row>
    <row r="7" spans="1:3">
      <c r="B7" s="102"/>
      <c r="C7" s="102" t="s">
        <v>1427</v>
      </c>
    </row>
    <row r="8" spans="1:3">
      <c r="B8" s="102" t="s">
        <v>322</v>
      </c>
    </row>
    <row r="9" spans="1:3" ht="13">
      <c r="C9" s="48" t="s">
        <v>1428</v>
      </c>
    </row>
    <row r="12" spans="1:3" ht="13">
      <c r="C12" s="48" t="s">
        <v>1429</v>
      </c>
    </row>
  </sheetData>
  <hyperlinks>
    <hyperlink ref="A1" location="Main!A1" display="Main" xr:uid="{051F37E6-804E-47F7-9418-5CAEA468CB7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CE5-5CCB-4A20-A2B6-3B355931616D}">
  <dimension ref="A1:C11"/>
  <sheetViews>
    <sheetView zoomScale="175" zoomScaleNormal="175" workbookViewId="0"/>
  </sheetViews>
  <sheetFormatPr defaultRowHeight="12.5"/>
  <cols>
    <col min="1" max="1" width="4.6328125" bestFit="1" customWidth="1"/>
    <col min="2" max="2" width="11.26953125" bestFit="1" customWidth="1"/>
  </cols>
  <sheetData>
    <row r="1" spans="1:3">
      <c r="A1" s="11" t="s">
        <v>5</v>
      </c>
    </row>
    <row r="2" spans="1:3">
      <c r="B2" s="102" t="s">
        <v>1201</v>
      </c>
      <c r="C2" s="102" t="s">
        <v>1423</v>
      </c>
    </row>
    <row r="3" spans="1:3">
      <c r="B3" s="102" t="s">
        <v>1210</v>
      </c>
      <c r="C3" s="102" t="s">
        <v>1418</v>
      </c>
    </row>
    <row r="4" spans="1:3">
      <c r="B4" s="102" t="s">
        <v>806</v>
      </c>
      <c r="C4" s="102" t="s">
        <v>1417</v>
      </c>
    </row>
    <row r="5" spans="1:3">
      <c r="B5" s="102" t="s">
        <v>3</v>
      </c>
      <c r="C5" s="102" t="s">
        <v>1419</v>
      </c>
    </row>
    <row r="6" spans="1:3">
      <c r="B6" s="102" t="s">
        <v>899</v>
      </c>
      <c r="C6" s="102" t="s">
        <v>1422</v>
      </c>
    </row>
    <row r="7" spans="1:3">
      <c r="B7" s="102" t="s">
        <v>322</v>
      </c>
    </row>
    <row r="8" spans="1:3" ht="13">
      <c r="C8" s="48" t="s">
        <v>1420</v>
      </c>
    </row>
    <row r="9" spans="1:3">
      <c r="C9" s="102" t="s">
        <v>1421</v>
      </c>
    </row>
    <row r="11" spans="1:3" ht="13">
      <c r="C11" s="48" t="s">
        <v>1424</v>
      </c>
    </row>
  </sheetData>
  <hyperlinks>
    <hyperlink ref="A1" location="Main!A1" display="Main" xr:uid="{5DF54F89-3213-488F-A694-6F4560C348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366-2B23-4FB7-AD10-CB99CA037C19}">
  <dimension ref="A1:C17"/>
  <sheetViews>
    <sheetView zoomScale="145" zoomScaleNormal="145" workbookViewId="0"/>
  </sheetViews>
  <sheetFormatPr defaultRowHeight="12.5"/>
  <cols>
    <col min="1" max="1" width="4.6328125" bestFit="1" customWidth="1"/>
    <col min="2" max="2" width="11.90625" bestFit="1" customWidth="1"/>
  </cols>
  <sheetData>
    <row r="1" spans="1:3">
      <c r="A1" s="11" t="s">
        <v>5</v>
      </c>
    </row>
    <row r="2" spans="1:3">
      <c r="B2" s="102" t="s">
        <v>1201</v>
      </c>
      <c r="C2" s="102" t="s">
        <v>1441</v>
      </c>
    </row>
    <row r="3" spans="1:3">
      <c r="B3" s="102" t="s">
        <v>1210</v>
      </c>
      <c r="C3" s="102" t="s">
        <v>1437</v>
      </c>
    </row>
    <row r="4" spans="1:3">
      <c r="B4" s="102" t="s">
        <v>3</v>
      </c>
      <c r="C4" s="102" t="s">
        <v>1438</v>
      </c>
    </row>
    <row r="5" spans="1:3">
      <c r="B5" s="102" t="s">
        <v>806</v>
      </c>
      <c r="C5" s="102" t="s">
        <v>1442</v>
      </c>
    </row>
    <row r="6" spans="1:3">
      <c r="B6" s="102" t="s">
        <v>6</v>
      </c>
      <c r="C6" s="102" t="s">
        <v>1440</v>
      </c>
    </row>
    <row r="7" spans="1:3">
      <c r="B7" s="102" t="s">
        <v>899</v>
      </c>
      <c r="C7" s="102" t="s">
        <v>1439</v>
      </c>
    </row>
    <row r="8" spans="1:3">
      <c r="B8" s="102" t="s">
        <v>322</v>
      </c>
    </row>
    <row r="9" spans="1:3" ht="13">
      <c r="C9" s="48" t="s">
        <v>1443</v>
      </c>
    </row>
    <row r="13" spans="1:3" ht="13">
      <c r="C13" s="48" t="s">
        <v>1444</v>
      </c>
    </row>
    <row r="17" spans="3:3" ht="13">
      <c r="C17" s="48" t="s">
        <v>1490</v>
      </c>
    </row>
  </sheetData>
  <hyperlinks>
    <hyperlink ref="A1" location="Main!A1" display="Main" xr:uid="{3D7B7BC1-1DF3-4D3D-A7E4-A849EC1D84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1640625" defaultRowHeight="12.5"/>
  <cols>
    <col min="1" max="1" width="5" bestFit="1" customWidth="1"/>
    <col min="2" max="2" width="13.26953125" customWidth="1"/>
  </cols>
  <sheetData>
    <row r="1" spans="1:11">
      <c r="A1" s="100" t="s">
        <v>5</v>
      </c>
    </row>
    <row r="2" spans="1:11">
      <c r="B2" t="s">
        <v>286</v>
      </c>
      <c r="C2" t="s">
        <v>354</v>
      </c>
    </row>
    <row r="3" spans="1:11">
      <c r="B3" t="s">
        <v>287</v>
      </c>
      <c r="C3" t="s">
        <v>509</v>
      </c>
    </row>
    <row r="4" spans="1:11">
      <c r="B4" t="s">
        <v>806</v>
      </c>
      <c r="C4" t="s">
        <v>28</v>
      </c>
    </row>
    <row r="5" spans="1:11">
      <c r="B5" t="s">
        <v>322</v>
      </c>
      <c r="J5" s="101"/>
      <c r="K5" s="101"/>
    </row>
    <row r="6" spans="1:11" ht="13">
      <c r="C6" s="48" t="s">
        <v>510</v>
      </c>
    </row>
    <row r="7" spans="1:11">
      <c r="C7" t="s">
        <v>512</v>
      </c>
    </row>
    <row r="9" spans="1:11" ht="13">
      <c r="C9" s="48" t="s">
        <v>511</v>
      </c>
    </row>
    <row r="10" spans="1:11">
      <c r="C10" s="53" t="s">
        <v>513</v>
      </c>
    </row>
    <row r="11" spans="1:11">
      <c r="C11" s="53"/>
    </row>
    <row r="12" spans="1:11">
      <c r="C12" t="s">
        <v>294</v>
      </c>
    </row>
    <row r="15" spans="1:11">
      <c r="B15" t="s">
        <v>494</v>
      </c>
    </row>
    <row r="16" spans="1:11">
      <c r="B16" t="s">
        <v>495</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7"/>
  <sheetViews>
    <sheetView zoomScale="145" zoomScaleNormal="145" workbookViewId="0"/>
  </sheetViews>
  <sheetFormatPr defaultColWidth="8.81640625" defaultRowHeight="12.5"/>
  <cols>
    <col min="1" max="1" width="5" bestFit="1" customWidth="1"/>
    <col min="2" max="2" width="12" bestFit="1" customWidth="1"/>
  </cols>
  <sheetData>
    <row r="1" spans="1:3">
      <c r="A1" s="11" t="s">
        <v>5</v>
      </c>
    </row>
    <row r="2" spans="1:3">
      <c r="B2" t="s">
        <v>1201</v>
      </c>
      <c r="C2" t="s">
        <v>1213</v>
      </c>
    </row>
    <row r="3" spans="1:3">
      <c r="B3" t="s">
        <v>1210</v>
      </c>
      <c r="C3" t="s">
        <v>1211</v>
      </c>
    </row>
    <row r="4" spans="1:3">
      <c r="B4" t="s">
        <v>3</v>
      </c>
      <c r="C4" t="s">
        <v>1212</v>
      </c>
    </row>
    <row r="5" spans="1:3">
      <c r="B5" s="102" t="s">
        <v>806</v>
      </c>
    </row>
    <row r="6" spans="1:3">
      <c r="B6" t="s">
        <v>322</v>
      </c>
    </row>
    <row r="7" spans="1:3" ht="13">
      <c r="B7" s="102"/>
      <c r="C7" s="48" t="s">
        <v>1219</v>
      </c>
    </row>
    <row r="9" spans="1:3" ht="13">
      <c r="C9" s="48" t="s">
        <v>1217</v>
      </c>
    </row>
    <row r="10" spans="1:3">
      <c r="C10" s="102" t="s">
        <v>1216</v>
      </c>
    </row>
    <row r="13" spans="1:3" ht="13">
      <c r="C13" s="48" t="s">
        <v>1215</v>
      </c>
    </row>
    <row r="14" spans="1:3">
      <c r="C14" s="102" t="s">
        <v>1370</v>
      </c>
    </row>
    <row r="16" spans="1:3" ht="13">
      <c r="C16" s="48" t="s">
        <v>1218</v>
      </c>
    </row>
    <row r="18" spans="3:3" ht="13">
      <c r="C18" s="48" t="s">
        <v>1220</v>
      </c>
    </row>
    <row r="19" spans="3:3">
      <c r="C19" s="102" t="s">
        <v>1221</v>
      </c>
    </row>
    <row r="20" spans="3:3">
      <c r="C20" s="102" t="s">
        <v>1222</v>
      </c>
    </row>
    <row r="21" spans="3:3">
      <c r="C21" s="102" t="s">
        <v>1223</v>
      </c>
    </row>
    <row r="24" spans="3:3" ht="13">
      <c r="C24" s="48" t="s">
        <v>1525</v>
      </c>
    </row>
    <row r="27" spans="3:3" ht="13">
      <c r="C27" s="48" t="s">
        <v>1524</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353</v>
      </c>
    </row>
    <row r="3" spans="1:3">
      <c r="B3" s="4" t="s">
        <v>287</v>
      </c>
    </row>
    <row r="4" spans="1:3">
      <c r="B4" s="4" t="s">
        <v>998</v>
      </c>
      <c r="C4" s="4" t="s">
        <v>999</v>
      </c>
    </row>
    <row r="5" spans="1:3">
      <c r="B5" s="4" t="s">
        <v>3</v>
      </c>
      <c r="C5" s="4" t="s">
        <v>113</v>
      </c>
    </row>
    <row r="6" spans="1:3">
      <c r="B6" s="4" t="s">
        <v>112</v>
      </c>
      <c r="C6" s="4" t="s">
        <v>114</v>
      </c>
    </row>
    <row r="7" spans="1:3">
      <c r="B7" s="4" t="s">
        <v>322</v>
      </c>
    </row>
    <row r="8" spans="1:3" ht="13">
      <c r="B8" s="22"/>
      <c r="C8" s="4" t="s">
        <v>58</v>
      </c>
    </row>
    <row r="9" spans="1:3">
      <c r="C9" s="4" t="s">
        <v>59</v>
      </c>
    </row>
    <row r="12" spans="1:3" ht="13">
      <c r="C12" s="22" t="s">
        <v>1027</v>
      </c>
    </row>
    <row r="13" spans="1:3">
      <c r="C13" s="4" t="s">
        <v>1028</v>
      </c>
    </row>
    <row r="15" spans="1:3" ht="13">
      <c r="C15" s="22" t="s">
        <v>519</v>
      </c>
    </row>
    <row r="16" spans="1:3">
      <c r="C16" s="4" t="s">
        <v>943</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3170-8A39-499F-986E-007249B0295C}">
  <dimension ref="A1:C10"/>
  <sheetViews>
    <sheetView zoomScale="160" zoomScaleNormal="160" workbookViewId="0"/>
  </sheetViews>
  <sheetFormatPr defaultRowHeight="12.5"/>
  <cols>
    <col min="1" max="1" width="4.6328125" bestFit="1" customWidth="1"/>
    <col min="2" max="2" width="11.453125" bestFit="1" customWidth="1"/>
  </cols>
  <sheetData>
    <row r="1" spans="1:3">
      <c r="A1" s="11" t="s">
        <v>5</v>
      </c>
    </row>
    <row r="2" spans="1:3">
      <c r="B2" t="s">
        <v>1201</v>
      </c>
      <c r="C2" t="s">
        <v>1404</v>
      </c>
    </row>
    <row r="3" spans="1:3">
      <c r="B3" t="s">
        <v>1210</v>
      </c>
      <c r="C3" t="s">
        <v>1405</v>
      </c>
    </row>
    <row r="4" spans="1:3">
      <c r="B4" t="s">
        <v>3</v>
      </c>
      <c r="C4" t="s">
        <v>1321</v>
      </c>
    </row>
    <row r="5" spans="1:3">
      <c r="B5" t="s">
        <v>806</v>
      </c>
      <c r="C5" t="s">
        <v>1406</v>
      </c>
    </row>
    <row r="6" spans="1:3">
      <c r="B6" t="s">
        <v>322</v>
      </c>
    </row>
    <row r="7" spans="1:3" ht="13">
      <c r="C7" s="48" t="s">
        <v>1407</v>
      </c>
    </row>
    <row r="10" spans="1:3" ht="13">
      <c r="C10" s="48" t="s">
        <v>1408</v>
      </c>
    </row>
  </sheetData>
  <hyperlinks>
    <hyperlink ref="A1" location="Main!A1" display="Main" xr:uid="{0CE46242-5945-4760-8E47-875AC35BE0C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1459-ACE0-4483-93C1-8171BFF366EB}">
  <dimension ref="A1:C13"/>
  <sheetViews>
    <sheetView zoomScale="220" zoomScaleNormal="220" workbookViewId="0"/>
  </sheetViews>
  <sheetFormatPr defaultRowHeight="12.5"/>
  <cols>
    <col min="1" max="1" width="4.6328125" bestFit="1" customWidth="1"/>
    <col min="2" max="2" width="11.453125" bestFit="1" customWidth="1"/>
  </cols>
  <sheetData>
    <row r="1" spans="1:3">
      <c r="A1" s="11" t="s">
        <v>5</v>
      </c>
    </row>
    <row r="2" spans="1:3">
      <c r="B2" s="102" t="s">
        <v>1201</v>
      </c>
      <c r="C2" s="102" t="s">
        <v>1511</v>
      </c>
    </row>
    <row r="3" spans="1:3">
      <c r="B3" s="102" t="s">
        <v>1210</v>
      </c>
      <c r="C3" s="102" t="s">
        <v>1512</v>
      </c>
    </row>
    <row r="4" spans="1:3">
      <c r="B4" s="102" t="s">
        <v>3</v>
      </c>
      <c r="C4" s="102" t="s">
        <v>1322</v>
      </c>
    </row>
    <row r="5" spans="1:3">
      <c r="B5" s="102" t="s">
        <v>806</v>
      </c>
      <c r="C5" s="102" t="s">
        <v>1510</v>
      </c>
    </row>
    <row r="6" spans="1:3">
      <c r="B6" s="102" t="s">
        <v>322</v>
      </c>
    </row>
    <row r="7" spans="1:3" ht="13">
      <c r="C7" s="48" t="s">
        <v>1513</v>
      </c>
    </row>
    <row r="10" spans="1:3" ht="13">
      <c r="C10" s="48" t="s">
        <v>1514</v>
      </c>
    </row>
    <row r="13" spans="1:3" ht="13">
      <c r="C13" s="48" t="s">
        <v>1515</v>
      </c>
    </row>
  </sheetData>
  <hyperlinks>
    <hyperlink ref="A1" location="Main!A1" display="Main" xr:uid="{7641A43B-60E8-4340-A972-A3A90528055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4F8E-F424-4204-9E9B-B344542AA177}">
  <dimension ref="A1:C17"/>
  <sheetViews>
    <sheetView zoomScale="175" zoomScaleNormal="175" workbookViewId="0"/>
  </sheetViews>
  <sheetFormatPr defaultRowHeight="12.5"/>
  <cols>
    <col min="1" max="1" width="4.6328125" bestFit="1" customWidth="1"/>
    <col min="2" max="2" width="12.08984375" customWidth="1"/>
  </cols>
  <sheetData>
    <row r="1" spans="1:3">
      <c r="A1" s="11" t="s">
        <v>5</v>
      </c>
    </row>
    <row r="2" spans="1:3">
      <c r="B2" s="102" t="s">
        <v>1201</v>
      </c>
    </row>
    <row r="3" spans="1:3">
      <c r="B3" s="102" t="s">
        <v>1210</v>
      </c>
      <c r="C3" s="133" t="s">
        <v>1518</v>
      </c>
    </row>
    <row r="4" spans="1:3">
      <c r="B4" s="102" t="s">
        <v>3</v>
      </c>
      <c r="C4" s="102" t="s">
        <v>1519</v>
      </c>
    </row>
    <row r="5" spans="1:3">
      <c r="B5" s="102" t="s">
        <v>6</v>
      </c>
    </row>
    <row r="6" spans="1:3">
      <c r="B6" s="102" t="s">
        <v>806</v>
      </c>
      <c r="C6" s="102" t="s">
        <v>1327</v>
      </c>
    </row>
    <row r="7" spans="1:3">
      <c r="B7" s="102" t="s">
        <v>322</v>
      </c>
    </row>
    <row r="8" spans="1:3" ht="13">
      <c r="C8" s="48" t="s">
        <v>1520</v>
      </c>
    </row>
    <row r="11" spans="1:3" ht="13">
      <c r="C11" s="48" t="s">
        <v>1521</v>
      </c>
    </row>
    <row r="14" spans="1:3" ht="13">
      <c r="C14" s="48" t="s">
        <v>1522</v>
      </c>
    </row>
    <row r="17" spans="3:3" ht="13">
      <c r="C17" s="48" t="s">
        <v>1523</v>
      </c>
    </row>
  </sheetData>
  <hyperlinks>
    <hyperlink ref="A1" location="Main!A1" display="Main" xr:uid="{E3E57CFB-5E3E-42E9-B366-DC0C5A3712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FF4A-59CE-4EE5-A886-9EC34C2443C6}">
  <dimension ref="A1:C21"/>
  <sheetViews>
    <sheetView zoomScale="85" zoomScaleNormal="85" workbookViewId="0"/>
  </sheetViews>
  <sheetFormatPr defaultRowHeight="12.5"/>
  <cols>
    <col min="1" max="1" width="5" bestFit="1" customWidth="1"/>
    <col min="2" max="2" width="12.453125" customWidth="1"/>
  </cols>
  <sheetData>
    <row r="1" spans="1:3">
      <c r="A1" s="11" t="s">
        <v>5</v>
      </c>
    </row>
    <row r="2" spans="1:3">
      <c r="B2" s="102" t="s">
        <v>1201</v>
      </c>
      <c r="C2" s="102" t="s">
        <v>1388</v>
      </c>
    </row>
    <row r="3" spans="1:3">
      <c r="B3" s="102" t="s">
        <v>1210</v>
      </c>
      <c r="C3" s="102" t="s">
        <v>1315</v>
      </c>
    </row>
    <row r="4" spans="1:3">
      <c r="B4" s="102" t="s">
        <v>6</v>
      </c>
      <c r="C4" s="130">
        <v>1</v>
      </c>
    </row>
    <row r="5" spans="1:3">
      <c r="B5" s="102" t="s">
        <v>806</v>
      </c>
      <c r="C5" s="102" t="s">
        <v>1399</v>
      </c>
    </row>
    <row r="6" spans="1:3">
      <c r="B6" s="102" t="s">
        <v>322</v>
      </c>
    </row>
    <row r="7" spans="1:3" ht="13">
      <c r="C7" s="48" t="s">
        <v>1394</v>
      </c>
    </row>
    <row r="8" spans="1:3">
      <c r="C8" s="102" t="s">
        <v>1389</v>
      </c>
    </row>
    <row r="9" spans="1:3">
      <c r="C9" s="102" t="s">
        <v>1390</v>
      </c>
    </row>
    <row r="11" spans="1:3" ht="13">
      <c r="C11" s="48" t="s">
        <v>1393</v>
      </c>
    </row>
    <row r="14" spans="1:3" ht="13">
      <c r="C14" s="48" t="s">
        <v>1395</v>
      </c>
    </row>
    <row r="15" spans="1:3">
      <c r="C15" s="102" t="s">
        <v>1396</v>
      </c>
    </row>
    <row r="16" spans="1:3">
      <c r="C16" s="102" t="s">
        <v>1397</v>
      </c>
    </row>
    <row r="17" spans="3:3">
      <c r="C17" s="102" t="s">
        <v>1398</v>
      </c>
    </row>
    <row r="18" spans="3:3">
      <c r="C18" s="102" t="s">
        <v>1400</v>
      </c>
    </row>
    <row r="20" spans="3:3" ht="13">
      <c r="C20" s="48" t="s">
        <v>1391</v>
      </c>
    </row>
    <row r="21" spans="3:3">
      <c r="C21" s="102" t="s">
        <v>1392</v>
      </c>
    </row>
  </sheetData>
  <hyperlinks>
    <hyperlink ref="A1" location="Main!A1" display="Main" xr:uid="{EC7A5ACA-E35C-47C6-AAFE-E91B42A275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7"/>
  <sheetViews>
    <sheetView tabSelected="1" zoomScaleNormal="100" workbookViewId="0">
      <selection activeCell="K4" sqref="K4"/>
    </sheetView>
  </sheetViews>
  <sheetFormatPr defaultColWidth="9.1796875" defaultRowHeight="12.5"/>
  <cols>
    <col min="1" max="1" width="2.26953125" style="4" customWidth="1"/>
    <col min="2" max="2" width="26.453125" style="4" customWidth="1"/>
    <col min="3" max="3" width="30.453125" style="6" bestFit="1" customWidth="1"/>
    <col min="4" max="4" width="25.26953125" style="6" bestFit="1" customWidth="1"/>
    <col min="5" max="5" width="15.1796875" style="4" customWidth="1"/>
    <col min="6" max="6" width="16.26953125" style="4" customWidth="1"/>
    <col min="7" max="7" width="19.1796875" style="4" customWidth="1"/>
    <col min="8" max="8" width="3.453125" style="4" customWidth="1"/>
    <col min="9" max="9" width="7" style="4" bestFit="1" customWidth="1"/>
    <col min="10" max="10" width="8.453125" style="4" customWidth="1"/>
    <col min="11" max="11" width="7" style="4" customWidth="1"/>
    <col min="12" max="16384" width="9.1796875" style="4"/>
  </cols>
  <sheetData>
    <row r="1" spans="1:11" ht="12" customHeight="1">
      <c r="A1" s="16"/>
    </row>
    <row r="2" spans="1:11">
      <c r="B2" s="1" t="s">
        <v>2</v>
      </c>
      <c r="C2" s="2" t="s">
        <v>3</v>
      </c>
      <c r="D2" s="2" t="s">
        <v>806</v>
      </c>
      <c r="E2" s="2" t="s">
        <v>6</v>
      </c>
      <c r="F2" s="2" t="s">
        <v>1021</v>
      </c>
      <c r="G2" s="3" t="s">
        <v>596</v>
      </c>
      <c r="I2" s="4" t="s">
        <v>358</v>
      </c>
      <c r="J2" s="54">
        <v>292</v>
      </c>
    </row>
    <row r="3" spans="1:11">
      <c r="B3" s="25" t="s">
        <v>356</v>
      </c>
      <c r="C3" s="6" t="s">
        <v>1129</v>
      </c>
      <c r="D3" s="6" t="s">
        <v>807</v>
      </c>
      <c r="E3" s="12">
        <v>1</v>
      </c>
      <c r="F3" s="6">
        <v>2001</v>
      </c>
      <c r="G3" s="7" t="s">
        <v>304</v>
      </c>
      <c r="I3" s="4" t="s">
        <v>446</v>
      </c>
      <c r="J3" s="26">
        <v>542</v>
      </c>
      <c r="K3" s="107" t="s">
        <v>1291</v>
      </c>
    </row>
    <row r="4" spans="1:11">
      <c r="B4" s="25" t="s">
        <v>210</v>
      </c>
      <c r="C4" s="6" t="s">
        <v>1130</v>
      </c>
      <c r="D4" s="6" t="s">
        <v>660</v>
      </c>
      <c r="E4" s="12" t="s">
        <v>321</v>
      </c>
      <c r="F4" s="12"/>
      <c r="G4" s="7">
        <v>2009</v>
      </c>
      <c r="I4" s="4" t="s">
        <v>1009</v>
      </c>
      <c r="J4" s="26">
        <f>J3*J2</f>
        <v>158264</v>
      </c>
    </row>
    <row r="5" spans="1:11">
      <c r="B5" s="25" t="s">
        <v>211</v>
      </c>
      <c r="C5" s="6" t="s">
        <v>568</v>
      </c>
      <c r="D5" s="6" t="s">
        <v>807</v>
      </c>
      <c r="E5" s="12">
        <v>1</v>
      </c>
      <c r="F5" s="12"/>
      <c r="G5" s="7">
        <v>2015</v>
      </c>
      <c r="I5" s="4" t="s">
        <v>1010</v>
      </c>
      <c r="J5" s="97">
        <v>9011</v>
      </c>
      <c r="K5" s="107" t="s">
        <v>1290</v>
      </c>
    </row>
    <row r="6" spans="1:11">
      <c r="B6" s="25" t="s">
        <v>13</v>
      </c>
      <c r="C6" s="6" t="s">
        <v>558</v>
      </c>
      <c r="D6" s="6" t="s">
        <v>807</v>
      </c>
      <c r="E6" s="12">
        <v>1</v>
      </c>
      <c r="F6" s="6">
        <v>1989</v>
      </c>
      <c r="G6" s="7" t="s">
        <v>646</v>
      </c>
      <c r="I6" s="4" t="s">
        <v>1011</v>
      </c>
      <c r="J6" s="26">
        <v>60398</v>
      </c>
      <c r="K6" s="107" t="s">
        <v>1290</v>
      </c>
    </row>
    <row r="7" spans="1:11">
      <c r="B7" s="25" t="s">
        <v>387</v>
      </c>
      <c r="C7" s="6" t="s">
        <v>1132</v>
      </c>
      <c r="D7" s="6" t="s">
        <v>1207</v>
      </c>
      <c r="E7" s="12">
        <v>1</v>
      </c>
      <c r="F7" s="6">
        <v>2006</v>
      </c>
      <c r="G7" s="7" t="s">
        <v>187</v>
      </c>
      <c r="I7" s="4" t="s">
        <v>1012</v>
      </c>
      <c r="J7" s="26">
        <f>J4-J5+J6</f>
        <v>209651</v>
      </c>
    </row>
    <row r="8" spans="1:11">
      <c r="B8" s="25" t="s">
        <v>1205</v>
      </c>
      <c r="C8" s="6" t="s">
        <v>1214</v>
      </c>
      <c r="D8" s="6" t="s">
        <v>1206</v>
      </c>
      <c r="E8" s="27">
        <v>1</v>
      </c>
      <c r="G8" s="24"/>
    </row>
    <row r="9" spans="1:11">
      <c r="B9" s="25" t="s">
        <v>1081</v>
      </c>
      <c r="C9" s="103" t="s">
        <v>805</v>
      </c>
      <c r="D9" s="103" t="s">
        <v>1208</v>
      </c>
      <c r="E9" s="52" t="s">
        <v>1075</v>
      </c>
      <c r="F9" s="104">
        <v>40384</v>
      </c>
      <c r="G9" s="44">
        <v>2025</v>
      </c>
      <c r="I9" s="112" t="s">
        <v>1287</v>
      </c>
    </row>
    <row r="10" spans="1:11">
      <c r="B10" s="111" t="s">
        <v>1281</v>
      </c>
      <c r="C10" s="103" t="s">
        <v>1373</v>
      </c>
      <c r="D10" s="29"/>
      <c r="E10" s="52"/>
      <c r="F10" s="104">
        <v>41110</v>
      </c>
      <c r="G10" s="44"/>
      <c r="I10" s="112" t="s">
        <v>1312</v>
      </c>
    </row>
    <row r="11" spans="1:11">
      <c r="B11" s="111" t="s">
        <v>1282</v>
      </c>
      <c r="C11" s="103" t="s">
        <v>805</v>
      </c>
      <c r="D11" s="29"/>
      <c r="E11" s="113" t="s">
        <v>43</v>
      </c>
      <c r="F11" s="104"/>
      <c r="G11" s="127" t="s">
        <v>1376</v>
      </c>
      <c r="I11" s="112" t="s">
        <v>1313</v>
      </c>
    </row>
    <row r="12" spans="1:11">
      <c r="B12" s="111" t="s">
        <v>1283</v>
      </c>
      <c r="C12" s="29"/>
      <c r="D12" s="29"/>
      <c r="E12" s="52"/>
      <c r="F12" s="104"/>
      <c r="G12" s="44"/>
      <c r="I12" s="112" t="s">
        <v>1314</v>
      </c>
    </row>
    <row r="13" spans="1:11">
      <c r="B13" s="109" t="s">
        <v>1347</v>
      </c>
      <c r="C13" s="29"/>
      <c r="D13" s="29"/>
      <c r="E13" s="52"/>
      <c r="F13" s="29"/>
      <c r="G13" s="94"/>
    </row>
    <row r="14" spans="1:11">
      <c r="B14" s="111" t="s">
        <v>1284</v>
      </c>
      <c r="C14" s="103" t="s">
        <v>1130</v>
      </c>
      <c r="D14" s="103" t="s">
        <v>1374</v>
      </c>
      <c r="E14" s="52"/>
      <c r="F14" s="104"/>
      <c r="G14" s="44"/>
    </row>
    <row r="15" spans="1:11">
      <c r="B15" s="25" t="s">
        <v>1285</v>
      </c>
      <c r="C15" s="103" t="s">
        <v>1416</v>
      </c>
      <c r="D15" s="103" t="s">
        <v>1417</v>
      </c>
      <c r="E15" s="113" t="s">
        <v>1415</v>
      </c>
      <c r="F15" s="104">
        <v>44476</v>
      </c>
      <c r="G15" s="44"/>
    </row>
    <row r="16" spans="1:11">
      <c r="B16" s="25" t="s">
        <v>1286</v>
      </c>
      <c r="C16" s="103" t="s">
        <v>1473</v>
      </c>
      <c r="D16" s="103" t="s">
        <v>1471</v>
      </c>
      <c r="E16" s="52">
        <v>1</v>
      </c>
      <c r="F16" s="104">
        <v>41719</v>
      </c>
      <c r="G16" s="44">
        <v>2028</v>
      </c>
    </row>
    <row r="17" spans="2:9">
      <c r="B17" s="25" t="s">
        <v>1297</v>
      </c>
      <c r="C17" s="103" t="s">
        <v>1299</v>
      </c>
      <c r="D17" s="103" t="s">
        <v>1298</v>
      </c>
      <c r="E17" s="52">
        <v>1</v>
      </c>
      <c r="F17" s="104">
        <v>45428</v>
      </c>
      <c r="G17" s="44"/>
    </row>
    <row r="18" spans="2:9">
      <c r="B18" s="25" t="s">
        <v>1378</v>
      </c>
      <c r="C18" s="103" t="s">
        <v>218</v>
      </c>
      <c r="D18" s="103" t="s">
        <v>1379</v>
      </c>
      <c r="E18" s="113" t="s">
        <v>1449</v>
      </c>
      <c r="F18" s="104">
        <v>44547</v>
      </c>
      <c r="G18" s="44"/>
    </row>
    <row r="19" spans="2:9">
      <c r="B19" s="25" t="s">
        <v>1377</v>
      </c>
      <c r="C19" s="103" t="s">
        <v>1369</v>
      </c>
      <c r="D19" s="103" t="s">
        <v>1375</v>
      </c>
      <c r="E19" s="52"/>
      <c r="F19" s="104">
        <v>43851</v>
      </c>
      <c r="G19" s="127">
        <v>2029</v>
      </c>
    </row>
    <row r="20" spans="2:9">
      <c r="B20" s="25" t="s">
        <v>1436</v>
      </c>
      <c r="C20" s="103" t="s">
        <v>1368</v>
      </c>
      <c r="D20" s="103" t="s">
        <v>1442</v>
      </c>
      <c r="E20" s="113" t="s">
        <v>1415</v>
      </c>
      <c r="F20" s="104">
        <v>43993</v>
      </c>
      <c r="G20" s="44"/>
    </row>
    <row r="21" spans="2:9">
      <c r="B21" s="25" t="s">
        <v>1380</v>
      </c>
      <c r="C21" s="103" t="s">
        <v>1367</v>
      </c>
      <c r="D21" s="103" t="s">
        <v>1435</v>
      </c>
      <c r="E21" s="113" t="s">
        <v>1415</v>
      </c>
      <c r="F21" s="104">
        <v>40425</v>
      </c>
      <c r="G21" s="44"/>
    </row>
    <row r="22" spans="2:9">
      <c r="B22" s="25" t="s">
        <v>1225</v>
      </c>
      <c r="C22" s="29" t="s">
        <v>1127</v>
      </c>
      <c r="D22" s="103" t="s">
        <v>1128</v>
      </c>
      <c r="E22" s="52">
        <v>1</v>
      </c>
      <c r="F22" s="104">
        <v>42243</v>
      </c>
      <c r="G22" s="94"/>
    </row>
    <row r="23" spans="2:9">
      <c r="B23" s="25" t="s">
        <v>1226</v>
      </c>
      <c r="C23" s="29" t="s">
        <v>945</v>
      </c>
      <c r="D23" s="103" t="s">
        <v>1485</v>
      </c>
      <c r="E23" s="52">
        <v>1</v>
      </c>
      <c r="F23" s="104">
        <v>41976</v>
      </c>
      <c r="G23" s="94"/>
    </row>
    <row r="24" spans="2:9" s="16" customFormat="1">
      <c r="B24" s="105" t="s">
        <v>848</v>
      </c>
      <c r="C24" s="9" t="s">
        <v>1133</v>
      </c>
      <c r="D24" s="9" t="s">
        <v>35</v>
      </c>
      <c r="E24" s="59">
        <v>1</v>
      </c>
      <c r="F24" s="9">
        <v>2008</v>
      </c>
      <c r="G24" s="106" t="s">
        <v>186</v>
      </c>
    </row>
    <row r="25" spans="2:9" s="16" customFormat="1">
      <c r="B25" s="1"/>
      <c r="C25" s="2"/>
      <c r="D25" s="2"/>
      <c r="E25" s="2"/>
      <c r="F25" s="2" t="s">
        <v>4</v>
      </c>
      <c r="G25" s="3" t="s">
        <v>880</v>
      </c>
    </row>
    <row r="26" spans="2:9" s="16" customFormat="1">
      <c r="B26" s="25" t="s">
        <v>1315</v>
      </c>
      <c r="C26" s="103" t="s">
        <v>1316</v>
      </c>
      <c r="D26" s="103" t="s">
        <v>1317</v>
      </c>
      <c r="E26" s="52"/>
      <c r="F26" s="29"/>
      <c r="G26" s="94"/>
    </row>
    <row r="27" spans="2:9" s="16" customFormat="1">
      <c r="B27" s="25" t="s">
        <v>1318</v>
      </c>
      <c r="C27" s="103" t="s">
        <v>1321</v>
      </c>
      <c r="D27" s="103" t="s">
        <v>1319</v>
      </c>
      <c r="E27" s="52"/>
      <c r="F27" s="103" t="s">
        <v>1403</v>
      </c>
      <c r="G27" s="94"/>
    </row>
    <row r="28" spans="2:9" s="16" customFormat="1">
      <c r="B28" s="25" t="s">
        <v>1320</v>
      </c>
      <c r="C28" s="103" t="s">
        <v>1322</v>
      </c>
      <c r="D28" s="103" t="s">
        <v>1510</v>
      </c>
      <c r="E28" s="52"/>
      <c r="F28" s="103" t="s">
        <v>1403</v>
      </c>
      <c r="G28" s="94"/>
    </row>
    <row r="29" spans="2:9" s="16" customFormat="1">
      <c r="B29" s="25" t="s">
        <v>1326</v>
      </c>
      <c r="C29" s="103" t="s">
        <v>1517</v>
      </c>
      <c r="D29" s="103" t="s">
        <v>1327</v>
      </c>
      <c r="E29" s="52"/>
      <c r="F29" s="103" t="s">
        <v>1403</v>
      </c>
      <c r="G29" s="94"/>
    </row>
    <row r="30" spans="2:9" s="16" customFormat="1">
      <c r="B30" s="25" t="s">
        <v>1328</v>
      </c>
      <c r="C30" s="103" t="s">
        <v>1330</v>
      </c>
      <c r="D30" s="103" t="s">
        <v>1329</v>
      </c>
      <c r="E30" s="113" t="s">
        <v>1331</v>
      </c>
      <c r="F30" s="103" t="s">
        <v>1403</v>
      </c>
      <c r="G30" s="94"/>
    </row>
    <row r="31" spans="2:9" s="16" customFormat="1">
      <c r="B31" s="25" t="s">
        <v>1323</v>
      </c>
      <c r="C31" s="103" t="s">
        <v>1324</v>
      </c>
      <c r="D31" s="103" t="s">
        <v>1325</v>
      </c>
      <c r="E31" s="52"/>
      <c r="F31" s="103" t="s">
        <v>850</v>
      </c>
      <c r="G31" s="94"/>
    </row>
    <row r="32" spans="2:9" s="16" customFormat="1">
      <c r="B32" s="25" t="s">
        <v>1335</v>
      </c>
      <c r="C32" s="103" t="s">
        <v>1336</v>
      </c>
      <c r="D32" s="103" t="s">
        <v>1337</v>
      </c>
      <c r="E32" s="113" t="s">
        <v>1491</v>
      </c>
      <c r="F32" s="29"/>
      <c r="G32" s="127" t="s">
        <v>1492</v>
      </c>
      <c r="I32" s="112" t="s">
        <v>1387</v>
      </c>
    </row>
    <row r="33" spans="2:7" s="16" customFormat="1">
      <c r="B33" s="109" t="s">
        <v>1348</v>
      </c>
      <c r="C33" s="103" t="s">
        <v>1350</v>
      </c>
      <c r="D33" s="103" t="s">
        <v>1351</v>
      </c>
      <c r="E33" s="52">
        <v>1</v>
      </c>
      <c r="F33" s="103" t="s">
        <v>1530</v>
      </c>
      <c r="G33" s="94"/>
    </row>
    <row r="34" spans="2:7" s="16" customFormat="1">
      <c r="B34" s="109" t="s">
        <v>1349</v>
      </c>
      <c r="C34" s="103" t="s">
        <v>1350</v>
      </c>
      <c r="D34" s="103" t="s">
        <v>1351</v>
      </c>
      <c r="E34" s="52">
        <v>1</v>
      </c>
      <c r="F34" s="29"/>
      <c r="G34" s="94"/>
    </row>
    <row r="35" spans="2:7" s="16" customFormat="1">
      <c r="B35" s="109" t="s">
        <v>1531</v>
      </c>
      <c r="C35" s="103" t="s">
        <v>1532</v>
      </c>
      <c r="D35" s="103" t="s">
        <v>1533</v>
      </c>
      <c r="E35" s="52">
        <v>1</v>
      </c>
      <c r="F35" s="29"/>
      <c r="G35" s="94"/>
    </row>
    <row r="36" spans="2:7" s="16" customFormat="1">
      <c r="B36" s="109" t="s">
        <v>1338</v>
      </c>
      <c r="C36" s="103" t="s">
        <v>1339</v>
      </c>
      <c r="D36" s="103" t="s">
        <v>1493</v>
      </c>
      <c r="E36" s="113" t="s">
        <v>1449</v>
      </c>
      <c r="F36" s="103" t="s">
        <v>850</v>
      </c>
      <c r="G36" s="94"/>
    </row>
    <row r="37" spans="2:7" s="16" customFormat="1">
      <c r="B37" s="109" t="s">
        <v>1340</v>
      </c>
      <c r="C37" s="103" t="s">
        <v>1342</v>
      </c>
      <c r="D37" s="103" t="s">
        <v>1341</v>
      </c>
      <c r="E37" s="52"/>
      <c r="F37" s="103" t="s">
        <v>1403</v>
      </c>
      <c r="G37" s="94"/>
    </row>
    <row r="38" spans="2:7" s="16" customFormat="1">
      <c r="B38" s="109" t="s">
        <v>1343</v>
      </c>
      <c r="C38" s="103" t="s">
        <v>1446</v>
      </c>
      <c r="D38" s="103" t="s">
        <v>1344</v>
      </c>
      <c r="E38" s="52"/>
      <c r="F38" s="103" t="s">
        <v>850</v>
      </c>
      <c r="G38" s="94"/>
    </row>
    <row r="39" spans="2:7" s="16" customFormat="1">
      <c r="B39" s="109" t="s">
        <v>1332</v>
      </c>
      <c r="C39" s="103" t="s">
        <v>1334</v>
      </c>
      <c r="D39" s="103" t="s">
        <v>1333</v>
      </c>
      <c r="E39" s="52"/>
      <c r="F39" s="29"/>
      <c r="G39" s="94"/>
    </row>
    <row r="40" spans="2:7" s="16" customFormat="1">
      <c r="B40" s="109" t="s">
        <v>1345</v>
      </c>
      <c r="C40" s="103" t="s">
        <v>1445</v>
      </c>
      <c r="D40" s="103" t="s">
        <v>1346</v>
      </c>
      <c r="E40" s="52"/>
      <c r="F40" s="103" t="s">
        <v>850</v>
      </c>
      <c r="G40" s="94"/>
    </row>
    <row r="41" spans="2:7" s="16" customFormat="1">
      <c r="B41" s="25" t="s">
        <v>219</v>
      </c>
      <c r="C41" s="6" t="s">
        <v>928</v>
      </c>
      <c r="D41" s="6" t="s">
        <v>875</v>
      </c>
      <c r="E41" s="12">
        <v>1</v>
      </c>
      <c r="F41" s="6" t="s">
        <v>850</v>
      </c>
      <c r="G41" s="24"/>
    </row>
    <row r="42" spans="2:7" s="16" customFormat="1">
      <c r="B42" s="25" t="s">
        <v>216</v>
      </c>
      <c r="C42" s="6" t="s">
        <v>562</v>
      </c>
      <c r="D42" s="6" t="s">
        <v>877</v>
      </c>
      <c r="E42" s="12">
        <v>1</v>
      </c>
      <c r="F42" s="29" t="s">
        <v>850</v>
      </c>
      <c r="G42" s="24"/>
    </row>
    <row r="43" spans="2:7">
      <c r="B43" s="5" t="s">
        <v>66</v>
      </c>
      <c r="C43" s="6" t="s">
        <v>95</v>
      </c>
      <c r="D43" s="6" t="s">
        <v>878</v>
      </c>
      <c r="E43" s="52" t="s">
        <v>83</v>
      </c>
      <c r="F43" s="95" t="s">
        <v>850</v>
      </c>
      <c r="G43" s="24" t="s">
        <v>561</v>
      </c>
    </row>
    <row r="44" spans="2:7">
      <c r="B44" s="68" t="s">
        <v>1139</v>
      </c>
      <c r="C44" s="29" t="s">
        <v>218</v>
      </c>
      <c r="D44" s="29" t="s">
        <v>1140</v>
      </c>
      <c r="E44" s="52">
        <v>1</v>
      </c>
      <c r="F44" s="95" t="s">
        <v>850</v>
      </c>
      <c r="G44" s="24"/>
    </row>
    <row r="45" spans="2:7">
      <c r="B45" s="5" t="s">
        <v>351</v>
      </c>
      <c r="C45" s="6" t="s">
        <v>352</v>
      </c>
      <c r="D45" s="6" t="s">
        <v>110</v>
      </c>
      <c r="E45" s="52" t="s">
        <v>1060</v>
      </c>
      <c r="F45" s="6">
        <v>1</v>
      </c>
      <c r="G45" s="24" t="s">
        <v>94</v>
      </c>
    </row>
    <row r="46" spans="2:7">
      <c r="B46" s="25" t="s">
        <v>31</v>
      </c>
      <c r="C46" s="29" t="s">
        <v>1062</v>
      </c>
      <c r="D46" s="29" t="s">
        <v>1059</v>
      </c>
      <c r="E46" s="52">
        <v>1</v>
      </c>
      <c r="F46" s="6" t="s">
        <v>850</v>
      </c>
      <c r="G46" s="24"/>
    </row>
    <row r="47" spans="2:7" ht="13">
      <c r="B47" s="64" t="s">
        <v>217</v>
      </c>
      <c r="C47" s="36" t="s">
        <v>218</v>
      </c>
      <c r="D47" s="36" t="s">
        <v>876</v>
      </c>
      <c r="E47" s="34">
        <v>1</v>
      </c>
      <c r="F47" s="36" t="s">
        <v>850</v>
      </c>
      <c r="G47" s="65"/>
    </row>
    <row r="48" spans="2:7">
      <c r="B48" s="5" t="s">
        <v>125</v>
      </c>
      <c r="C48" s="6" t="s">
        <v>32</v>
      </c>
      <c r="D48" s="6" t="s">
        <v>488</v>
      </c>
      <c r="E48" s="6" t="s">
        <v>768</v>
      </c>
      <c r="F48" s="6" t="s">
        <v>769</v>
      </c>
      <c r="G48" s="24"/>
    </row>
    <row r="49" spans="2:7">
      <c r="B49" s="109" t="s">
        <v>1401</v>
      </c>
      <c r="C49" s="103" t="s">
        <v>1402</v>
      </c>
      <c r="D49" s="103" t="s">
        <v>997</v>
      </c>
      <c r="E49" s="6"/>
      <c r="F49" s="103" t="s">
        <v>769</v>
      </c>
      <c r="G49" s="24"/>
    </row>
    <row r="50" spans="2:7" s="23" customFormat="1" ht="13">
      <c r="B50" s="5" t="s">
        <v>67</v>
      </c>
      <c r="C50" s="6" t="s">
        <v>563</v>
      </c>
      <c r="D50" s="6" t="s">
        <v>997</v>
      </c>
      <c r="E50" s="4"/>
      <c r="F50" s="6">
        <v>1</v>
      </c>
      <c r="G50" s="24"/>
    </row>
    <row r="51" spans="2:7">
      <c r="B51" s="5" t="s">
        <v>67</v>
      </c>
      <c r="C51" s="6" t="s">
        <v>30</v>
      </c>
      <c r="E51" s="6" t="s">
        <v>678</v>
      </c>
      <c r="F51" s="6">
        <v>1</v>
      </c>
      <c r="G51" s="24"/>
    </row>
    <row r="52" spans="2:7">
      <c r="B52" s="25" t="s">
        <v>781</v>
      </c>
      <c r="C52" s="6" t="s">
        <v>562</v>
      </c>
      <c r="D52" s="6" t="s">
        <v>782</v>
      </c>
      <c r="E52" s="12">
        <v>1</v>
      </c>
      <c r="F52" s="6" t="s">
        <v>769</v>
      </c>
      <c r="G52" s="24" t="s">
        <v>783</v>
      </c>
    </row>
    <row r="53" spans="2:7">
      <c r="B53" s="5" t="s">
        <v>784</v>
      </c>
      <c r="C53" s="6" t="s">
        <v>785</v>
      </c>
      <c r="D53" s="6" t="s">
        <v>923</v>
      </c>
      <c r="E53" s="12">
        <v>1</v>
      </c>
      <c r="F53" s="6" t="s">
        <v>769</v>
      </c>
      <c r="G53" s="24"/>
    </row>
    <row r="54" spans="2:7">
      <c r="B54" s="5" t="s">
        <v>131</v>
      </c>
      <c r="C54" s="6" t="s">
        <v>215</v>
      </c>
      <c r="D54" s="6" t="s">
        <v>132</v>
      </c>
      <c r="F54" s="6">
        <v>1</v>
      </c>
      <c r="G54" s="24"/>
    </row>
    <row r="55" spans="2:7">
      <c r="B55" s="5" t="s">
        <v>535</v>
      </c>
      <c r="E55" s="6" t="s">
        <v>536</v>
      </c>
      <c r="F55" s="6" t="s">
        <v>850</v>
      </c>
      <c r="G55" s="24"/>
    </row>
    <row r="56" spans="2:7">
      <c r="B56" s="5" t="s">
        <v>65</v>
      </c>
      <c r="C56" s="6" t="s">
        <v>805</v>
      </c>
      <c r="D56" s="6" t="s">
        <v>879</v>
      </c>
      <c r="F56" s="6">
        <v>2</v>
      </c>
      <c r="G56" s="24" t="s">
        <v>559</v>
      </c>
    </row>
    <row r="57" spans="2:7">
      <c r="B57" s="25" t="s">
        <v>108</v>
      </c>
      <c r="C57" s="6" t="s">
        <v>109</v>
      </c>
      <c r="D57" s="6" t="s">
        <v>550</v>
      </c>
      <c r="E57" s="6" t="s">
        <v>43</v>
      </c>
      <c r="F57" s="29" t="s">
        <v>769</v>
      </c>
      <c r="G57" s="24"/>
    </row>
    <row r="58" spans="2:7">
      <c r="B58" s="8" t="s">
        <v>51</v>
      </c>
      <c r="C58" s="9" t="s">
        <v>563</v>
      </c>
      <c r="D58" s="9" t="s">
        <v>52</v>
      </c>
      <c r="E58" s="59">
        <v>1</v>
      </c>
      <c r="F58" s="9" t="s">
        <v>769</v>
      </c>
      <c r="G58" s="17"/>
    </row>
    <row r="60" spans="2:7" ht="13">
      <c r="B60" s="14"/>
      <c r="E60" s="23" t="s">
        <v>54</v>
      </c>
      <c r="F60" s="23"/>
    </row>
    <row r="61" spans="2:7" ht="13">
      <c r="B61" s="16"/>
      <c r="E61" s="23" t="s">
        <v>468</v>
      </c>
      <c r="F61" s="23"/>
    </row>
    <row r="62" spans="2:7" ht="13">
      <c r="B62" s="16"/>
      <c r="E62" s="23" t="s">
        <v>514</v>
      </c>
      <c r="F62" s="33"/>
    </row>
    <row r="63" spans="2:7" ht="13">
      <c r="E63" s="23" t="s">
        <v>317</v>
      </c>
      <c r="F63" s="23"/>
    </row>
    <row r="64" spans="2:7" ht="13">
      <c r="B64" s="16"/>
      <c r="E64" s="23" t="s">
        <v>53</v>
      </c>
      <c r="F64" s="23"/>
    </row>
    <row r="65" spans="2:6" ht="13">
      <c r="E65" s="23" t="s">
        <v>515</v>
      </c>
      <c r="F65" s="23"/>
    </row>
    <row r="66" spans="2:6" ht="13">
      <c r="B66" s="14"/>
      <c r="E66" s="23" t="s">
        <v>819</v>
      </c>
      <c r="F66" s="33"/>
    </row>
    <row r="67" spans="2:6" ht="13">
      <c r="B67" s="14"/>
      <c r="E67" s="4" t="s">
        <v>332</v>
      </c>
      <c r="F67" s="23"/>
    </row>
    <row r="68" spans="2:6" ht="13">
      <c r="E68" s="4" t="s">
        <v>883</v>
      </c>
      <c r="F68" s="23"/>
    </row>
    <row r="69" spans="2:6" ht="13">
      <c r="E69" s="23" t="s">
        <v>990</v>
      </c>
    </row>
    <row r="70" spans="2:6" ht="13">
      <c r="E70" s="4" t="s">
        <v>991</v>
      </c>
      <c r="F70" s="23"/>
    </row>
    <row r="71" spans="2:6" ht="13">
      <c r="E71" s="23" t="s">
        <v>992</v>
      </c>
    </row>
    <row r="72" spans="2:6" ht="13">
      <c r="E72" s="23" t="s">
        <v>767</v>
      </c>
    </row>
    <row r="73" spans="2:6" ht="13">
      <c r="E73" s="23" t="s">
        <v>124</v>
      </c>
      <c r="F73" s="23"/>
    </row>
    <row r="74" spans="2:6" ht="13">
      <c r="E74" s="23" t="s">
        <v>1003</v>
      </c>
    </row>
    <row r="75" spans="2:6" ht="13">
      <c r="E75" s="23" t="s">
        <v>557</v>
      </c>
      <c r="F75" s="23"/>
    </row>
    <row r="76" spans="2:6" ht="13">
      <c r="E76" s="33" t="s">
        <v>886</v>
      </c>
      <c r="F76" s="23"/>
    </row>
    <row r="77" spans="2:6" ht="13">
      <c r="E77" s="23" t="s">
        <v>29</v>
      </c>
      <c r="F77" s="23"/>
    </row>
    <row r="78" spans="2:6" ht="13">
      <c r="B78" s="4" t="s">
        <v>415</v>
      </c>
      <c r="E78" s="23" t="s">
        <v>641</v>
      </c>
      <c r="F78" s="23"/>
    </row>
    <row r="79" spans="2:6" ht="13">
      <c r="E79" s="23" t="s">
        <v>887</v>
      </c>
      <c r="F79" s="33"/>
    </row>
    <row r="80" spans="2:6" ht="13">
      <c r="E80" s="23" t="s">
        <v>481</v>
      </c>
      <c r="F80" s="23"/>
    </row>
    <row r="81" spans="5:6" ht="13">
      <c r="E81" s="23" t="s">
        <v>480</v>
      </c>
      <c r="F81" s="23"/>
    </row>
    <row r="82" spans="5:6" ht="13">
      <c r="E82" s="23" t="s">
        <v>726</v>
      </c>
      <c r="F82" s="23"/>
    </row>
    <row r="83" spans="5:6" ht="13">
      <c r="E83" s="23" t="s">
        <v>616</v>
      </c>
      <c r="F83" s="23"/>
    </row>
    <row r="84" spans="5:6" ht="13">
      <c r="E84" s="23" t="s">
        <v>973</v>
      </c>
    </row>
    <row r="85" spans="5:6" ht="13">
      <c r="E85" s="23" t="s">
        <v>762</v>
      </c>
    </row>
    <row r="86" spans="5:6" ht="13">
      <c r="E86" s="23" t="s">
        <v>38</v>
      </c>
    </row>
    <row r="87" spans="5:6" ht="13">
      <c r="E87" s="23" t="s">
        <v>1013</v>
      </c>
    </row>
    <row r="88" spans="5:6" ht="13">
      <c r="E88" s="23" t="s">
        <v>295</v>
      </c>
    </row>
    <row r="89" spans="5:6">
      <c r="E89" s="4" t="s">
        <v>938</v>
      </c>
    </row>
    <row r="90" spans="5:6" ht="13">
      <c r="E90" s="23" t="s">
        <v>685</v>
      </c>
    </row>
    <row r="91" spans="5:6" ht="13">
      <c r="E91" s="23" t="s">
        <v>1073</v>
      </c>
    </row>
    <row r="92" spans="5:6" ht="13">
      <c r="E92" s="23" t="s">
        <v>1065</v>
      </c>
    </row>
    <row r="93" spans="5:6" ht="13">
      <c r="E93" s="23" t="s">
        <v>1044</v>
      </c>
    </row>
    <row r="94" spans="5:6" ht="13">
      <c r="E94" s="23" t="s">
        <v>1051</v>
      </c>
    </row>
    <row r="95" spans="5:6" ht="13">
      <c r="E95" s="23" t="s">
        <v>1061</v>
      </c>
    </row>
    <row r="96" spans="5:6">
      <c r="E96" s="16" t="s">
        <v>1089</v>
      </c>
    </row>
    <row r="97" spans="5:5">
      <c r="E97" s="16" t="s">
        <v>1090</v>
      </c>
    </row>
    <row r="98" spans="5:5">
      <c r="E98" s="112" t="s">
        <v>1384</v>
      </c>
    </row>
    <row r="99" spans="5:5">
      <c r="E99" s="112" t="s">
        <v>1383</v>
      </c>
    </row>
    <row r="100" spans="5:5">
      <c r="E100" s="4" t="s">
        <v>1209</v>
      </c>
    </row>
    <row r="101" spans="5:5">
      <c r="E101" s="4" t="s">
        <v>1199</v>
      </c>
    </row>
    <row r="102" spans="5:5">
      <c r="E102" s="4" t="s">
        <v>1200</v>
      </c>
    </row>
    <row r="103" spans="5:5">
      <c r="E103" s="112" t="s">
        <v>1382</v>
      </c>
    </row>
    <row r="104" spans="5:5">
      <c r="E104" s="112" t="s">
        <v>1311</v>
      </c>
    </row>
    <row r="105" spans="5:5">
      <c r="E105" s="112" t="s">
        <v>1366</v>
      </c>
    </row>
    <row r="106" spans="5:5">
      <c r="E106" s="112" t="s">
        <v>1386</v>
      </c>
    </row>
    <row r="107" spans="5:5" ht="13">
      <c r="E107" s="23" t="s">
        <v>1385</v>
      </c>
    </row>
  </sheetData>
  <phoneticPr fontId="3" type="noConversion"/>
  <hyperlinks>
    <hyperlink ref="B7" location="Vectibix!A1" display="Vectibix (panitumumab)" xr:uid="{00000000-0004-0000-0000-000000000000}"/>
    <hyperlink ref="B9" location="Denosumab!A1" display="Denosumab (AMG162)" xr:uid="{00000000-0004-0000-0000-000001000000}"/>
    <hyperlink ref="B42"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Nplate!A1" display="Nplate (romiplostim)" xr:uid="{00000000-0004-0000-0000-000006000000}"/>
    <hyperlink ref="B41"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6" location="'655'!A1" display="AMG655" xr:uid="{00000000-0004-0000-0000-000010000000}"/>
    <hyperlink ref="B8" location="Lumakras!A1" display="Lumakras (sotorasib)" xr:uid="{9E5CC73F-416C-46F7-923B-50F6862D49CD}"/>
    <hyperlink ref="B26" location="'maridebart cafraglutide'!A1" display="maridebart cafraglutide" xr:uid="{05EC14C3-B750-48ED-B70C-5E0E1896131E}"/>
    <hyperlink ref="B22" location="Repatha!A1" display="Repatha (evolocumab)" xr:uid="{FF9CA732-B11D-45CD-AEA3-2F1EFDD332C4}"/>
    <hyperlink ref="B15" location="Tavneos!A1" display="Tavneos (avacopan)" xr:uid="{4CB933C1-8334-47E1-A223-C6FCDB4F8CD7}"/>
    <hyperlink ref="B19" location="Tepezza!A1" display="Tepezza (teprotumumab)" xr:uid="{ED0EC6B7-8CEC-4576-B64A-07FA9602938D}"/>
    <hyperlink ref="B21" location="Krystexxa!A1" display="Krystexxa (pegloticase)" xr:uid="{E01FAA30-4EEF-486C-BEA6-6F9E5A71971B}"/>
    <hyperlink ref="B20" location="Uplizna!A1" display="Uplizna (inebilizumab)" xr:uid="{3F0363E0-8F1F-4907-9684-8ADF32D110BE}"/>
    <hyperlink ref="B18" location="Tezspire!A1" display="Tezspire (tezepelumab)" xr:uid="{DF607FB4-8B43-40E1-8E8F-D5D743BB39F2}"/>
    <hyperlink ref="B30" location="rocatinlimab!A1" display="AMG451/KHK4083 (rocatinlimab)" xr:uid="{01544069-36CC-46F0-9ABC-0849B2A1870E}"/>
    <hyperlink ref="B16" location="Otezla!A1" display="Otezla (apremilast)" xr:uid="{C6264FBD-967B-4BB4-A2D7-DE0983D2D566}"/>
    <hyperlink ref="B23" location="Blincyto!A1" display="Blincyto (blinatumomab)" xr:uid="{27A913BD-0C8E-4F99-8835-B4534E21EB2E}"/>
    <hyperlink ref="B17" location="Imdelltra!A1" display="Imdelltra (tarlatamab)" xr:uid="{78D2B0A2-6A66-4AD3-8E3C-9A39B2477F08}"/>
    <hyperlink ref="B27" location="olpasiran!A1" display="AMG890 (olpasiran)" xr:uid="{4C4F8825-9D68-49A4-A30C-AEC2D3D0D228}"/>
    <hyperlink ref="B28" location="xaluritamig!A1" display="AMG509 (xaluritamig)" xr:uid="{BC277136-DC46-40A2-99BE-FEBE1D446FE2}"/>
    <hyperlink ref="B29" location="bemarituzumab!A1" display="bemarituzumab" xr:uid="{30747E5C-5E2A-4C58-AED6-3360D6EA8BEA}"/>
    <hyperlink ref="B31" location="'193'!A1" display="AMG193" xr:uid="{F32D02B8-EC2B-4693-841E-484DCF003EFD}"/>
    <hyperlink ref="B32" location="'714'!A1" display="AMG714 (ordesekimab)" xr:uid="{B72BB7A9-EC67-4CB7-A43D-0CD136FA0D81}"/>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FC1-5E88-4BEB-BBEA-40A66B2876E7}">
  <dimension ref="A1:C20"/>
  <sheetViews>
    <sheetView zoomScale="160" zoomScaleNormal="160" workbookViewId="0"/>
  </sheetViews>
  <sheetFormatPr defaultRowHeight="12.5"/>
  <cols>
    <col min="1" max="1" width="4.6328125" bestFit="1" customWidth="1"/>
    <col min="2" max="2" width="11.26953125" bestFit="1" customWidth="1"/>
  </cols>
  <sheetData>
    <row r="1" spans="1:3">
      <c r="A1" s="11" t="s">
        <v>5</v>
      </c>
    </row>
    <row r="2" spans="1:3">
      <c r="B2" t="s">
        <v>1201</v>
      </c>
      <c r="C2" t="s">
        <v>1460</v>
      </c>
    </row>
    <row r="3" spans="1:3">
      <c r="B3" t="s">
        <v>1210</v>
      </c>
      <c r="C3" s="131" t="s">
        <v>1459</v>
      </c>
    </row>
    <row r="4" spans="1:3">
      <c r="B4" t="s">
        <v>3</v>
      </c>
      <c r="C4" t="s">
        <v>1461</v>
      </c>
    </row>
    <row r="5" spans="1:3">
      <c r="B5" t="s">
        <v>1202</v>
      </c>
      <c r="C5" t="s">
        <v>1329</v>
      </c>
    </row>
    <row r="6" spans="1:3">
      <c r="B6" t="s">
        <v>6</v>
      </c>
      <c r="C6" t="s">
        <v>1462</v>
      </c>
    </row>
    <row r="7" spans="1:3">
      <c r="B7" t="s">
        <v>322</v>
      </c>
    </row>
    <row r="8" spans="1:3" ht="13">
      <c r="C8" s="48" t="s">
        <v>1463</v>
      </c>
    </row>
    <row r="10" spans="1:3" ht="13">
      <c r="C10" s="48" t="s">
        <v>1464</v>
      </c>
    </row>
    <row r="12" spans="1:3" ht="13">
      <c r="C12" s="48" t="s">
        <v>1465</v>
      </c>
    </row>
    <row r="14" spans="1:3" ht="13">
      <c r="C14" s="48" t="s">
        <v>1466</v>
      </c>
    </row>
    <row r="16" spans="1:3" ht="13">
      <c r="C16" s="48" t="s">
        <v>1467</v>
      </c>
    </row>
    <row r="18" spans="3:3" ht="13">
      <c r="C18" s="48" t="s">
        <v>1468</v>
      </c>
    </row>
    <row r="20" spans="3:3" ht="13">
      <c r="C20" s="48" t="s">
        <v>1469</v>
      </c>
    </row>
  </sheetData>
  <hyperlinks>
    <hyperlink ref="A1" location="Main!A1" display="Main" xr:uid="{FE839372-0733-477A-BE2B-02C9D28D7E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599</v>
      </c>
    </row>
    <row r="3" spans="1:3">
      <c r="B3" s="4" t="s">
        <v>287</v>
      </c>
      <c r="C3" s="4" t="s">
        <v>1026</v>
      </c>
    </row>
    <row r="4" spans="1:3">
      <c r="B4" s="4" t="s">
        <v>3</v>
      </c>
      <c r="C4" s="4" t="s">
        <v>1024</v>
      </c>
    </row>
    <row r="5" spans="1:3">
      <c r="B5" s="4" t="s">
        <v>806</v>
      </c>
      <c r="C5" s="4" t="s">
        <v>1025</v>
      </c>
    </row>
    <row r="6" spans="1:3">
      <c r="B6" s="4" t="s">
        <v>7</v>
      </c>
      <c r="C6" s="4" t="s">
        <v>673</v>
      </c>
    </row>
    <row r="7" spans="1:3">
      <c r="B7" s="4" t="s">
        <v>322</v>
      </c>
    </row>
    <row r="9" spans="1:3">
      <c r="B9" s="4" t="s">
        <v>308</v>
      </c>
    </row>
    <row r="11" spans="1:3" ht="13">
      <c r="C11" s="22" t="s">
        <v>1022</v>
      </c>
    </row>
    <row r="12" spans="1:3">
      <c r="C12" s="4" t="s">
        <v>1023</v>
      </c>
    </row>
    <row r="13" spans="1:3">
      <c r="C13" s="4" t="s">
        <v>779</v>
      </c>
    </row>
    <row r="14" spans="1:3">
      <c r="C14" s="4" t="s">
        <v>780</v>
      </c>
    </row>
    <row r="16" spans="1:3" ht="13">
      <c r="C16" s="22" t="s">
        <v>162</v>
      </c>
    </row>
    <row r="17" spans="3:4">
      <c r="C17" s="4" t="s">
        <v>163</v>
      </c>
    </row>
    <row r="19" spans="3:4" ht="13">
      <c r="D19" s="22" t="s">
        <v>306</v>
      </c>
    </row>
    <row r="20" spans="3:4">
      <c r="D20" s="4" t="s">
        <v>307</v>
      </c>
    </row>
    <row r="22" spans="3:4" ht="13">
      <c r="D22" s="22" t="s">
        <v>310</v>
      </c>
    </row>
    <row r="23" spans="3:4">
      <c r="D23" s="4" t="s">
        <v>855</v>
      </c>
    </row>
    <row r="25" spans="3:4" ht="13">
      <c r="D25" s="22" t="s">
        <v>853</v>
      </c>
    </row>
    <row r="26" spans="3:4">
      <c r="D26" s="4" t="s">
        <v>854</v>
      </c>
    </row>
    <row r="28" spans="3:4" ht="13">
      <c r="C28" s="22" t="s">
        <v>856</v>
      </c>
    </row>
    <row r="29" spans="3:4">
      <c r="C29" s="4" t="s">
        <v>857</v>
      </c>
    </row>
    <row r="31" spans="3:4" ht="13">
      <c r="C31" s="22" t="s">
        <v>858</v>
      </c>
    </row>
    <row r="32" spans="3:4">
      <c r="C32" s="16" t="s">
        <v>859</v>
      </c>
    </row>
    <row r="33" spans="3:4">
      <c r="D33" s="16"/>
    </row>
    <row r="34" spans="3:4" ht="13">
      <c r="D34" s="22" t="s">
        <v>185</v>
      </c>
    </row>
    <row r="35" spans="3:4">
      <c r="D35" s="4" t="s">
        <v>733</v>
      </c>
    </row>
    <row r="37" spans="3:4" ht="13">
      <c r="D37" s="22" t="s">
        <v>734</v>
      </c>
    </row>
    <row r="38" spans="3:4">
      <c r="D38" s="16" t="s">
        <v>735</v>
      </c>
    </row>
    <row r="39" spans="3:4">
      <c r="D39" s="16"/>
    </row>
    <row r="40" spans="3:4" ht="13">
      <c r="D40" s="22" t="s">
        <v>736</v>
      </c>
    </row>
    <row r="41" spans="3:4">
      <c r="D41" s="16" t="s">
        <v>847</v>
      </c>
    </row>
    <row r="42" spans="3:4" ht="13">
      <c r="D42" s="22"/>
    </row>
    <row r="43" spans="3:4" ht="13">
      <c r="C43" s="22" t="s">
        <v>196</v>
      </c>
    </row>
    <row r="44" spans="3:4">
      <c r="C44" s="16" t="s">
        <v>197</v>
      </c>
    </row>
    <row r="45" spans="3:4">
      <c r="D45" s="16"/>
    </row>
    <row r="46" spans="3:4" ht="13">
      <c r="C46" s="22" t="s">
        <v>198</v>
      </c>
    </row>
    <row r="47" spans="3:4">
      <c r="C47" s="16" t="s">
        <v>199</v>
      </c>
    </row>
    <row r="48" spans="3:4" ht="13">
      <c r="D48" s="22"/>
    </row>
    <row r="49" spans="3:4" ht="13">
      <c r="D49" s="22" t="s">
        <v>200</v>
      </c>
    </row>
    <row r="50" spans="3:4">
      <c r="D50" s="16" t="s">
        <v>201</v>
      </c>
    </row>
    <row r="51" spans="3:4">
      <c r="D51" s="16"/>
    </row>
    <row r="52" spans="3:4" ht="13">
      <c r="D52" s="22" t="s">
        <v>202</v>
      </c>
    </row>
    <row r="53" spans="3:4">
      <c r="D53" s="16" t="s">
        <v>203</v>
      </c>
    </row>
    <row r="54" spans="3:4" ht="13">
      <c r="D54" s="22"/>
    </row>
    <row r="55" spans="3:4" ht="13">
      <c r="D55" s="22" t="s">
        <v>204</v>
      </c>
    </row>
    <row r="56" spans="3:4">
      <c r="D56" s="16" t="s">
        <v>205</v>
      </c>
    </row>
    <row r="57" spans="3:4">
      <c r="D57" s="16"/>
    </row>
    <row r="58" spans="3:4" ht="13">
      <c r="C58" s="22" t="s">
        <v>206</v>
      </c>
    </row>
    <row r="59" spans="3:4">
      <c r="C59" s="16" t="s">
        <v>207</v>
      </c>
    </row>
    <row r="60" spans="3:4">
      <c r="D60" s="16"/>
    </row>
    <row r="61" spans="3:4" ht="13">
      <c r="C61" s="22" t="s">
        <v>915</v>
      </c>
    </row>
    <row r="62" spans="3:4">
      <c r="C62" s="16" t="s">
        <v>916</v>
      </c>
    </row>
    <row r="63" spans="3:4">
      <c r="D63" s="16"/>
    </row>
    <row r="64" spans="3:4" ht="13">
      <c r="C64" s="22" t="s">
        <v>917</v>
      </c>
    </row>
    <row r="65" spans="2:4">
      <c r="C65" s="16" t="s">
        <v>250</v>
      </c>
    </row>
    <row r="66" spans="2:4">
      <c r="C66" s="16"/>
    </row>
    <row r="67" spans="2:4" ht="13">
      <c r="C67" s="22" t="s">
        <v>773</v>
      </c>
    </row>
    <row r="68" spans="2:4">
      <c r="C68" s="16" t="s">
        <v>774</v>
      </c>
    </row>
    <row r="69" spans="2:4" ht="13">
      <c r="B69" s="4" t="s">
        <v>309</v>
      </c>
      <c r="D69" s="22"/>
    </row>
    <row r="71" spans="2:4" ht="13">
      <c r="C71" s="22" t="s">
        <v>159</v>
      </c>
    </row>
    <row r="72" spans="2:4" ht="13">
      <c r="C72" s="22" t="s">
        <v>160</v>
      </c>
    </row>
    <row r="73" spans="2:4">
      <c r="C73" s="16" t="s">
        <v>161</v>
      </c>
    </row>
    <row r="75" spans="2:4" ht="13">
      <c r="C75" s="22" t="s">
        <v>157</v>
      </c>
    </row>
    <row r="76" spans="2:4">
      <c r="C76" s="16" t="s">
        <v>158</v>
      </c>
    </row>
    <row r="78" spans="2:4" ht="13">
      <c r="C78" s="22" t="s">
        <v>517</v>
      </c>
    </row>
    <row r="79" spans="2:4">
      <c r="C79" s="4" t="s">
        <v>518</v>
      </c>
    </row>
    <row r="81" spans="3:3" ht="13">
      <c r="C81" s="22" t="s">
        <v>388</v>
      </c>
    </row>
    <row r="82" spans="3:3">
      <c r="C82" s="4" t="s">
        <v>389</v>
      </c>
    </row>
    <row r="84" spans="3:3" ht="13">
      <c r="C84" s="22" t="s">
        <v>390</v>
      </c>
    </row>
    <row r="85" spans="3:3">
      <c r="C85" s="4" t="s">
        <v>391</v>
      </c>
    </row>
    <row r="87" spans="3:3" ht="13">
      <c r="C87" s="22" t="s">
        <v>155</v>
      </c>
    </row>
    <row r="88" spans="3:3">
      <c r="C88" s="4" t="s">
        <v>156</v>
      </c>
    </row>
    <row r="90" spans="3:3" ht="13">
      <c r="C90" s="22" t="s">
        <v>251</v>
      </c>
    </row>
    <row r="91" spans="3:3">
      <c r="C91" s="4" t="s">
        <v>252</v>
      </c>
    </row>
    <row r="93" spans="3:3" ht="13">
      <c r="C93" s="22" t="s">
        <v>359</v>
      </c>
    </row>
    <row r="94" spans="3:3">
      <c r="C94" s="4" t="s">
        <v>360</v>
      </c>
    </row>
    <row r="96" spans="3:3" ht="13">
      <c r="C96" s="22" t="s">
        <v>361</v>
      </c>
    </row>
    <row r="97" spans="3:3">
      <c r="C97" s="4" t="s">
        <v>475</v>
      </c>
    </row>
    <row r="99" spans="3:3" ht="13">
      <c r="C99" s="22" t="s">
        <v>0</v>
      </c>
    </row>
    <row r="100" spans="3:3">
      <c r="C100" s="4" t="s">
        <v>1</v>
      </c>
    </row>
    <row r="102" spans="3:3" ht="13">
      <c r="C102" s="22" t="s">
        <v>771</v>
      </c>
    </row>
    <row r="103" spans="3:3">
      <c r="C103" s="4" t="s">
        <v>772</v>
      </c>
    </row>
    <row r="105" spans="3:3" ht="13">
      <c r="C105" s="22" t="s">
        <v>775</v>
      </c>
    </row>
    <row r="106" spans="3:3">
      <c r="C106" s="4" t="s">
        <v>776</v>
      </c>
    </row>
    <row r="108" spans="3:3" ht="13">
      <c r="C108" s="22" t="s">
        <v>777</v>
      </c>
    </row>
    <row r="109" spans="3:3">
      <c r="C109" s="4" t="s">
        <v>778</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796875" defaultRowHeight="12.5"/>
  <cols>
    <col min="1" max="1" width="5" style="4" bestFit="1" customWidth="1"/>
    <col min="2" max="2" width="14.1796875" style="4" bestFit="1" customWidth="1"/>
    <col min="3" max="16384" width="9.1796875" style="4"/>
  </cols>
  <sheetData>
    <row r="1" spans="1:3">
      <c r="A1" s="10" t="s">
        <v>5</v>
      </c>
    </row>
    <row r="2" spans="1:3">
      <c r="B2" s="4" t="s">
        <v>286</v>
      </c>
      <c r="C2" s="4" t="s">
        <v>598</v>
      </c>
    </row>
    <row r="3" spans="1:3">
      <c r="B3" s="4" t="s">
        <v>287</v>
      </c>
      <c r="C3" s="4" t="s">
        <v>25</v>
      </c>
    </row>
    <row r="4" spans="1:3">
      <c r="B4" s="4" t="s">
        <v>981</v>
      </c>
      <c r="C4" s="4" t="s">
        <v>580</v>
      </c>
    </row>
    <row r="5" spans="1:3">
      <c r="B5" s="4" t="s">
        <v>357</v>
      </c>
      <c r="C5" s="4" t="s">
        <v>581</v>
      </c>
    </row>
    <row r="6" spans="1:3">
      <c r="B6" s="4" t="s">
        <v>3</v>
      </c>
      <c r="C6" s="4" t="s">
        <v>17</v>
      </c>
    </row>
    <row r="7" spans="1:3">
      <c r="B7" s="4" t="s">
        <v>112</v>
      </c>
      <c r="C7" s="4" t="s">
        <v>19</v>
      </c>
    </row>
    <row r="8" spans="1:3">
      <c r="B8" s="4" t="s">
        <v>18</v>
      </c>
      <c r="C8" s="4" t="s">
        <v>472</v>
      </c>
    </row>
    <row r="9" spans="1:3">
      <c r="B9" s="4" t="s">
        <v>728</v>
      </c>
      <c r="C9" s="4" t="s">
        <v>496</v>
      </c>
    </row>
    <row r="10" spans="1:3">
      <c r="B10" s="4" t="s">
        <v>441</v>
      </c>
      <c r="C10" s="4" t="s">
        <v>614</v>
      </c>
    </row>
    <row r="11" spans="1:3">
      <c r="C11" s="4" t="s">
        <v>582</v>
      </c>
    </row>
    <row r="12" spans="1:3">
      <c r="B12" s="4" t="s">
        <v>10</v>
      </c>
      <c r="C12" s="4" t="s">
        <v>24</v>
      </c>
    </row>
    <row r="13" spans="1:3">
      <c r="C13" s="4" t="s">
        <v>26</v>
      </c>
    </row>
    <row r="14" spans="1:3">
      <c r="C14" s="4" t="s">
        <v>412</v>
      </c>
    </row>
    <row r="15" spans="1:3">
      <c r="C15" s="4" t="s">
        <v>471</v>
      </c>
    </row>
    <row r="16" spans="1:3">
      <c r="C16" s="4" t="s">
        <v>473</v>
      </c>
    </row>
    <row r="17" spans="2:6">
      <c r="D17" s="4" t="s">
        <v>1014</v>
      </c>
    </row>
    <row r="18" spans="2:6">
      <c r="B18" s="4" t="s">
        <v>1002</v>
      </c>
      <c r="C18" s="4" t="s">
        <v>292</v>
      </c>
    </row>
    <row r="19" spans="2:6">
      <c r="C19" s="4" t="s">
        <v>22</v>
      </c>
    </row>
    <row r="20" spans="2:6">
      <c r="C20" s="4" t="s">
        <v>763</v>
      </c>
    </row>
    <row r="21" spans="2:6">
      <c r="C21" s="4" t="s">
        <v>23</v>
      </c>
    </row>
    <row r="23" spans="2:6">
      <c r="C23" s="6" t="s">
        <v>764</v>
      </c>
      <c r="D23" s="6" t="s">
        <v>313</v>
      </c>
      <c r="E23" s="6" t="s">
        <v>318</v>
      </c>
      <c r="F23" s="6" t="s">
        <v>765</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796875" defaultRowHeight="12.5"/>
  <cols>
    <col min="1" max="1" width="7.81640625" style="4" bestFit="1" customWidth="1"/>
    <col min="2" max="16384" width="9.1796875" style="4"/>
  </cols>
  <sheetData>
    <row r="1" spans="1:3">
      <c r="A1" s="10" t="s">
        <v>5</v>
      </c>
    </row>
    <row r="2" spans="1:3">
      <c r="A2" s="10" t="s">
        <v>597</v>
      </c>
    </row>
    <row r="3" spans="1:3">
      <c r="A3" s="10"/>
    </row>
    <row r="4" spans="1:3" ht="13">
      <c r="C4" s="14" t="s">
        <v>153</v>
      </c>
    </row>
    <row r="5" spans="1:3" ht="13">
      <c r="C5" s="14" t="s">
        <v>296</v>
      </c>
    </row>
    <row r="6" spans="1:3">
      <c r="C6" s="16" t="s">
        <v>964</v>
      </c>
    </row>
    <row r="7" spans="1:3" ht="13">
      <c r="C7" s="14" t="s">
        <v>319</v>
      </c>
    </row>
    <row r="8" spans="1:3" ht="13">
      <c r="C8" s="14" t="s">
        <v>963</v>
      </c>
    </row>
    <row r="9" spans="1:3" ht="13">
      <c r="C9" s="14" t="s">
        <v>615</v>
      </c>
    </row>
    <row r="10" spans="1:3">
      <c r="C10" s="16" t="s">
        <v>824</v>
      </c>
    </row>
    <row r="11" spans="1:3">
      <c r="C11" s="16" t="s">
        <v>696</v>
      </c>
    </row>
    <row r="12" spans="1:3" ht="13">
      <c r="C12" s="14" t="s">
        <v>37</v>
      </c>
    </row>
    <row r="13" spans="1:3">
      <c r="C13" s="16" t="s">
        <v>948</v>
      </c>
    </row>
    <row r="14" spans="1:3">
      <c r="C14" s="10" t="s">
        <v>674</v>
      </c>
    </row>
    <row r="15" spans="1:3">
      <c r="C15" s="16" t="s">
        <v>315</v>
      </c>
    </row>
    <row r="16" spans="1:3">
      <c r="C16" s="16" t="s">
        <v>21</v>
      </c>
    </row>
    <row r="17" spans="1:3">
      <c r="C17" s="16" t="s">
        <v>297</v>
      </c>
    </row>
    <row r="18" spans="1:3">
      <c r="C18" s="16" t="s">
        <v>798</v>
      </c>
    </row>
    <row r="19" spans="1:3">
      <c r="C19" s="16" t="s">
        <v>500</v>
      </c>
    </row>
    <row r="20" spans="1:3">
      <c r="A20" s="10"/>
      <c r="C20" s="4" t="s">
        <v>262</v>
      </c>
    </row>
    <row r="21" spans="1:3">
      <c r="A21" s="10"/>
      <c r="C21" s="4" t="s">
        <v>263</v>
      </c>
    </row>
    <row r="22" spans="1:3">
      <c r="A22" s="10"/>
      <c r="C22" s="4" t="s">
        <v>264</v>
      </c>
    </row>
    <row r="23" spans="1:3">
      <c r="A23" s="10"/>
      <c r="C23" s="4" t="s">
        <v>265</v>
      </c>
    </row>
    <row r="24" spans="1:3">
      <c r="A24" s="10"/>
      <c r="C24" s="4" t="s">
        <v>266</v>
      </c>
    </row>
    <row r="25" spans="1:3">
      <c r="A25" s="10"/>
      <c r="C25" s="4" t="s">
        <v>267</v>
      </c>
    </row>
    <row r="26" spans="1:3">
      <c r="A26" s="10"/>
      <c r="C26" s="4" t="s">
        <v>268</v>
      </c>
    </row>
    <row r="27" spans="1:3">
      <c r="A27" s="10"/>
      <c r="C27" s="4" t="s">
        <v>269</v>
      </c>
    </row>
    <row r="28" spans="1:3">
      <c r="A28" s="10"/>
      <c r="C28" s="4" t="s">
        <v>270</v>
      </c>
    </row>
    <row r="29" spans="1:3">
      <c r="A29" s="10"/>
      <c r="C29" s="4" t="s">
        <v>271</v>
      </c>
    </row>
    <row r="30" spans="1:3">
      <c r="A30" s="10"/>
      <c r="C30" s="4" t="s">
        <v>489</v>
      </c>
    </row>
    <row r="31" spans="1:3">
      <c r="A31" s="10"/>
      <c r="C31" s="4" t="s">
        <v>490</v>
      </c>
    </row>
    <row r="32" spans="1:3">
      <c r="A32" s="10"/>
    </row>
    <row r="33" spans="2:2">
      <c r="B33" s="50">
        <v>39220</v>
      </c>
    </row>
    <row r="34" spans="2:2">
      <c r="B34" s="55" t="s">
        <v>249</v>
      </c>
    </row>
    <row r="35" spans="2:2">
      <c r="B35" s="55"/>
    </row>
    <row r="36" spans="2:2" ht="13">
      <c r="B36" s="56" t="s">
        <v>256</v>
      </c>
    </row>
    <row r="37" spans="2:2" ht="13">
      <c r="B37" s="56"/>
    </row>
    <row r="38" spans="2:2" ht="13">
      <c r="B38" s="56" t="s">
        <v>257</v>
      </c>
    </row>
    <row r="39" spans="2:2" ht="13">
      <c r="B39" s="56" t="s">
        <v>258</v>
      </c>
    </row>
    <row r="40" spans="2:2" ht="13">
      <c r="B40" s="56" t="s">
        <v>259</v>
      </c>
    </row>
    <row r="41" spans="2:2" ht="13">
      <c r="B41" s="56"/>
    </row>
    <row r="42" spans="2:2" ht="13">
      <c r="B42" s="56" t="s">
        <v>260</v>
      </c>
    </row>
    <row r="43" spans="2:2" ht="13">
      <c r="B43" s="56" t="s">
        <v>261</v>
      </c>
    </row>
    <row r="44" spans="2:2" ht="13">
      <c r="B44" s="56" t="s">
        <v>799</v>
      </c>
    </row>
    <row r="45" spans="2:2" ht="13">
      <c r="B45" s="56" t="s">
        <v>800</v>
      </c>
    </row>
    <row r="46" spans="2:2" ht="13">
      <c r="B46" s="56" t="s">
        <v>801</v>
      </c>
    </row>
    <row r="47" spans="2:2" ht="13">
      <c r="B47" s="56" t="s">
        <v>802</v>
      </c>
    </row>
    <row r="48" spans="2:2" ht="13">
      <c r="B48" s="56" t="s">
        <v>245</v>
      </c>
    </row>
    <row r="49" spans="2:2" ht="13">
      <c r="B49" s="56" t="s">
        <v>246</v>
      </c>
    </row>
    <row r="50" spans="2:2" ht="13">
      <c r="B50" s="56"/>
    </row>
    <row r="51" spans="2:2" ht="13">
      <c r="B51" s="56" t="s">
        <v>247</v>
      </c>
    </row>
    <row r="52" spans="2:2" ht="13">
      <c r="B52" s="56" t="s">
        <v>248</v>
      </c>
    </row>
    <row r="53" spans="2:2" ht="13">
      <c r="B53" s="56" t="s">
        <v>679</v>
      </c>
    </row>
    <row r="54" spans="2:2" ht="13">
      <c r="B54" s="56" t="s">
        <v>680</v>
      </c>
    </row>
    <row r="55" spans="2:2" ht="13">
      <c r="B55" s="56" t="s">
        <v>681</v>
      </c>
    </row>
    <row r="56" spans="2:2" ht="13">
      <c r="B56" s="56" t="s">
        <v>682</v>
      </c>
    </row>
    <row r="57" spans="2:2" ht="13">
      <c r="B57" s="56" t="s">
        <v>683</v>
      </c>
    </row>
    <row r="58" spans="2:2" ht="13">
      <c r="B58" s="56" t="s">
        <v>684</v>
      </c>
    </row>
    <row r="59" spans="2:2" ht="13">
      <c r="B59" s="56"/>
    </row>
    <row r="60" spans="2:2" ht="13">
      <c r="B60" s="56" t="s">
        <v>949</v>
      </c>
    </row>
    <row r="61" spans="2:2" ht="13">
      <c r="B61" s="56" t="s">
        <v>950</v>
      </c>
    </row>
    <row r="62" spans="2:2" ht="13">
      <c r="B62" s="56"/>
    </row>
    <row r="63" spans="2:2" ht="13">
      <c r="B63" s="56" t="s">
        <v>951</v>
      </c>
    </row>
    <row r="64" spans="2:2" ht="13">
      <c r="B64" s="56" t="s">
        <v>952</v>
      </c>
    </row>
    <row r="65" spans="2:2" ht="13">
      <c r="B65" s="56" t="s">
        <v>953</v>
      </c>
    </row>
    <row r="66" spans="2:2" ht="13">
      <c r="B66" s="56" t="s">
        <v>954</v>
      </c>
    </row>
    <row r="67" spans="2:2" ht="13">
      <c r="B67" s="56" t="s">
        <v>955</v>
      </c>
    </row>
    <row r="68" spans="2:2" ht="13">
      <c r="B68" s="56" t="s">
        <v>956</v>
      </c>
    </row>
    <row r="69" spans="2:2" ht="13">
      <c r="B69" s="56" t="s">
        <v>957</v>
      </c>
    </row>
    <row r="70" spans="2:2" ht="13">
      <c r="B70" s="56" t="s">
        <v>958</v>
      </c>
    </row>
    <row r="71" spans="2:2" ht="13">
      <c r="B71" s="56" t="s">
        <v>959</v>
      </c>
    </row>
    <row r="72" spans="2:2" ht="13">
      <c r="B72" s="56" t="s">
        <v>146</v>
      </c>
    </row>
    <row r="73" spans="2:2" ht="13">
      <c r="B73" s="56" t="s">
        <v>147</v>
      </c>
    </row>
    <row r="74" spans="2:2" ht="13">
      <c r="B74" s="56" t="s">
        <v>148</v>
      </c>
    </row>
    <row r="75" spans="2:2" ht="13">
      <c r="B75" s="56" t="s">
        <v>149</v>
      </c>
    </row>
    <row r="76" spans="2:2" ht="13">
      <c r="B76" s="56" t="s">
        <v>150</v>
      </c>
    </row>
    <row r="77" spans="2:2" ht="13">
      <c r="B77" s="56" t="s">
        <v>151</v>
      </c>
    </row>
    <row r="78" spans="2:2" ht="13">
      <c r="B78" s="56" t="s">
        <v>152</v>
      </c>
    </row>
    <row r="79" spans="2:2" ht="13">
      <c r="B79" s="56" t="s">
        <v>811</v>
      </c>
    </row>
    <row r="80" spans="2:2" ht="13">
      <c r="B80" s="56" t="s">
        <v>812</v>
      </c>
    </row>
    <row r="81" spans="2:2" ht="13">
      <c r="B81" s="56"/>
    </row>
    <row r="82" spans="2:2" ht="13">
      <c r="B82" s="56" t="s">
        <v>813</v>
      </c>
    </row>
    <row r="83" spans="2:2" ht="13">
      <c r="B83" s="56" t="s">
        <v>814</v>
      </c>
    </row>
    <row r="84" spans="2:2" ht="13">
      <c r="B84" s="56" t="s">
        <v>815</v>
      </c>
    </row>
    <row r="85" spans="2:2" ht="13">
      <c r="B85" s="56" t="s">
        <v>816</v>
      </c>
    </row>
    <row r="86" spans="2:2" ht="13">
      <c r="B86" s="56" t="s">
        <v>817</v>
      </c>
    </row>
    <row r="87" spans="2:2" ht="13">
      <c r="B87" s="56" t="s">
        <v>700</v>
      </c>
    </row>
    <row r="88" spans="2:2" ht="13">
      <c r="B88" s="56" t="s">
        <v>701</v>
      </c>
    </row>
    <row r="89" spans="2:2" ht="13">
      <c r="B89" s="56"/>
    </row>
    <row r="90" spans="2:2" ht="13">
      <c r="B90" s="56" t="s">
        <v>703</v>
      </c>
    </row>
    <row r="91" spans="2:2" ht="13">
      <c r="B91" s="56" t="s">
        <v>704</v>
      </c>
    </row>
    <row r="93" spans="2:2">
      <c r="B93" s="57" t="s">
        <v>705</v>
      </c>
    </row>
    <row r="94" spans="2:2">
      <c r="B94" s="57" t="s">
        <v>706</v>
      </c>
    </row>
    <row r="95" spans="2:2">
      <c r="B95" s="57" t="s">
        <v>707</v>
      </c>
    </row>
    <row r="96" spans="2:2">
      <c r="B96" s="57" t="s">
        <v>708</v>
      </c>
    </row>
    <row r="97" spans="2:2">
      <c r="B97" s="57" t="s">
        <v>705</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796875" defaultRowHeight="12.5"/>
  <cols>
    <col min="1" max="1" width="4.7265625" style="4" customWidth="1"/>
    <col min="2" max="2" width="14.1796875" style="4" bestFit="1" customWidth="1"/>
    <col min="3" max="3" width="22" style="4" bestFit="1" customWidth="1"/>
    <col min="4" max="4" width="14.26953125" style="4" customWidth="1"/>
    <col min="5" max="16384" width="9.1796875" style="4"/>
  </cols>
  <sheetData>
    <row r="1" spans="1:3">
      <c r="A1" s="10" t="s">
        <v>5</v>
      </c>
    </row>
    <row r="2" spans="1:3">
      <c r="B2" s="4" t="s">
        <v>14</v>
      </c>
      <c r="C2" s="4" t="s">
        <v>597</v>
      </c>
    </row>
    <row r="3" spans="1:3">
      <c r="B3" s="4" t="s">
        <v>15</v>
      </c>
      <c r="C3" s="4" t="s">
        <v>16</v>
      </c>
    </row>
    <row r="4" spans="1:3">
      <c r="B4" s="4" t="s">
        <v>3</v>
      </c>
      <c r="C4" s="10" t="s">
        <v>395</v>
      </c>
    </row>
    <row r="5" spans="1:3">
      <c r="C5" s="4" t="s">
        <v>394</v>
      </c>
    </row>
    <row r="6" spans="1:3">
      <c r="C6" s="4" t="s">
        <v>961</v>
      </c>
    </row>
    <row r="7" spans="1:3">
      <c r="B7" s="4" t="s">
        <v>6</v>
      </c>
      <c r="C7" s="4" t="s">
        <v>497</v>
      </c>
    </row>
    <row r="8" spans="1:3">
      <c r="B8" s="4" t="s">
        <v>981</v>
      </c>
      <c r="C8" s="4" t="s">
        <v>987</v>
      </c>
    </row>
    <row r="9" spans="1:3">
      <c r="B9" s="4" t="s">
        <v>806</v>
      </c>
      <c r="C9" s="4" t="s">
        <v>593</v>
      </c>
    </row>
    <row r="10" spans="1:3">
      <c r="B10" s="4" t="s">
        <v>493</v>
      </c>
      <c r="C10" s="4" t="s">
        <v>988</v>
      </c>
    </row>
    <row r="11" spans="1:3">
      <c r="B11" s="10" t="s">
        <v>596</v>
      </c>
      <c r="C11" s="10" t="s">
        <v>897</v>
      </c>
    </row>
    <row r="12" spans="1:3">
      <c r="B12" s="4" t="s">
        <v>728</v>
      </c>
      <c r="C12" s="49" t="s">
        <v>898</v>
      </c>
    </row>
    <row r="13" spans="1:3">
      <c r="B13" s="4" t="s">
        <v>441</v>
      </c>
      <c r="C13" s="4" t="s">
        <v>675</v>
      </c>
    </row>
    <row r="14" spans="1:3">
      <c r="B14" s="4" t="s">
        <v>483</v>
      </c>
      <c r="C14" s="4" t="s">
        <v>491</v>
      </c>
    </row>
    <row r="15" spans="1:3">
      <c r="C15" s="10" t="s">
        <v>962</v>
      </c>
    </row>
    <row r="16" spans="1:3">
      <c r="B16" s="4" t="s">
        <v>112</v>
      </c>
      <c r="C16" s="4" t="s">
        <v>413</v>
      </c>
    </row>
    <row r="17" spans="2:4">
      <c r="C17" s="4" t="s">
        <v>804</v>
      </c>
    </row>
    <row r="18" spans="2:4">
      <c r="C18" s="4" t="s">
        <v>803</v>
      </c>
    </row>
    <row r="19" spans="2:4">
      <c r="C19" s="4" t="s">
        <v>907</v>
      </c>
    </row>
    <row r="20" spans="2:4">
      <c r="C20" s="4" t="s">
        <v>154</v>
      </c>
    </row>
    <row r="21" spans="2:4">
      <c r="B21" s="4" t="s">
        <v>1002</v>
      </c>
      <c r="C21" s="4" t="s">
        <v>417</v>
      </c>
      <c r="D21" s="6"/>
    </row>
    <row r="22" spans="2:4">
      <c r="B22" s="4" t="s">
        <v>253</v>
      </c>
      <c r="C22" s="4" t="s">
        <v>492</v>
      </c>
      <c r="D22" s="6"/>
    </row>
    <row r="23" spans="2:4">
      <c r="B23" s="4" t="s">
        <v>1005</v>
      </c>
      <c r="C23" s="4" t="s">
        <v>929</v>
      </c>
      <c r="D23" s="6"/>
    </row>
    <row r="24" spans="2:4">
      <c r="B24" s="4" t="s">
        <v>591</v>
      </c>
      <c r="C24" s="4" t="s">
        <v>592</v>
      </c>
      <c r="D24" s="6"/>
    </row>
    <row r="25" spans="2:4">
      <c r="B25" s="4" t="s">
        <v>797</v>
      </c>
      <c r="C25" s="4" t="s">
        <v>20</v>
      </c>
      <c r="D25" s="6"/>
    </row>
    <row r="26" spans="2:4">
      <c r="B26" s="4" t="s">
        <v>7</v>
      </c>
      <c r="C26" s="4" t="s">
        <v>50</v>
      </c>
      <c r="D26" s="6"/>
    </row>
    <row r="27" spans="2:4">
      <c r="C27" s="4" t="s">
        <v>423</v>
      </c>
      <c r="D27" s="6"/>
    </row>
    <row r="28" spans="2:4">
      <c r="B28" s="4" t="s">
        <v>144</v>
      </c>
      <c r="C28" s="4" t="s">
        <v>145</v>
      </c>
      <c r="D28" s="6"/>
    </row>
    <row r="29" spans="2:4">
      <c r="B29" s="4" t="s">
        <v>322</v>
      </c>
      <c r="D29" s="6"/>
    </row>
    <row r="30" spans="2:4" ht="13">
      <c r="C30" s="22" t="s">
        <v>142</v>
      </c>
      <c r="D30" s="6"/>
    </row>
    <row r="31" spans="2:4">
      <c r="C31" s="4" t="s">
        <v>396</v>
      </c>
      <c r="D31" s="6"/>
    </row>
    <row r="32" spans="2:4">
      <c r="C32" s="4" t="s">
        <v>397</v>
      </c>
      <c r="D32" s="6"/>
    </row>
    <row r="33" spans="3:4">
      <c r="C33" s="4" t="s">
        <v>398</v>
      </c>
      <c r="D33" s="6"/>
    </row>
    <row r="34" spans="3:4">
      <c r="D34" s="6"/>
    </row>
    <row r="35" spans="3:4" ht="13">
      <c r="C35" s="22" t="s">
        <v>143</v>
      </c>
    </row>
    <row r="36" spans="3:4">
      <c r="C36" s="16" t="s">
        <v>399</v>
      </c>
    </row>
    <row r="37" spans="3:4">
      <c r="C37" s="16" t="s">
        <v>137</v>
      </c>
    </row>
    <row r="38" spans="3:4">
      <c r="C38" s="16"/>
    </row>
    <row r="39" spans="3:4" ht="13">
      <c r="C39" s="22" t="s">
        <v>465</v>
      </c>
    </row>
    <row r="40" spans="3:4">
      <c r="C40" s="16" t="s">
        <v>466</v>
      </c>
    </row>
    <row r="41" spans="3:4">
      <c r="C41" s="16" t="s">
        <v>467</v>
      </c>
    </row>
    <row r="42" spans="3:4">
      <c r="C42" s="16"/>
    </row>
    <row r="43" spans="3:4" ht="13">
      <c r="C43" s="22" t="s">
        <v>138</v>
      </c>
    </row>
    <row r="44" spans="3:4">
      <c r="C44" s="4" t="s">
        <v>139</v>
      </c>
      <c r="D44" s="6"/>
    </row>
    <row r="45" spans="3:4">
      <c r="D45" s="6"/>
    </row>
    <row r="46" spans="3:4" ht="13">
      <c r="C46" s="22" t="s">
        <v>392</v>
      </c>
      <c r="D46" s="6"/>
    </row>
    <row r="47" spans="3:4">
      <c r="C47" s="4" t="s">
        <v>626</v>
      </c>
      <c r="D47" s="6"/>
    </row>
    <row r="48" spans="3:4">
      <c r="C48" s="4" t="s">
        <v>627</v>
      </c>
      <c r="D48" s="6"/>
    </row>
    <row r="49" spans="3:4">
      <c r="D49" s="6"/>
    </row>
    <row r="50" spans="3:4" ht="13">
      <c r="C50" s="22" t="s">
        <v>128</v>
      </c>
      <c r="D50" s="6"/>
    </row>
    <row r="51" spans="3:4">
      <c r="C51" s="16" t="s">
        <v>130</v>
      </c>
      <c r="D51" s="6"/>
    </row>
    <row r="52" spans="3:4">
      <c r="C52" s="16" t="s">
        <v>789</v>
      </c>
      <c r="D52" s="6"/>
    </row>
    <row r="53" spans="3:4">
      <c r="C53" s="16" t="s">
        <v>790</v>
      </c>
      <c r="D53" s="6"/>
    </row>
    <row r="54" spans="3:4">
      <c r="C54" s="16" t="s">
        <v>791</v>
      </c>
      <c r="D54" s="6"/>
    </row>
    <row r="55" spans="3:4">
      <c r="C55" s="16" t="s">
        <v>690</v>
      </c>
      <c r="D55" s="6"/>
    </row>
    <row r="56" spans="3:4">
      <c r="C56" s="16" t="s">
        <v>792</v>
      </c>
      <c r="D56" s="6"/>
    </row>
    <row r="57" spans="3:4">
      <c r="C57" s="16" t="s">
        <v>129</v>
      </c>
      <c r="D57" s="6"/>
    </row>
    <row r="58" spans="3:4">
      <c r="C58" s="4" t="s">
        <v>788</v>
      </c>
    </row>
    <row r="59" spans="3:4">
      <c r="C59" s="4" t="s">
        <v>787</v>
      </c>
    </row>
    <row r="61" spans="3:4" ht="13">
      <c r="C61" s="22" t="s">
        <v>989</v>
      </c>
    </row>
    <row r="62" spans="3:4">
      <c r="C62" s="4" t="s">
        <v>70</v>
      </c>
    </row>
    <row r="63" spans="3:4">
      <c r="C63" s="4" t="s">
        <v>697</v>
      </c>
    </row>
    <row r="64" spans="3:4">
      <c r="C64" s="4" t="s">
        <v>362</v>
      </c>
    </row>
    <row r="65" spans="3:3">
      <c r="C65" s="10" t="s">
        <v>312</v>
      </c>
    </row>
    <row r="67" spans="3:3" ht="13">
      <c r="C67" s="22" t="s">
        <v>622</v>
      </c>
    </row>
    <row r="68" spans="3:3">
      <c r="C68" s="4" t="s">
        <v>623</v>
      </c>
    </row>
    <row r="70" spans="3:3" ht="13">
      <c r="C70" s="22" t="s">
        <v>624</v>
      </c>
    </row>
    <row r="71" spans="3:3">
      <c r="C71" s="16" t="s">
        <v>625</v>
      </c>
    </row>
    <row r="73" spans="3:3" ht="13">
      <c r="C73" s="22" t="s">
        <v>553</v>
      </c>
    </row>
    <row r="74" spans="3:3">
      <c r="C74" s="10" t="s">
        <v>552</v>
      </c>
    </row>
    <row r="75" spans="3:3">
      <c r="C75" s="10"/>
    </row>
    <row r="76" spans="3:3" ht="13">
      <c r="C76" s="28" t="s">
        <v>71</v>
      </c>
    </row>
    <row r="77" spans="3:3">
      <c r="C77" s="4" t="s">
        <v>12</v>
      </c>
    </row>
    <row r="78" spans="3:3">
      <c r="C78" s="4" t="s">
        <v>208</v>
      </c>
    </row>
    <row r="79" spans="3:3">
      <c r="C79" s="4" t="s">
        <v>209</v>
      </c>
    </row>
    <row r="80" spans="3:3" ht="13">
      <c r="C80" s="4" t="s">
        <v>9</v>
      </c>
    </row>
    <row r="81" spans="3:3">
      <c r="C81" s="4" t="s">
        <v>8</v>
      </c>
    </row>
    <row r="82" spans="3:3">
      <c r="C82" s="4" t="s">
        <v>501</v>
      </c>
    </row>
    <row r="83" spans="3:3">
      <c r="C83" s="4" t="s">
        <v>844</v>
      </c>
    </row>
    <row r="84" spans="3:3">
      <c r="C84" s="4" t="s">
        <v>502</v>
      </c>
    </row>
    <row r="86" spans="3:3">
      <c r="C86" s="11" t="s">
        <v>228</v>
      </c>
    </row>
    <row r="87" spans="3:3">
      <c r="C87" s="4" t="s">
        <v>727</v>
      </c>
    </row>
    <row r="88" spans="3:3">
      <c r="C88" s="4" t="s">
        <v>730</v>
      </c>
    </row>
    <row r="89" spans="3:3">
      <c r="C89" s="4" t="s">
        <v>72</v>
      </c>
    </row>
    <row r="90" spans="3:3">
      <c r="C90" s="4" t="s">
        <v>729</v>
      </c>
    </row>
    <row r="91" spans="3:3">
      <c r="C91" s="4" t="s">
        <v>424</v>
      </c>
    </row>
    <row r="92" spans="3:3">
      <c r="C92" s="4" t="s">
        <v>539</v>
      </c>
    </row>
    <row r="93" spans="3:3">
      <c r="C93" s="4" t="s">
        <v>61</v>
      </c>
    </row>
    <row r="94" spans="3:3">
      <c r="C94" s="4" t="s">
        <v>460</v>
      </c>
    </row>
    <row r="95" spans="3:3">
      <c r="C95" s="4" t="s">
        <v>461</v>
      </c>
    </row>
    <row r="96" spans="3:3">
      <c r="C96" s="4" t="s">
        <v>462</v>
      </c>
    </row>
    <row r="97" spans="3:4">
      <c r="C97" s="4" t="s">
        <v>463</v>
      </c>
    </row>
    <row r="98" spans="3:4">
      <c r="C98" s="4" t="s">
        <v>723</v>
      </c>
    </row>
    <row r="99" spans="3:4">
      <c r="C99" s="4" t="s">
        <v>724</v>
      </c>
    </row>
    <row r="100" spans="3:4">
      <c r="C100" s="4" t="s">
        <v>725</v>
      </c>
    </row>
    <row r="101" spans="3:4">
      <c r="C101" s="4" t="s">
        <v>941</v>
      </c>
    </row>
    <row r="102" spans="3:4">
      <c r="C102" s="4" t="s">
        <v>234</v>
      </c>
    </row>
    <row r="104" spans="3:4" ht="13.5" customHeight="1">
      <c r="C104" s="10" t="s">
        <v>73</v>
      </c>
    </row>
    <row r="105" spans="3:4" ht="12.75" customHeight="1">
      <c r="C105" s="4" t="s">
        <v>861</v>
      </c>
    </row>
    <row r="106" spans="3:4" ht="12.75" customHeight="1">
      <c r="C106" s="4" t="s">
        <v>608</v>
      </c>
    </row>
    <row r="107" spans="3:4">
      <c r="C107" s="4" t="s">
        <v>74</v>
      </c>
      <c r="D107" s="4" t="s">
        <v>75</v>
      </c>
    </row>
    <row r="108" spans="3:4">
      <c r="C108" s="4" t="s">
        <v>76</v>
      </c>
      <c r="D108" s="4" t="s">
        <v>639</v>
      </c>
    </row>
    <row r="109" spans="3:4">
      <c r="C109" s="4" t="s">
        <v>606</v>
      </c>
      <c r="D109" s="4" t="s">
        <v>607</v>
      </c>
    </row>
    <row r="110" spans="3:4">
      <c r="C110" s="4" t="s">
        <v>640</v>
      </c>
      <c r="D110" s="4" t="s">
        <v>605</v>
      </c>
    </row>
    <row r="111" spans="3:4">
      <c r="D111" s="4" t="s">
        <v>610</v>
      </c>
    </row>
    <row r="112" spans="3:4">
      <c r="D112" s="4" t="s">
        <v>612</v>
      </c>
    </row>
    <row r="113" spans="3:4">
      <c r="D113" s="4" t="s">
        <v>611</v>
      </c>
    </row>
    <row r="114" spans="3:4">
      <c r="D114" s="4" t="s">
        <v>613</v>
      </c>
    </row>
    <row r="115" spans="3:4">
      <c r="D115" s="4" t="s">
        <v>600</v>
      </c>
    </row>
    <row r="116" spans="3:4">
      <c r="D116" s="4" t="s">
        <v>601</v>
      </c>
    </row>
    <row r="117" spans="3:4">
      <c r="D117" s="4" t="s">
        <v>860</v>
      </c>
    </row>
    <row r="119" spans="3:4" ht="13">
      <c r="C119" s="22" t="s">
        <v>862</v>
      </c>
    </row>
    <row r="120" spans="3:4">
      <c r="C120" s="4" t="s">
        <v>863</v>
      </c>
    </row>
    <row r="121" spans="3:4">
      <c r="C121" s="4" t="s">
        <v>865</v>
      </c>
    </row>
    <row r="122" spans="3:4">
      <c r="C122" s="4" t="s">
        <v>866</v>
      </c>
    </row>
    <row r="123" spans="3:4">
      <c r="C123" s="4" t="s">
        <v>867</v>
      </c>
    </row>
    <row r="125" spans="3:4" ht="13">
      <c r="C125" s="22" t="s">
        <v>868</v>
      </c>
    </row>
    <row r="126" spans="3:4">
      <c r="C126" s="16" t="s">
        <v>869</v>
      </c>
    </row>
    <row r="127" spans="3:4">
      <c r="C127" s="4" t="s">
        <v>870</v>
      </c>
    </row>
    <row r="128" spans="3:4">
      <c r="C128" s="4" t="s">
        <v>871</v>
      </c>
    </row>
    <row r="130" spans="3:3" ht="13">
      <c r="C130" s="22" t="s">
        <v>942</v>
      </c>
    </row>
    <row r="131" spans="3:3">
      <c r="C131" s="4" t="s">
        <v>663</v>
      </c>
    </row>
    <row r="132" spans="3:3">
      <c r="C132" s="4" t="s">
        <v>664</v>
      </c>
    </row>
    <row r="134" spans="3:3" ht="13">
      <c r="C134" s="22" t="s">
        <v>136</v>
      </c>
    </row>
    <row r="135" spans="3:3">
      <c r="C135" s="4" t="s">
        <v>984</v>
      </c>
    </row>
    <row r="136" spans="3:3">
      <c r="C136" s="4" t="s">
        <v>538</v>
      </c>
    </row>
    <row r="137" spans="3:3">
      <c r="C137" s="4" t="s">
        <v>537</v>
      </c>
    </row>
    <row r="139" spans="3:3">
      <c r="C139" s="4" t="s">
        <v>1043</v>
      </c>
    </row>
    <row r="141" spans="3:3">
      <c r="C141" s="4" t="s">
        <v>529</v>
      </c>
    </row>
    <row r="142" spans="3:3">
      <c r="C142" s="4" t="s">
        <v>225</v>
      </c>
    </row>
    <row r="144" spans="3:3" ht="13">
      <c r="C144" s="22" t="s">
        <v>686</v>
      </c>
    </row>
    <row r="145" spans="3:3">
      <c r="C145" s="16" t="s">
        <v>118</v>
      </c>
    </row>
    <row r="147" spans="3:3">
      <c r="C147" s="4" t="s">
        <v>290</v>
      </c>
    </row>
    <row r="148" spans="3:3">
      <c r="C148" s="4" t="s">
        <v>820</v>
      </c>
    </row>
    <row r="149" spans="3:3">
      <c r="C149" s="4" t="s">
        <v>966</v>
      </c>
    </row>
    <row r="150" spans="3:3">
      <c r="C150" s="4" t="s">
        <v>226</v>
      </c>
    </row>
    <row r="151" spans="3:3" ht="13">
      <c r="C151" s="14" t="s">
        <v>227</v>
      </c>
    </row>
    <row r="152" spans="3:3">
      <c r="C152" s="4" t="s">
        <v>524</v>
      </c>
    </row>
    <row r="153" spans="3:3">
      <c r="C153" s="4" t="s">
        <v>525</v>
      </c>
    </row>
    <row r="154" spans="3:3">
      <c r="C154" s="4" t="s">
        <v>983</v>
      </c>
    </row>
    <row r="155" spans="3:3">
      <c r="C155" s="4" t="s">
        <v>135</v>
      </c>
    </row>
    <row r="158" spans="3:3">
      <c r="C158" s="4" t="s">
        <v>996</v>
      </c>
    </row>
    <row r="160" spans="3:3" ht="13">
      <c r="C160" s="22" t="s">
        <v>526</v>
      </c>
    </row>
    <row r="161" spans="3:3">
      <c r="C161" s="16" t="s">
        <v>1048</v>
      </c>
    </row>
    <row r="162" spans="3:3">
      <c r="C162" s="16" t="s">
        <v>632</v>
      </c>
    </row>
    <row r="164" spans="3:3" ht="13">
      <c r="C164" s="22" t="s">
        <v>140</v>
      </c>
    </row>
    <row r="165" spans="3:3">
      <c r="C165" s="4" t="s">
        <v>141</v>
      </c>
    </row>
    <row r="166" spans="3:3" ht="13">
      <c r="C166" s="22"/>
    </row>
    <row r="168" spans="3:3" ht="13">
      <c r="C168" s="22" t="s">
        <v>325</v>
      </c>
    </row>
    <row r="169" spans="3:3">
      <c r="C169" s="4" t="s">
        <v>326</v>
      </c>
    </row>
    <row r="170" spans="3:3">
      <c r="C170" s="4" t="s">
        <v>327</v>
      </c>
    </row>
    <row r="172" spans="3:3" ht="13">
      <c r="C172" s="22" t="s">
        <v>930</v>
      </c>
    </row>
    <row r="173" spans="3:3">
      <c r="C173" s="4" t="s">
        <v>931</v>
      </c>
    </row>
    <row r="174" spans="3:3">
      <c r="C174" s="4" t="s">
        <v>932</v>
      </c>
    </row>
    <row r="175" spans="3:3">
      <c r="C175" s="4" t="s">
        <v>933</v>
      </c>
    </row>
    <row r="177" spans="3:3" ht="13">
      <c r="C177" s="22" t="s">
        <v>934</v>
      </c>
    </row>
    <row r="178" spans="3:3">
      <c r="C178" s="4" t="s">
        <v>935</v>
      </c>
    </row>
    <row r="179" spans="3:3">
      <c r="C179" s="4" t="s">
        <v>936</v>
      </c>
    </row>
    <row r="181" spans="3:3" ht="13">
      <c r="C181" s="22" t="s">
        <v>244</v>
      </c>
    </row>
    <row r="182" spans="3:3">
      <c r="C182" s="4" t="s">
        <v>937</v>
      </c>
    </row>
    <row r="183" spans="3:3">
      <c r="C183" s="4" t="s">
        <v>239</v>
      </c>
    </row>
    <row r="185" spans="3:3" ht="13">
      <c r="C185" s="22" t="s">
        <v>240</v>
      </c>
    </row>
    <row r="186" spans="3:3">
      <c r="C186" s="4" t="s">
        <v>241</v>
      </c>
    </row>
    <row r="188" spans="3:3" ht="13">
      <c r="C188" s="22" t="s">
        <v>242</v>
      </c>
    </row>
    <row r="191" spans="3:3" ht="13">
      <c r="C191" s="22" t="s">
        <v>243</v>
      </c>
    </row>
    <row r="194" spans="3:3" ht="13">
      <c r="C194" s="22" t="s">
        <v>1004</v>
      </c>
    </row>
    <row r="195" spans="3:3">
      <c r="C195" s="4" t="s">
        <v>656</v>
      </c>
    </row>
    <row r="196" spans="3:3">
      <c r="C196" s="4" t="s">
        <v>744</v>
      </c>
    </row>
    <row r="197" spans="3:3">
      <c r="C197" s="4" t="s">
        <v>745</v>
      </c>
    </row>
    <row r="200" spans="3:3" ht="13">
      <c r="C200" s="22" t="s">
        <v>1070</v>
      </c>
    </row>
    <row r="201" spans="3:3">
      <c r="C201" s="16" t="s">
        <v>1071</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1640625" defaultRowHeight="12.5"/>
  <cols>
    <col min="1" max="1" width="3.1796875" customWidth="1"/>
  </cols>
  <sheetData>
    <row r="2" spans="2:3">
      <c r="B2" s="11" t="s">
        <v>872</v>
      </c>
    </row>
    <row r="3" spans="2:3">
      <c r="B3" t="s">
        <v>123</v>
      </c>
    </row>
    <row r="5" spans="2:3">
      <c r="B5" t="s">
        <v>551</v>
      </c>
      <c r="C5">
        <v>701</v>
      </c>
    </row>
    <row r="6" spans="2:3">
      <c r="B6" t="s">
        <v>873</v>
      </c>
      <c r="C6" t="s">
        <v>874</v>
      </c>
    </row>
    <row r="7" spans="2:3">
      <c r="B7" t="s">
        <v>119</v>
      </c>
      <c r="C7" t="s">
        <v>426</v>
      </c>
    </row>
    <row r="8" spans="2:3">
      <c r="B8" t="s">
        <v>120</v>
      </c>
      <c r="C8" t="s">
        <v>121</v>
      </c>
    </row>
    <row r="9" spans="2:3">
      <c r="B9" t="s">
        <v>122</v>
      </c>
      <c r="C9" t="s">
        <v>655</v>
      </c>
    </row>
    <row r="10" spans="2:3">
      <c r="C10" t="s">
        <v>653</v>
      </c>
    </row>
    <row r="11" spans="2:3">
      <c r="C11" t="s">
        <v>654</v>
      </c>
    </row>
    <row r="12" spans="2:3">
      <c r="C12" t="s">
        <v>659</v>
      </c>
    </row>
    <row r="13" spans="2:3">
      <c r="C13" t="s">
        <v>403</v>
      </c>
    </row>
    <row r="15" spans="2:3" ht="13.5">
      <c r="B15" s="21" t="s">
        <v>1000</v>
      </c>
    </row>
    <row r="18" spans="2:2">
      <c r="B18" s="13" t="s">
        <v>401</v>
      </c>
    </row>
    <row r="19" spans="2:2">
      <c r="B19" t="s">
        <v>402</v>
      </c>
    </row>
    <row r="20" spans="2:2">
      <c r="B20" t="s">
        <v>698</v>
      </c>
    </row>
    <row r="21" spans="2:2">
      <c r="B21" t="s">
        <v>523</v>
      </c>
    </row>
    <row r="22" spans="2:2">
      <c r="B22" t="s">
        <v>970</v>
      </c>
    </row>
    <row r="23" spans="2:2">
      <c r="B23" t="s">
        <v>971</v>
      </c>
    </row>
    <row r="24" spans="2:2">
      <c r="B24" t="s">
        <v>972</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796875" defaultRowHeight="12.5"/>
  <cols>
    <col min="1" max="1" width="5" style="4" bestFit="1" customWidth="1"/>
    <col min="2" max="2" width="14" style="4" bestFit="1" customWidth="1"/>
    <col min="3" max="16384" width="9.1796875" style="4"/>
  </cols>
  <sheetData>
    <row r="1" spans="1:3">
      <c r="A1" s="10" t="s">
        <v>5</v>
      </c>
    </row>
    <row r="2" spans="1:3">
      <c r="B2" s="4" t="s">
        <v>286</v>
      </c>
      <c r="C2" s="4" t="s">
        <v>427</v>
      </c>
    </row>
    <row r="3" spans="1:3">
      <c r="B3" s="4" t="s">
        <v>287</v>
      </c>
      <c r="C3" s="4" t="s">
        <v>430</v>
      </c>
    </row>
    <row r="4" spans="1:3">
      <c r="B4" s="4" t="s">
        <v>806</v>
      </c>
      <c r="C4" s="4" t="s">
        <v>749</v>
      </c>
    </row>
    <row r="5" spans="1:3">
      <c r="B5" s="4" t="s">
        <v>3</v>
      </c>
      <c r="C5" s="4" t="s">
        <v>532</v>
      </c>
    </row>
    <row r="6" spans="1:3">
      <c r="C6" s="4" t="s">
        <v>40</v>
      </c>
    </row>
    <row r="7" spans="1:3">
      <c r="B7" s="4" t="s">
        <v>7</v>
      </c>
      <c r="C7" s="4" t="s">
        <v>748</v>
      </c>
    </row>
    <row r="8" spans="1:3">
      <c r="C8" s="4" t="s">
        <v>738</v>
      </c>
    </row>
    <row r="9" spans="1:3">
      <c r="B9" s="4" t="s">
        <v>11</v>
      </c>
      <c r="C9" s="4" t="s">
        <v>527</v>
      </c>
    </row>
    <row r="10" spans="1:3">
      <c r="B10" s="4" t="s">
        <v>358</v>
      </c>
      <c r="C10" s="4" t="s">
        <v>718</v>
      </c>
    </row>
    <row r="11" spans="1:3">
      <c r="B11" s="4" t="s">
        <v>528</v>
      </c>
      <c r="C11" s="4" t="s">
        <v>436</v>
      </c>
    </row>
    <row r="12" spans="1:3">
      <c r="B12" s="4" t="s">
        <v>1002</v>
      </c>
      <c r="C12" s="4" t="s">
        <v>39</v>
      </c>
    </row>
    <row r="13" spans="1:3">
      <c r="B13" s="4" t="s">
        <v>596</v>
      </c>
      <c r="C13" s="4" t="s">
        <v>969</v>
      </c>
    </row>
    <row r="14" spans="1:3">
      <c r="B14" s="4" t="s">
        <v>428</v>
      </c>
    </row>
    <row r="15" spans="1:3">
      <c r="C15" s="10" t="s">
        <v>431</v>
      </c>
    </row>
    <row r="16" spans="1:3">
      <c r="C16" s="4" t="s">
        <v>429</v>
      </c>
    </row>
    <row r="18" spans="3:4" ht="13">
      <c r="C18" s="22" t="s">
        <v>633</v>
      </c>
    </row>
    <row r="19" spans="3:4">
      <c r="C19" s="4" t="s">
        <v>222</v>
      </c>
    </row>
    <row r="20" spans="3:4">
      <c r="C20" s="4" t="s">
        <v>751</v>
      </c>
    </row>
    <row r="21" spans="3:4">
      <c r="D21" s="4" t="s">
        <v>752</v>
      </c>
    </row>
    <row r="23" spans="3:4">
      <c r="C23" s="4" t="s">
        <v>634</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sheetViews>
  <sheetFormatPr defaultColWidth="9.1796875" defaultRowHeight="12.5"/>
  <cols>
    <col min="1" max="1" width="5" style="4" bestFit="1" customWidth="1"/>
    <col min="2" max="2" width="16.453125" style="4" customWidth="1"/>
    <col min="3" max="16384" width="9.1796875" style="4"/>
  </cols>
  <sheetData>
    <row r="1" spans="1:3">
      <c r="A1" s="10" t="s">
        <v>5</v>
      </c>
    </row>
    <row r="2" spans="1:3">
      <c r="B2" s="4" t="s">
        <v>286</v>
      </c>
      <c r="C2" s="112" t="s">
        <v>1526</v>
      </c>
    </row>
    <row r="3" spans="1:3">
      <c r="B3" s="4" t="s">
        <v>287</v>
      </c>
      <c r="C3" s="112" t="s">
        <v>1527</v>
      </c>
    </row>
    <row r="4" spans="1:3">
      <c r="B4" s="4" t="s">
        <v>3</v>
      </c>
      <c r="C4" s="4" t="s">
        <v>737</v>
      </c>
    </row>
    <row r="5" spans="1:3">
      <c r="C5" s="4" t="s">
        <v>832</v>
      </c>
    </row>
    <row r="6" spans="1:3">
      <c r="C6" s="4" t="s">
        <v>979</v>
      </c>
    </row>
    <row r="7" spans="1:3">
      <c r="B7" s="4" t="s">
        <v>666</v>
      </c>
      <c r="C7" s="4" t="s">
        <v>545</v>
      </c>
    </row>
    <row r="8" spans="1:3">
      <c r="B8" s="4" t="s">
        <v>806</v>
      </c>
      <c r="C8" s="4" t="s">
        <v>826</v>
      </c>
    </row>
    <row r="9" spans="1:3">
      <c r="C9" s="16" t="s">
        <v>36</v>
      </c>
    </row>
    <row r="10" spans="1:3">
      <c r="C10" s="16" t="s">
        <v>546</v>
      </c>
    </row>
    <row r="11" spans="1:3">
      <c r="B11" s="4" t="s">
        <v>981</v>
      </c>
      <c r="C11" s="4" t="s">
        <v>827</v>
      </c>
    </row>
    <row r="12" spans="1:3">
      <c r="B12" s="4" t="s">
        <v>7</v>
      </c>
      <c r="C12" s="4" t="s">
        <v>55</v>
      </c>
    </row>
    <row r="13" spans="1:3">
      <c r="C13" s="4" t="s">
        <v>695</v>
      </c>
    </row>
    <row r="14" spans="1:3">
      <c r="B14" s="4" t="s">
        <v>322</v>
      </c>
    </row>
    <row r="15" spans="1:3" ht="13">
      <c r="C15" s="22" t="s">
        <v>712</v>
      </c>
    </row>
    <row r="16" spans="1:3">
      <c r="C16" s="4" t="s">
        <v>713</v>
      </c>
    </row>
    <row r="18" spans="3:3" ht="13">
      <c r="C18" s="22" t="s">
        <v>715</v>
      </c>
    </row>
    <row r="19" spans="3:3">
      <c r="C19" s="4" t="s">
        <v>714</v>
      </c>
    </row>
    <row r="21" spans="3:3" ht="13">
      <c r="C21" s="22" t="s">
        <v>716</v>
      </c>
    </row>
    <row r="22" spans="3:3">
      <c r="C22" s="4" t="s">
        <v>188</v>
      </c>
    </row>
    <row r="24" spans="3:3" ht="13">
      <c r="C24" s="22" t="s">
        <v>912</v>
      </c>
    </row>
    <row r="25" spans="3:3">
      <c r="C25" s="4" t="s">
        <v>464</v>
      </c>
    </row>
    <row r="27" spans="3:3" ht="13">
      <c r="C27" s="28" t="s">
        <v>825</v>
      </c>
    </row>
    <row r="28" spans="3:3">
      <c r="C28" s="4" t="s">
        <v>548</v>
      </c>
    </row>
    <row r="29" spans="3:3">
      <c r="C29" s="4" t="s">
        <v>831</v>
      </c>
    </row>
    <row r="30" spans="3:3">
      <c r="C30" s="4" t="s">
        <v>977</v>
      </c>
    </row>
    <row r="31" spans="3:3">
      <c r="C31" s="4" t="s">
        <v>829</v>
      </c>
    </row>
    <row r="32" spans="3:3">
      <c r="C32" s="16" t="s">
        <v>828</v>
      </c>
    </row>
    <row r="33" spans="3:3">
      <c r="C33" s="16" t="s">
        <v>993</v>
      </c>
    </row>
    <row r="34" spans="3:3">
      <c r="C34" s="4" t="s">
        <v>665</v>
      </c>
    </row>
    <row r="35" spans="3:3">
      <c r="C35" s="4" t="s">
        <v>830</v>
      </c>
    </row>
    <row r="36" spans="3:3">
      <c r="C36" s="4" t="s">
        <v>547</v>
      </c>
    </row>
    <row r="37" spans="3:3">
      <c r="C37" s="4" t="s">
        <v>549</v>
      </c>
    </row>
    <row r="39" spans="3:3" ht="13">
      <c r="C39" s="22" t="s">
        <v>189</v>
      </c>
    </row>
    <row r="40" spans="3:3">
      <c r="C40" s="4" t="s">
        <v>694</v>
      </c>
    </row>
    <row r="41" spans="3:3">
      <c r="C41" s="4" t="s">
        <v>740</v>
      </c>
    </row>
    <row r="42" spans="3:3">
      <c r="C42" s="4" t="s">
        <v>980</v>
      </c>
    </row>
    <row r="44" spans="3:3" ht="13">
      <c r="C44" s="22" t="s">
        <v>190</v>
      </c>
    </row>
    <row r="45" spans="3:3">
      <c r="C45" s="4" t="s">
        <v>796</v>
      </c>
    </row>
    <row r="46" spans="3:3">
      <c r="C46" s="4" t="s">
        <v>739</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796875" defaultRowHeight="12.5"/>
  <cols>
    <col min="1" max="1" width="5" style="4" bestFit="1" customWidth="1"/>
    <col min="2" max="2" width="15.81640625" style="4" customWidth="1"/>
    <col min="3" max="3" width="11.26953125" style="4" customWidth="1"/>
    <col min="4" max="4" width="11" style="4" customWidth="1"/>
    <col min="5" max="9" width="9.1796875" style="4"/>
    <col min="10" max="10" width="22.26953125" style="4" customWidth="1"/>
    <col min="11" max="16384" width="9.1796875" style="4"/>
  </cols>
  <sheetData>
    <row r="1" spans="1:4">
      <c r="A1" s="10" t="s">
        <v>5</v>
      </c>
    </row>
    <row r="2" spans="1:4">
      <c r="B2" s="4" t="s">
        <v>286</v>
      </c>
      <c r="C2" s="4" t="s">
        <v>329</v>
      </c>
    </row>
    <row r="3" spans="1:4">
      <c r="B3" s="4" t="s">
        <v>287</v>
      </c>
      <c r="C3" s="4" t="s">
        <v>890</v>
      </c>
    </row>
    <row r="4" spans="1:4">
      <c r="B4" s="4" t="s">
        <v>3</v>
      </c>
      <c r="C4" s="4" t="s">
        <v>885</v>
      </c>
    </row>
    <row r="5" spans="1:4">
      <c r="B5" s="4" t="s">
        <v>806</v>
      </c>
      <c r="C5" s="4" t="s">
        <v>631</v>
      </c>
    </row>
    <row r="6" spans="1:4">
      <c r="C6" s="4" t="s">
        <v>687</v>
      </c>
    </row>
    <row r="7" spans="1:4">
      <c r="B7" s="4" t="s">
        <v>10</v>
      </c>
      <c r="C7" s="4" t="s">
        <v>288</v>
      </c>
    </row>
    <row r="8" spans="1:4">
      <c r="C8" s="4" t="s">
        <v>450</v>
      </c>
    </row>
    <row r="9" spans="1:4">
      <c r="B9" s="4" t="s">
        <v>891</v>
      </c>
      <c r="C9" s="4" t="s">
        <v>892</v>
      </c>
    </row>
    <row r="10" spans="1:4">
      <c r="B10" s="4" t="s">
        <v>893</v>
      </c>
      <c r="C10" s="4" t="s">
        <v>894</v>
      </c>
      <c r="D10" s="6"/>
    </row>
    <row r="11" spans="1:4">
      <c r="B11" s="4" t="s">
        <v>358</v>
      </c>
      <c r="C11" s="4" t="s">
        <v>571</v>
      </c>
      <c r="D11" s="6"/>
    </row>
    <row r="12" spans="1:4">
      <c r="B12" s="4" t="s">
        <v>899</v>
      </c>
      <c r="C12" s="20" t="s">
        <v>900</v>
      </c>
      <c r="D12" s="6"/>
    </row>
    <row r="13" spans="1:4">
      <c r="B13" s="16" t="s">
        <v>7</v>
      </c>
      <c r="C13" s="16" t="s">
        <v>1072</v>
      </c>
      <c r="D13" s="6"/>
    </row>
    <row r="14" spans="1:4">
      <c r="B14" s="4" t="s">
        <v>322</v>
      </c>
    </row>
    <row r="16" spans="1:4" ht="13">
      <c r="B16" s="22" t="s">
        <v>1032</v>
      </c>
    </row>
    <row r="17" spans="2:16">
      <c r="B17" s="4" t="s">
        <v>1033</v>
      </c>
    </row>
    <row r="18" spans="2:16">
      <c r="B18" s="4" t="s">
        <v>1034</v>
      </c>
    </row>
    <row r="19" spans="2:16" ht="13">
      <c r="B19" s="14" t="s">
        <v>1036</v>
      </c>
    </row>
    <row r="20" spans="2:16">
      <c r="B20" s="4" t="s">
        <v>1001</v>
      </c>
    </row>
    <row r="21" spans="2:16">
      <c r="B21" s="4" t="s">
        <v>946</v>
      </c>
    </row>
    <row r="22" spans="2:16" ht="13">
      <c r="B22" s="14" t="s">
        <v>947</v>
      </c>
    </row>
    <row r="23" spans="2:16">
      <c r="B23" s="16" t="s">
        <v>940</v>
      </c>
    </row>
    <row r="24" spans="2:16" ht="13">
      <c r="B24" s="51" t="s">
        <v>499</v>
      </c>
    </row>
    <row r="25" spans="2:16">
      <c r="K25" s="4" t="s">
        <v>569</v>
      </c>
      <c r="L25" s="4">
        <v>2006</v>
      </c>
      <c r="M25" s="4">
        <v>2007</v>
      </c>
      <c r="N25" s="4">
        <v>2008</v>
      </c>
      <c r="O25" s="4">
        <v>2009</v>
      </c>
    </row>
    <row r="26" spans="2:16" ht="13">
      <c r="B26" s="22" t="s">
        <v>1035</v>
      </c>
      <c r="L26" s="4">
        <v>93</v>
      </c>
      <c r="M26" s="4">
        <v>379</v>
      </c>
      <c r="N26" s="4">
        <v>456</v>
      </c>
      <c r="O26" s="4">
        <v>550</v>
      </c>
    </row>
    <row r="27" spans="2:16">
      <c r="B27" s="27" t="s">
        <v>587</v>
      </c>
    </row>
    <row r="28" spans="2:16" ht="13" thickBot="1">
      <c r="B28" s="27" t="s">
        <v>588</v>
      </c>
      <c r="D28" s="4" t="s">
        <v>589</v>
      </c>
    </row>
    <row r="29" spans="2:16">
      <c r="B29" s="27" t="s">
        <v>590</v>
      </c>
      <c r="K29" s="45" t="s">
        <v>572</v>
      </c>
      <c r="L29" s="46"/>
      <c r="M29" s="46" t="s">
        <v>573</v>
      </c>
      <c r="N29" s="46"/>
      <c r="O29" s="46"/>
      <c r="P29" s="47"/>
    </row>
    <row r="30" spans="2:16">
      <c r="B30" s="27" t="s">
        <v>939</v>
      </c>
      <c r="K30" s="39"/>
      <c r="P30" s="40"/>
    </row>
    <row r="31" spans="2:16">
      <c r="K31" s="39" t="s">
        <v>574</v>
      </c>
      <c r="L31" s="4" t="s">
        <v>575</v>
      </c>
      <c r="M31" s="4" t="s">
        <v>3</v>
      </c>
      <c r="N31" s="4" t="s">
        <v>576</v>
      </c>
      <c r="P31" s="40"/>
    </row>
    <row r="32" spans="2:16" ht="13">
      <c r="B32" s="22" t="s">
        <v>1053</v>
      </c>
      <c r="K32" s="39" t="s">
        <v>577</v>
      </c>
      <c r="L32" s="4" t="s">
        <v>452</v>
      </c>
      <c r="M32" s="4" t="s">
        <v>578</v>
      </c>
      <c r="N32" s="4">
        <v>9600</v>
      </c>
      <c r="O32" s="4" t="s">
        <v>81</v>
      </c>
      <c r="P32" s="40"/>
    </row>
    <row r="33" spans="2:16">
      <c r="B33" s="16" t="s">
        <v>904</v>
      </c>
      <c r="K33" s="39" t="s">
        <v>82</v>
      </c>
      <c r="L33" s="4" t="s">
        <v>83</v>
      </c>
      <c r="M33" s="4" t="s">
        <v>84</v>
      </c>
      <c r="N33" s="4">
        <v>8800</v>
      </c>
      <c r="P33" s="40"/>
    </row>
    <row r="34" spans="2:16">
      <c r="B34" s="16" t="s">
        <v>1052</v>
      </c>
      <c r="K34" s="39"/>
      <c r="M34" s="4" t="s">
        <v>85</v>
      </c>
      <c r="N34" s="4">
        <v>7700</v>
      </c>
      <c r="P34" s="40"/>
    </row>
    <row r="35" spans="2:16">
      <c r="K35" s="39"/>
      <c r="M35" s="4" t="s">
        <v>578</v>
      </c>
      <c r="N35" s="4">
        <v>4400</v>
      </c>
      <c r="P35" s="40"/>
    </row>
    <row r="36" spans="2:16" ht="13">
      <c r="B36" s="22" t="s">
        <v>905</v>
      </c>
      <c r="K36" s="39" t="s">
        <v>86</v>
      </c>
      <c r="L36" s="4" t="s">
        <v>87</v>
      </c>
      <c r="M36" s="4" t="s">
        <v>88</v>
      </c>
      <c r="N36" s="4">
        <v>3816</v>
      </c>
      <c r="P36" s="40"/>
    </row>
    <row r="37" spans="2:16">
      <c r="B37" s="4" t="s">
        <v>906</v>
      </c>
      <c r="K37" s="39" t="s">
        <v>89</v>
      </c>
      <c r="L37" s="4" t="s">
        <v>83</v>
      </c>
      <c r="M37" s="4" t="s">
        <v>85</v>
      </c>
      <c r="N37" s="4">
        <v>3195</v>
      </c>
      <c r="P37" s="40"/>
    </row>
    <row r="38" spans="2:16">
      <c r="K38" s="39" t="s">
        <v>90</v>
      </c>
      <c r="L38" s="4" t="s">
        <v>91</v>
      </c>
      <c r="M38" s="4" t="s">
        <v>84</v>
      </c>
      <c r="N38" s="4">
        <v>2679</v>
      </c>
      <c r="P38" s="40"/>
    </row>
    <row r="39" spans="2:16" ht="13">
      <c r="B39" s="22" t="s">
        <v>1016</v>
      </c>
      <c r="K39" s="39" t="s">
        <v>92</v>
      </c>
      <c r="L39" s="4" t="s">
        <v>93</v>
      </c>
      <c r="M39" s="4" t="s">
        <v>84</v>
      </c>
      <c r="N39" s="4">
        <v>5571</v>
      </c>
      <c r="P39" s="40"/>
    </row>
    <row r="40" spans="2:16" ht="13">
      <c r="B40" s="22"/>
      <c r="K40" s="39" t="s">
        <v>583</v>
      </c>
      <c r="L40" s="4" t="s">
        <v>584</v>
      </c>
      <c r="M40" s="4" t="s">
        <v>585</v>
      </c>
      <c r="N40" s="4">
        <v>4421</v>
      </c>
      <c r="P40" s="40"/>
    </row>
    <row r="41" spans="2:16" ht="13">
      <c r="B41" s="22" t="s">
        <v>1015</v>
      </c>
      <c r="K41" s="39" t="s">
        <v>586</v>
      </c>
      <c r="L41" s="4" t="s">
        <v>93</v>
      </c>
      <c r="M41" s="4" t="s">
        <v>84</v>
      </c>
      <c r="N41" s="4">
        <v>3638</v>
      </c>
      <c r="P41" s="40"/>
    </row>
    <row r="42" spans="2:16">
      <c r="P42" s="40"/>
    </row>
    <row r="43" spans="2:16" ht="13">
      <c r="B43" s="22" t="s">
        <v>111</v>
      </c>
      <c r="P43" s="40"/>
    </row>
    <row r="44" spans="2:16" ht="13" thickBot="1">
      <c r="B44" s="4" t="s">
        <v>106</v>
      </c>
      <c r="K44" s="41"/>
      <c r="L44" s="42"/>
      <c r="M44" s="42"/>
      <c r="N44" s="42"/>
      <c r="O44" s="42"/>
      <c r="P44" s="43"/>
    </row>
    <row r="46" spans="2:16" ht="13">
      <c r="B46" s="22" t="s">
        <v>1054</v>
      </c>
    </row>
    <row r="47" spans="2:16">
      <c r="B47" s="16" t="s">
        <v>1055</v>
      </c>
    </row>
    <row r="48" spans="2:16">
      <c r="B48" s="16"/>
    </row>
    <row r="49" spans="2:12" ht="13">
      <c r="B49" s="22" t="s">
        <v>1020</v>
      </c>
      <c r="K49" s="58">
        <v>39479</v>
      </c>
      <c r="L49" s="26">
        <v>10414</v>
      </c>
    </row>
    <row r="50" spans="2:12">
      <c r="B50" s="16" t="s">
        <v>231</v>
      </c>
      <c r="K50" s="58">
        <v>39508</v>
      </c>
      <c r="L50" s="26">
        <v>12661</v>
      </c>
    </row>
    <row r="51" spans="2:12">
      <c r="B51" s="16"/>
      <c r="K51" s="58">
        <v>39539</v>
      </c>
      <c r="L51" s="26">
        <v>10387</v>
      </c>
    </row>
    <row r="52" spans="2:12" ht="13">
      <c r="B52" s="22" t="s">
        <v>1020</v>
      </c>
    </row>
    <row r="53" spans="2:12">
      <c r="B53" s="16" t="s">
        <v>896</v>
      </c>
    </row>
    <row r="55" spans="2:12" ht="13">
      <c r="B55" s="22" t="s">
        <v>1017</v>
      </c>
    </row>
    <row r="56" spans="2:12">
      <c r="B56" s="4" t="s">
        <v>191</v>
      </c>
    </row>
    <row r="57" spans="2:12">
      <c r="B57" s="4" t="s">
        <v>192</v>
      </c>
    </row>
    <row r="58" spans="2:12" ht="13">
      <c r="B58" s="14" t="s">
        <v>895</v>
      </c>
    </row>
    <row r="59" spans="2:12" ht="13">
      <c r="B59" s="14" t="s">
        <v>1018</v>
      </c>
    </row>
    <row r="60" spans="2:12">
      <c r="B60" s="4" t="s">
        <v>425</v>
      </c>
    </row>
    <row r="63" spans="2:12" ht="13">
      <c r="B63" s="22" t="s">
        <v>1019</v>
      </c>
    </row>
    <row r="65" spans="2:3">
      <c r="B65" s="4" t="s">
        <v>285</v>
      </c>
    </row>
    <row r="66" spans="2:3">
      <c r="C66" s="4" t="s">
        <v>667</v>
      </c>
    </row>
    <row r="67" spans="2:3">
      <c r="C67" s="4" t="s">
        <v>668</v>
      </c>
    </row>
    <row r="69" spans="2:3" ht="13">
      <c r="B69" s="22" t="s">
        <v>232</v>
      </c>
    </row>
    <row r="71" spans="2:3" ht="13">
      <c r="B71" s="22" t="s">
        <v>233</v>
      </c>
    </row>
    <row r="73" spans="2:3" ht="1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796875" defaultRowHeight="12.5"/>
  <cols>
    <col min="1" max="1" width="5.453125" style="4" customWidth="1"/>
    <col min="2" max="2" width="13.81640625" style="4" customWidth="1"/>
    <col min="3" max="3" width="9.1796875" style="4"/>
    <col min="4" max="4" width="8.26953125" style="6" bestFit="1" customWidth="1"/>
    <col min="5" max="5" width="13.7265625" style="6" customWidth="1"/>
    <col min="6" max="6" width="10.81640625" style="6" bestFit="1" customWidth="1"/>
    <col min="7" max="7" width="11.453125" style="6" bestFit="1" customWidth="1"/>
    <col min="8" max="8" width="10.1796875" style="6" bestFit="1" customWidth="1"/>
    <col min="9" max="16384" width="9.1796875" style="4"/>
  </cols>
  <sheetData>
    <row r="1" spans="1:6">
      <c r="A1" s="10" t="s">
        <v>5</v>
      </c>
    </row>
    <row r="2" spans="1:6">
      <c r="A2" s="10"/>
      <c r="B2" s="4" t="s">
        <v>334</v>
      </c>
      <c r="C2" s="16" t="s">
        <v>1082</v>
      </c>
      <c r="E2" s="4" t="s">
        <v>287</v>
      </c>
      <c r="F2" s="4" t="s">
        <v>335</v>
      </c>
    </row>
    <row r="3" spans="1:6">
      <c r="B3" s="16" t="s">
        <v>3</v>
      </c>
      <c r="C3" s="4" t="s">
        <v>336</v>
      </c>
    </row>
    <row r="4" spans="1:6">
      <c r="B4" s="16" t="s">
        <v>806</v>
      </c>
      <c r="C4" s="16" t="s">
        <v>1076</v>
      </c>
    </row>
    <row r="5" spans="1:6">
      <c r="B5" s="16"/>
      <c r="C5" s="4" t="s">
        <v>167</v>
      </c>
    </row>
    <row r="6" spans="1:6">
      <c r="B6" s="16"/>
      <c r="C6" s="4" t="s">
        <v>165</v>
      </c>
    </row>
    <row r="7" spans="1:6">
      <c r="B7" s="16"/>
      <c r="C7" s="4" t="s">
        <v>731</v>
      </c>
    </row>
    <row r="8" spans="1:6">
      <c r="B8" s="16"/>
      <c r="C8" s="4" t="s">
        <v>193</v>
      </c>
    </row>
    <row r="9" spans="1:6">
      <c r="B9" s="16"/>
      <c r="C9" s="4" t="s">
        <v>194</v>
      </c>
    </row>
    <row r="10" spans="1:6">
      <c r="B10" s="16"/>
      <c r="C10" s="16" t="s">
        <v>1079</v>
      </c>
    </row>
    <row r="11" spans="1:6">
      <c r="B11" s="16"/>
      <c r="C11" s="4" t="s">
        <v>237</v>
      </c>
    </row>
    <row r="12" spans="1:6">
      <c r="B12" s="16"/>
      <c r="C12" s="4" t="s">
        <v>238</v>
      </c>
    </row>
    <row r="13" spans="1:6">
      <c r="B13" s="16"/>
      <c r="C13" s="4" t="s">
        <v>759</v>
      </c>
    </row>
    <row r="14" spans="1:6">
      <c r="B14" s="16"/>
      <c r="C14" s="4" t="s">
        <v>544</v>
      </c>
    </row>
    <row r="15" spans="1:6" ht="14.25" customHeight="1">
      <c r="B15" s="16" t="s">
        <v>451</v>
      </c>
      <c r="C15" s="4" t="s">
        <v>184</v>
      </c>
    </row>
    <row r="16" spans="1:6">
      <c r="B16" s="16"/>
      <c r="C16" s="4" t="s">
        <v>77</v>
      </c>
    </row>
    <row r="17" spans="2:3">
      <c r="B17" s="16"/>
      <c r="C17" s="4" t="s">
        <v>255</v>
      </c>
    </row>
    <row r="18" spans="2:3">
      <c r="B18" s="16" t="s">
        <v>328</v>
      </c>
      <c r="C18" s="4" t="s">
        <v>166</v>
      </c>
    </row>
    <row r="19" spans="2:3">
      <c r="B19" s="4" t="s">
        <v>528</v>
      </c>
      <c r="C19" s="4" t="s">
        <v>978</v>
      </c>
    </row>
    <row r="20" spans="2:3">
      <c r="B20" s="4" t="s">
        <v>534</v>
      </c>
      <c r="C20" s="16" t="s">
        <v>1094</v>
      </c>
    </row>
    <row r="21" spans="2:3">
      <c r="B21" s="16" t="s">
        <v>6</v>
      </c>
      <c r="C21" s="16" t="s">
        <v>1093</v>
      </c>
    </row>
    <row r="22" spans="2:3">
      <c r="B22" s="4" t="s">
        <v>7</v>
      </c>
      <c r="C22" s="16" t="s">
        <v>1069</v>
      </c>
    </row>
    <row r="23" spans="2:3">
      <c r="B23" s="4" t="s">
        <v>322</v>
      </c>
    </row>
    <row r="24" spans="2:3" ht="13">
      <c r="C24" s="22" t="s">
        <v>1078</v>
      </c>
    </row>
    <row r="25" spans="2:3">
      <c r="C25" s="4" t="s">
        <v>164</v>
      </c>
    </row>
    <row r="26" spans="2:3">
      <c r="C26" s="16" t="s">
        <v>1077</v>
      </c>
    </row>
    <row r="27" spans="2:3">
      <c r="C27" s="4" t="s">
        <v>629</v>
      </c>
    </row>
    <row r="28" spans="2:3">
      <c r="C28" s="16" t="s">
        <v>1080</v>
      </c>
    </row>
    <row r="29" spans="2:3">
      <c r="C29" s="4" t="s">
        <v>393</v>
      </c>
    </row>
    <row r="30" spans="2:3" ht="13">
      <c r="C30" s="22" t="s">
        <v>168</v>
      </c>
    </row>
    <row r="31" spans="2:3">
      <c r="C31" s="16" t="s">
        <v>171</v>
      </c>
    </row>
    <row r="32" spans="2:3">
      <c r="C32" s="4" t="s">
        <v>484</v>
      </c>
    </row>
    <row r="34" spans="3:3" ht="13">
      <c r="C34" s="22" t="s">
        <v>617</v>
      </c>
    </row>
    <row r="35" spans="3:3">
      <c r="C35" s="16" t="s">
        <v>741</v>
      </c>
    </row>
    <row r="37" spans="3:3" ht="13">
      <c r="C37" s="22" t="s">
        <v>169</v>
      </c>
    </row>
    <row r="38" spans="3:3" ht="13">
      <c r="C38" s="14" t="s">
        <v>1029</v>
      </c>
    </row>
    <row r="39" spans="3:3">
      <c r="C39" s="4" t="s">
        <v>170</v>
      </c>
    </row>
    <row r="40" spans="3:3">
      <c r="C40" s="4" t="s">
        <v>1030</v>
      </c>
    </row>
    <row r="41" spans="3:3">
      <c r="C41" s="4" t="s">
        <v>1031</v>
      </c>
    </row>
    <row r="43" spans="3:3" ht="13">
      <c r="C43" s="22" t="s">
        <v>986</v>
      </c>
    </row>
    <row r="44" spans="3:3">
      <c r="C44" s="16" t="s">
        <v>651</v>
      </c>
    </row>
    <row r="45" spans="3:3">
      <c r="C45" s="16" t="s">
        <v>400</v>
      </c>
    </row>
    <row r="46" spans="3:3">
      <c r="C46" s="16" t="s">
        <v>41</v>
      </c>
    </row>
    <row r="47" spans="3:3">
      <c r="C47" s="16" t="s">
        <v>994</v>
      </c>
    </row>
    <row r="49" spans="3:9" ht="13">
      <c r="C49" s="22" t="s">
        <v>46</v>
      </c>
    </row>
    <row r="50" spans="3:9">
      <c r="C50" s="4" t="s">
        <v>985</v>
      </c>
    </row>
    <row r="51" spans="3:9">
      <c r="C51" s="4" t="s">
        <v>691</v>
      </c>
    </row>
    <row r="53" spans="3:9" ht="13">
      <c r="C53" s="22" t="s">
        <v>661</v>
      </c>
      <c r="D53" s="4"/>
      <c r="E53"/>
      <c r="I53" s="6"/>
    </row>
    <row r="54" spans="3:9">
      <c r="C54" s="4" t="s">
        <v>3</v>
      </c>
      <c r="D54" s="4" t="s">
        <v>618</v>
      </c>
      <c r="I54" s="6"/>
    </row>
    <row r="55" spans="3:9">
      <c r="C55" s="4" t="s">
        <v>420</v>
      </c>
      <c r="D55" s="4" t="s">
        <v>421</v>
      </c>
      <c r="I55" s="6"/>
    </row>
    <row r="56" spans="3:9">
      <c r="C56" s="4" t="s">
        <v>551</v>
      </c>
      <c r="D56" s="4" t="s">
        <v>418</v>
      </c>
      <c r="I56" s="6"/>
    </row>
    <row r="57" spans="3:9">
      <c r="C57" s="16" t="s">
        <v>1068</v>
      </c>
      <c r="D57" s="4"/>
      <c r="I57" s="6"/>
    </row>
    <row r="58" spans="3:9">
      <c r="D58" s="4"/>
      <c r="I58" s="6"/>
    </row>
    <row r="59" spans="3:9" ht="13">
      <c r="C59" s="22" t="s">
        <v>419</v>
      </c>
      <c r="D59" s="4"/>
      <c r="I59" s="6"/>
    </row>
    <row r="60" spans="3:9">
      <c r="C60" s="16" t="s">
        <v>619</v>
      </c>
      <c r="D60" s="4"/>
      <c r="I60" s="6"/>
    </row>
    <row r="61" spans="3:9" ht="13">
      <c r="C61" s="14" t="s">
        <v>449</v>
      </c>
      <c r="D61" s="4"/>
      <c r="I61" s="6"/>
    </row>
    <row r="63" spans="3:9" ht="13">
      <c r="C63" s="22" t="s">
        <v>1095</v>
      </c>
    </row>
    <row r="64" spans="3:9">
      <c r="C64" s="4" t="s">
        <v>293</v>
      </c>
    </row>
    <row r="66" spans="3:13" ht="13">
      <c r="C66" s="22" t="s">
        <v>1096</v>
      </c>
    </row>
    <row r="67" spans="3:13">
      <c r="C67" s="16" t="s">
        <v>1097</v>
      </c>
    </row>
    <row r="68" spans="3:13">
      <c r="C68" s="16" t="s">
        <v>1098</v>
      </c>
    </row>
    <row r="70" spans="3:13" ht="13">
      <c r="C70" s="22" t="s">
        <v>1074</v>
      </c>
      <c r="M70" s="69"/>
    </row>
    <row r="71" spans="3:13">
      <c r="C71" s="16" t="s">
        <v>1049</v>
      </c>
      <c r="M71" s="69"/>
    </row>
    <row r="72" spans="3:13">
      <c r="C72" s="16" t="s">
        <v>1050</v>
      </c>
      <c r="M72" s="69"/>
    </row>
    <row r="73" spans="3:13" ht="13">
      <c r="C73" s="14" t="s">
        <v>1084</v>
      </c>
      <c r="M73" s="69"/>
    </row>
    <row r="74" spans="3:13">
      <c r="C74" s="16" t="s">
        <v>1083</v>
      </c>
      <c r="M74" s="69"/>
    </row>
    <row r="75" spans="3:13">
      <c r="M75" s="69"/>
    </row>
    <row r="76" spans="3:13" ht="13">
      <c r="C76" s="22" t="s">
        <v>621</v>
      </c>
      <c r="M76" s="69"/>
    </row>
    <row r="77" spans="3:13">
      <c r="C77" s="4" t="s">
        <v>620</v>
      </c>
    </row>
    <row r="79" spans="3:13">
      <c r="C79" s="4" t="s">
        <v>272</v>
      </c>
    </row>
    <row r="80" spans="3:13">
      <c r="C80" s="4" t="s">
        <v>530</v>
      </c>
    </row>
    <row r="81" spans="3:3">
      <c r="C81" s="4" t="s">
        <v>531</v>
      </c>
    </row>
    <row r="83" spans="3:3" ht="13">
      <c r="C83" s="23" t="s">
        <v>195</v>
      </c>
    </row>
    <row r="84" spans="3:3">
      <c r="C84" s="4" t="s">
        <v>311</v>
      </c>
    </row>
    <row r="85" spans="3:3">
      <c r="C85" s="4" t="s">
        <v>761</v>
      </c>
    </row>
    <row r="87" spans="3:3" ht="13">
      <c r="C87" s="22" t="s">
        <v>44</v>
      </c>
    </row>
    <row r="88" spans="3:3">
      <c r="C88" s="4" t="s">
        <v>45</v>
      </c>
    </row>
    <row r="89" spans="3:3">
      <c r="C89" s="4" t="s">
        <v>42</v>
      </c>
    </row>
    <row r="91" spans="3:3" ht="13">
      <c r="C91" s="22" t="s">
        <v>78</v>
      </c>
    </row>
    <row r="92" spans="3:3">
      <c r="C92" s="4" t="s">
        <v>79</v>
      </c>
    </row>
    <row r="95" spans="3:3" ht="13">
      <c r="C95" s="22" t="s">
        <v>1066</v>
      </c>
    </row>
    <row r="96" spans="3:3">
      <c r="C96" s="16" t="s">
        <v>1067</v>
      </c>
    </row>
    <row r="98" spans="3:4" ht="13">
      <c r="C98" s="22" t="s">
        <v>333</v>
      </c>
      <c r="D98" s="22"/>
    </row>
    <row r="99" spans="3:4">
      <c r="C99" s="4" t="s">
        <v>337</v>
      </c>
      <c r="D99" s="4" t="s">
        <v>760</v>
      </c>
    </row>
    <row r="101" spans="3:4" ht="13">
      <c r="C101" s="22" t="s">
        <v>1099</v>
      </c>
    </row>
    <row r="102" spans="3:4">
      <c r="C102" s="16" t="s">
        <v>1100</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38"/>
  <sheetViews>
    <sheetView zoomScaleNormal="100" workbookViewId="0">
      <pane xSplit="2" ySplit="2" topLeftCell="CF68" activePane="bottomRight" state="frozen"/>
      <selection pane="topRight" activeCell="C1" sqref="C1"/>
      <selection pane="bottomLeft" activeCell="A4" sqref="A4"/>
      <selection pane="bottomRight" activeCell="CM104" sqref="CM104"/>
    </sheetView>
  </sheetViews>
  <sheetFormatPr defaultColWidth="9.1796875" defaultRowHeight="12.5"/>
  <cols>
    <col min="1" max="1" width="5" style="4" bestFit="1" customWidth="1"/>
    <col min="2" max="2" width="19.453125" style="4" bestFit="1" customWidth="1"/>
    <col min="3" max="4" width="5.453125" style="71" bestFit="1" customWidth="1"/>
    <col min="5" max="5" width="6.81640625" style="71" bestFit="1" customWidth="1"/>
    <col min="6" max="6" width="5.453125" style="71" bestFit="1" customWidth="1"/>
    <col min="7" max="8" width="6.81640625" style="71" bestFit="1" customWidth="1"/>
    <col min="9" max="9" width="7.1796875" style="71" bestFit="1" customWidth="1"/>
    <col min="10" max="10" width="6.81640625" style="71" bestFit="1" customWidth="1"/>
    <col min="11" max="11" width="7.453125" style="71" bestFit="1" customWidth="1"/>
    <col min="12" max="12" width="6.81640625" style="71" bestFit="1" customWidth="1"/>
    <col min="13" max="22" width="7.453125" style="71" bestFit="1" customWidth="1"/>
    <col min="23" max="27" width="6.81640625" style="71" bestFit="1" customWidth="1"/>
    <col min="28" max="28" width="7.26953125" style="71" bestFit="1" customWidth="1"/>
    <col min="29" max="38" width="7.453125" style="71" bestFit="1" customWidth="1"/>
    <col min="39" max="39" width="6.81640625" style="71" bestFit="1" customWidth="1"/>
    <col min="40" max="90" width="7.26953125" style="71" customWidth="1"/>
    <col min="91" max="103" width="7.26953125" style="114" customWidth="1"/>
    <col min="104" max="104" width="9.1796875" style="71"/>
    <col min="105" max="122" width="7.26953125" style="71" customWidth="1"/>
    <col min="123" max="135" width="8.453125" style="71" customWidth="1"/>
    <col min="136" max="16384" width="9.1796875" style="4"/>
  </cols>
  <sheetData>
    <row r="1" spans="1:140">
      <c r="A1" s="60" t="s">
        <v>5</v>
      </c>
      <c r="CI1" s="114"/>
      <c r="CJ1" s="114"/>
      <c r="CK1" s="114"/>
      <c r="CL1" s="114"/>
    </row>
    <row r="2" spans="1:140">
      <c r="C2" s="71" t="s">
        <v>476</v>
      </c>
      <c r="D2" s="71" t="s">
        <v>477</v>
      </c>
      <c r="E2" s="71" t="s">
        <v>478</v>
      </c>
      <c r="F2" s="71" t="s">
        <v>479</v>
      </c>
      <c r="G2" s="71" t="s">
        <v>821</v>
      </c>
      <c r="H2" s="71" t="s">
        <v>822</v>
      </c>
      <c r="I2" s="71" t="s">
        <v>823</v>
      </c>
      <c r="J2" s="71" t="s">
        <v>567</v>
      </c>
      <c r="K2" s="71" t="s">
        <v>565</v>
      </c>
      <c r="L2" s="71" t="s">
        <v>564</v>
      </c>
      <c r="M2" s="71" t="s">
        <v>503</v>
      </c>
      <c r="N2" s="71" t="s">
        <v>504</v>
      </c>
      <c r="O2" s="71" t="s">
        <v>506</v>
      </c>
      <c r="P2" s="71" t="s">
        <v>507</v>
      </c>
      <c r="Q2" s="71" t="s">
        <v>508</v>
      </c>
      <c r="R2" s="71" t="s">
        <v>96</v>
      </c>
      <c r="S2" s="71" t="s">
        <v>836</v>
      </c>
      <c r="T2" s="71" t="s">
        <v>837</v>
      </c>
      <c r="U2" s="71" t="s">
        <v>838</v>
      </c>
      <c r="V2" s="71" t="s">
        <v>839</v>
      </c>
      <c r="W2" s="71" t="s">
        <v>764</v>
      </c>
      <c r="X2" s="71" t="s">
        <v>313</v>
      </c>
      <c r="Y2" s="71" t="s">
        <v>318</v>
      </c>
      <c r="Z2" s="71" t="s">
        <v>765</v>
      </c>
      <c r="AA2" s="71" t="s">
        <v>840</v>
      </c>
      <c r="AB2" s="71" t="s">
        <v>841</v>
      </c>
      <c r="AC2" s="71" t="s">
        <v>842</v>
      </c>
      <c r="AD2" s="71" t="s">
        <v>843</v>
      </c>
      <c r="AE2" s="71" t="s">
        <v>540</v>
      </c>
      <c r="AF2" s="71" t="s">
        <v>541</v>
      </c>
      <c r="AG2" s="71" t="s">
        <v>542</v>
      </c>
      <c r="AH2" s="71" t="s">
        <v>543</v>
      </c>
      <c r="AI2" s="71" t="s">
        <v>422</v>
      </c>
      <c r="AJ2" s="71" t="s">
        <v>47</v>
      </c>
      <c r="AK2" s="71" t="s">
        <v>48</v>
      </c>
      <c r="AL2" s="71" t="s">
        <v>49</v>
      </c>
      <c r="AM2" s="70" t="s">
        <v>1085</v>
      </c>
      <c r="AN2" s="70" t="s">
        <v>1086</v>
      </c>
      <c r="AO2" s="70" t="s">
        <v>1087</v>
      </c>
      <c r="AP2" s="70" t="s">
        <v>1088</v>
      </c>
      <c r="AQ2" s="70" t="s">
        <v>1113</v>
      </c>
      <c r="AR2" s="70" t="s">
        <v>1114</v>
      </c>
      <c r="AS2" s="70" t="s">
        <v>1115</v>
      </c>
      <c r="AT2" s="70" t="s">
        <v>1116</v>
      </c>
      <c r="AU2" s="70" t="s">
        <v>1122</v>
      </c>
      <c r="AV2" s="70" t="s">
        <v>1123</v>
      </c>
      <c r="AW2" s="70" t="s">
        <v>1124</v>
      </c>
      <c r="AX2" s="70" t="s">
        <v>1125</v>
      </c>
      <c r="AY2" s="70" t="s">
        <v>1144</v>
      </c>
      <c r="AZ2" s="70" t="s">
        <v>1145</v>
      </c>
      <c r="BA2" s="70" t="s">
        <v>1146</v>
      </c>
      <c r="BB2" s="70" t="s">
        <v>1147</v>
      </c>
      <c r="BC2" s="70" t="s">
        <v>1134</v>
      </c>
      <c r="BD2" s="70" t="s">
        <v>1143</v>
      </c>
      <c r="BE2" s="70" t="s">
        <v>1148</v>
      </c>
      <c r="BF2" s="70" t="s">
        <v>1149</v>
      </c>
      <c r="BG2" s="70" t="s">
        <v>1150</v>
      </c>
      <c r="BH2" s="70" t="s">
        <v>1151</v>
      </c>
      <c r="BI2" s="70" t="s">
        <v>1152</v>
      </c>
      <c r="BJ2" s="70" t="s">
        <v>1153</v>
      </c>
      <c r="BK2" s="70" t="s">
        <v>1156</v>
      </c>
      <c r="BL2" s="70" t="s">
        <v>1157</v>
      </c>
      <c r="BM2" s="70" t="s">
        <v>1158</v>
      </c>
      <c r="BN2" s="70" t="s">
        <v>1159</v>
      </c>
      <c r="BO2" s="70" t="s">
        <v>1160</v>
      </c>
      <c r="BP2" s="70" t="s">
        <v>1161</v>
      </c>
      <c r="BQ2" s="70" t="s">
        <v>1162</v>
      </c>
      <c r="BR2" s="70" t="s">
        <v>1163</v>
      </c>
      <c r="BS2" s="70" t="s">
        <v>1164</v>
      </c>
      <c r="BT2" s="70" t="s">
        <v>1165</v>
      </c>
      <c r="BU2" s="70" t="s">
        <v>1166</v>
      </c>
      <c r="BV2" s="70" t="s">
        <v>1167</v>
      </c>
      <c r="BW2" s="70" t="s">
        <v>1168</v>
      </c>
      <c r="BX2" s="70" t="s">
        <v>1169</v>
      </c>
      <c r="BY2" s="70" t="s">
        <v>1170</v>
      </c>
      <c r="BZ2" s="70" t="s">
        <v>1171</v>
      </c>
      <c r="CA2" s="70" t="s">
        <v>1172</v>
      </c>
      <c r="CB2" s="70" t="s">
        <v>1173</v>
      </c>
      <c r="CC2" s="70" t="s">
        <v>1174</v>
      </c>
      <c r="CD2" s="70" t="s">
        <v>1175</v>
      </c>
      <c r="CE2" s="70" t="s">
        <v>1176</v>
      </c>
      <c r="CF2" s="70" t="s">
        <v>1177</v>
      </c>
      <c r="CG2" s="70" t="s">
        <v>1178</v>
      </c>
      <c r="CH2" s="70" t="s">
        <v>1179</v>
      </c>
      <c r="CI2" s="115" t="s">
        <v>1180</v>
      </c>
      <c r="CJ2" s="115" t="s">
        <v>1181</v>
      </c>
      <c r="CK2" s="115" t="s">
        <v>1182</v>
      </c>
      <c r="CL2" s="115" t="s">
        <v>1183</v>
      </c>
      <c r="CM2" s="115" t="s">
        <v>1184</v>
      </c>
      <c r="CN2" s="115" t="s">
        <v>1185</v>
      </c>
      <c r="CO2" s="115" t="s">
        <v>1186</v>
      </c>
      <c r="CP2" s="115" t="s">
        <v>1187</v>
      </c>
      <c r="CQ2" s="116" t="s">
        <v>1288</v>
      </c>
      <c r="CR2" s="116" t="s">
        <v>1289</v>
      </c>
      <c r="CS2" s="116" t="s">
        <v>1290</v>
      </c>
      <c r="CT2" s="116" t="s">
        <v>1291</v>
      </c>
      <c r="CU2" s="116" t="s">
        <v>1292</v>
      </c>
      <c r="CV2" s="116" t="s">
        <v>1293</v>
      </c>
      <c r="CW2" s="116" t="s">
        <v>1294</v>
      </c>
      <c r="CX2" s="116" t="s">
        <v>1295</v>
      </c>
      <c r="CY2" s="115"/>
      <c r="DA2" s="71" t="s">
        <v>174</v>
      </c>
      <c r="DB2" s="71" t="s">
        <v>175</v>
      </c>
      <c r="DC2" s="71" t="s">
        <v>566</v>
      </c>
      <c r="DD2" s="71" t="s">
        <v>505</v>
      </c>
      <c r="DE2" s="71" t="s">
        <v>105</v>
      </c>
      <c r="DF2" s="71" t="s">
        <v>104</v>
      </c>
      <c r="DG2" s="71" t="s">
        <v>742</v>
      </c>
      <c r="DH2" s="71" t="s">
        <v>818</v>
      </c>
      <c r="DI2" s="71" t="s">
        <v>289</v>
      </c>
      <c r="DJ2" s="71" t="s">
        <v>560</v>
      </c>
      <c r="DK2" s="71" t="s">
        <v>960</v>
      </c>
      <c r="DL2" s="71" t="s">
        <v>570</v>
      </c>
      <c r="DM2" s="71" t="s">
        <v>609</v>
      </c>
      <c r="DN2" s="71" t="s">
        <v>657</v>
      </c>
      <c r="DO2" s="71" t="s">
        <v>658</v>
      </c>
      <c r="DP2" s="71" t="s">
        <v>303</v>
      </c>
      <c r="DQ2" s="71" t="s">
        <v>1120</v>
      </c>
      <c r="DR2" s="71" t="s">
        <v>1119</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598</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v>270</v>
      </c>
      <c r="BP3" s="67"/>
      <c r="BQ3" s="67"/>
      <c r="BR3" s="67"/>
      <c r="BS3" s="67">
        <v>244</v>
      </c>
      <c r="BT3" s="67"/>
      <c r="BU3" s="67"/>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117">
        <v>33</v>
      </c>
      <c r="CT3" s="117">
        <v>19</v>
      </c>
      <c r="CU3" s="117">
        <f t="shared" ref="CU3:CX3" si="2">+CT3</f>
        <v>19</v>
      </c>
      <c r="CV3" s="117">
        <f t="shared" si="2"/>
        <v>19</v>
      </c>
      <c r="CW3" s="117">
        <f t="shared" si="2"/>
        <v>19</v>
      </c>
      <c r="CX3" s="117">
        <f t="shared" si="2"/>
        <v>19</v>
      </c>
      <c r="CY3" s="11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SUM(CQ3:CT3)</f>
        <v>125</v>
      </c>
      <c r="DZ3" s="67">
        <f>SUM(CU3:CX3)</f>
        <v>76</v>
      </c>
      <c r="EA3" s="67">
        <f t="shared" ref="EA3:EJ3" si="4">+DZ3*0.9</f>
        <v>68.400000000000006</v>
      </c>
      <c r="EB3" s="67">
        <f t="shared" si="4"/>
        <v>61.560000000000009</v>
      </c>
      <c r="EC3" s="67">
        <f t="shared" si="4"/>
        <v>55.404000000000011</v>
      </c>
      <c r="ED3" s="67">
        <f t="shared" si="4"/>
        <v>49.863600000000012</v>
      </c>
      <c r="EE3" s="67">
        <f t="shared" si="4"/>
        <v>44.877240000000015</v>
      </c>
      <c r="EF3" s="67">
        <f t="shared" si="4"/>
        <v>40.389516000000015</v>
      </c>
      <c r="EG3" s="67">
        <f t="shared" si="4"/>
        <v>36.350564400000017</v>
      </c>
      <c r="EH3" s="67">
        <f t="shared" si="4"/>
        <v>32.715507960000018</v>
      </c>
      <c r="EI3" s="67">
        <f t="shared" si="4"/>
        <v>29.443957164000018</v>
      </c>
      <c r="EJ3" s="67">
        <f t="shared" si="4"/>
        <v>26.499561447600016</v>
      </c>
    </row>
    <row r="4" spans="1:140" s="26" customFormat="1">
      <c r="B4" s="26" t="s">
        <v>597</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v>511</v>
      </c>
      <c r="BP4" s="67"/>
      <c r="BQ4" s="67"/>
      <c r="BR4" s="67"/>
      <c r="BS4" s="67">
        <v>454</v>
      </c>
      <c r="BT4" s="67"/>
      <c r="BU4" s="67"/>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117">
        <v>337</v>
      </c>
      <c r="CT4" s="117">
        <v>308</v>
      </c>
      <c r="CU4" s="117">
        <f t="shared" ref="CU4:CX4" si="5">+CT4</f>
        <v>308</v>
      </c>
      <c r="CV4" s="117">
        <f t="shared" si="5"/>
        <v>308</v>
      </c>
      <c r="CW4" s="117">
        <f t="shared" si="5"/>
        <v>308</v>
      </c>
      <c r="CX4" s="117">
        <f t="shared" si="5"/>
        <v>308</v>
      </c>
      <c r="CY4" s="11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DL4*(1+DM65)</f>
        <v>2240.2899999999995</v>
      </c>
      <c r="DN4" s="67">
        <f>DM4*(1+DN65)</f>
        <v>2016.2609999999995</v>
      </c>
      <c r="DO4" s="67">
        <f>DN4*(1+DO65)</f>
        <v>1814.6348999999996</v>
      </c>
      <c r="DP4" s="67">
        <f>DO4*(1+DP65)</f>
        <v>1633.1714099999997</v>
      </c>
      <c r="DQ4" s="67">
        <f>DP4*0.9</f>
        <v>1469.8542689999997</v>
      </c>
      <c r="DR4" s="67"/>
      <c r="DS4" s="67"/>
      <c r="DT4" s="67">
        <f>SUM(BW4:BZ4)</f>
        <v>1729</v>
      </c>
      <c r="DU4" s="67">
        <f>SUM(CA4:CD4)</f>
        <v>1568</v>
      </c>
      <c r="DV4" s="67">
        <f>SUM(CE4:CH4)</f>
        <v>1480</v>
      </c>
      <c r="DW4" s="67">
        <f>SUM(CI4:CL4)</f>
        <v>1421</v>
      </c>
      <c r="DX4" s="67">
        <f>SUM(CM4:CP4)</f>
        <v>1362</v>
      </c>
      <c r="DY4" s="67">
        <f t="shared" ref="DY4" si="6">SUM(CQ4:CT4)</f>
        <v>1342</v>
      </c>
      <c r="DZ4" s="67">
        <f t="shared" ref="DZ4" si="7">SUM(CU4:CX4)</f>
        <v>1232</v>
      </c>
      <c r="EA4" s="67">
        <f t="shared" ref="EA4:EJ4" si="8">+DZ4*0.9</f>
        <v>1108.8</v>
      </c>
      <c r="EB4" s="67">
        <f t="shared" si="8"/>
        <v>997.92</v>
      </c>
      <c r="EC4" s="67">
        <f t="shared" si="8"/>
        <v>898.12799999999993</v>
      </c>
      <c r="ED4" s="67">
        <f t="shared" si="8"/>
        <v>808.3152</v>
      </c>
      <c r="EE4" s="67">
        <f t="shared" si="8"/>
        <v>727.48368000000005</v>
      </c>
      <c r="EF4" s="67">
        <f t="shared" si="8"/>
        <v>654.73531200000002</v>
      </c>
      <c r="EG4" s="67">
        <f t="shared" si="8"/>
        <v>589.2617808</v>
      </c>
      <c r="EH4" s="67">
        <f t="shared" si="8"/>
        <v>530.33560272</v>
      </c>
      <c r="EI4" s="67">
        <f t="shared" si="8"/>
        <v>477.30204244800001</v>
      </c>
      <c r="EJ4" s="67">
        <f t="shared" si="8"/>
        <v>429.5718382032</v>
      </c>
    </row>
    <row r="5" spans="1:140" s="97" customFormat="1">
      <c r="B5" s="97" t="s">
        <v>416</v>
      </c>
      <c r="C5" s="73">
        <f>SUM(C3:C4)</f>
        <v>503</v>
      </c>
      <c r="D5" s="73">
        <f>SUM(D3:D4)</f>
        <v>518</v>
      </c>
      <c r="E5" s="73">
        <f>SUM(E3:E4)</f>
        <v>520</v>
      </c>
      <c r="F5" s="73">
        <f>SUM(F3:F4)</f>
        <v>609</v>
      </c>
      <c r="G5" s="73">
        <f t="shared" ref="G5:R5" si="9">SUM(G3:G4)</f>
        <v>551.40000000000009</v>
      </c>
      <c r="H5" s="73">
        <f t="shared" si="9"/>
        <v>626</v>
      </c>
      <c r="I5" s="73">
        <f t="shared" si="9"/>
        <v>672.09999999999991</v>
      </c>
      <c r="J5" s="73">
        <f t="shared" si="9"/>
        <v>826.7</v>
      </c>
      <c r="K5" s="73">
        <f t="shared" si="9"/>
        <v>801.90000000000009</v>
      </c>
      <c r="L5" s="73">
        <f t="shared" si="9"/>
        <v>958.8</v>
      </c>
      <c r="M5" s="73">
        <f t="shared" si="9"/>
        <v>1064.1999999999998</v>
      </c>
      <c r="N5" s="73">
        <f t="shared" si="9"/>
        <v>1153.5999999999999</v>
      </c>
      <c r="O5" s="73">
        <f t="shared" si="9"/>
        <v>1133</v>
      </c>
      <c r="P5" s="73">
        <f t="shared" si="9"/>
        <v>1249.5999999999999</v>
      </c>
      <c r="Q5" s="73">
        <f t="shared" si="9"/>
        <v>1289</v>
      </c>
      <c r="R5" s="73">
        <f t="shared" si="9"/>
        <v>1402</v>
      </c>
      <c r="S5" s="73">
        <f t="shared" ref="S5:Z5" si="10">S4+S3</f>
        <v>1306</v>
      </c>
      <c r="T5" s="73">
        <f t="shared" si="10"/>
        <v>1484</v>
      </c>
      <c r="U5" s="73">
        <f t="shared" si="10"/>
        <v>1439</v>
      </c>
      <c r="V5" s="73">
        <f t="shared" si="10"/>
        <v>1499</v>
      </c>
      <c r="W5" s="73">
        <f t="shared" si="10"/>
        <v>1497</v>
      </c>
      <c r="X5" s="73">
        <f>X4+X3</f>
        <v>1668</v>
      </c>
      <c r="Y5" s="73">
        <f t="shared" si="10"/>
        <v>1700</v>
      </c>
      <c r="Z5" s="73">
        <f t="shared" si="10"/>
        <v>1767</v>
      </c>
      <c r="AA5" s="73">
        <f t="shared" ref="AA5:AJ5" si="11">AA4+AA3</f>
        <v>1645</v>
      </c>
      <c r="AB5" s="73">
        <f t="shared" si="11"/>
        <v>1573</v>
      </c>
      <c r="AC5" s="73">
        <f t="shared" si="11"/>
        <v>1420</v>
      </c>
      <c r="AD5" s="73">
        <f t="shared" si="11"/>
        <v>1465</v>
      </c>
      <c r="AE5" s="73">
        <f t="shared" si="11"/>
        <v>1315</v>
      </c>
      <c r="AF5" s="73">
        <f t="shared" si="11"/>
        <v>1447</v>
      </c>
      <c r="AG5" s="73">
        <f t="shared" si="11"/>
        <v>1479</v>
      </c>
      <c r="AH5" s="73">
        <f t="shared" si="11"/>
        <v>1352</v>
      </c>
      <c r="AI5" s="73">
        <f t="shared" si="11"/>
        <v>1191</v>
      </c>
      <c r="AJ5" s="73">
        <f t="shared" si="11"/>
        <v>1331</v>
      </c>
      <c r="AK5" s="73">
        <f>AK4+AK3</f>
        <v>1348</v>
      </c>
      <c r="AL5" s="73">
        <f>AL4+AL3</f>
        <v>1351</v>
      </c>
      <c r="AM5" s="73">
        <f>AM4+AM3</f>
        <v>1250</v>
      </c>
      <c r="AN5" s="73">
        <f t="shared" ref="AN5:AT5" si="12">+AN4+AN3</f>
        <v>1260</v>
      </c>
      <c r="AO5" s="73">
        <f t="shared" si="12"/>
        <v>1276</v>
      </c>
      <c r="AP5" s="73">
        <f t="shared" si="12"/>
        <v>1224</v>
      </c>
      <c r="AQ5" s="73">
        <f t="shared" si="12"/>
        <v>1115</v>
      </c>
      <c r="AR5" s="73">
        <f>+AR4+AR3</f>
        <v>1128</v>
      </c>
      <c r="AS5" s="73">
        <f t="shared" si="12"/>
        <v>1212.2</v>
      </c>
      <c r="AT5" s="73">
        <f t="shared" si="12"/>
        <v>1162.8</v>
      </c>
      <c r="AU5" s="73">
        <f>+AU4+AU3</f>
        <v>1059.25</v>
      </c>
      <c r="AV5" s="73">
        <f>+AV4+AV3</f>
        <v>1061</v>
      </c>
      <c r="AW5" s="73">
        <f>+AW4+AW3</f>
        <v>1151.5900000000001</v>
      </c>
      <c r="AX5" s="73">
        <f>+AX4+AX3</f>
        <v>1104.6599999999999</v>
      </c>
      <c r="AY5" s="73">
        <f t="shared" ref="AY5:BD5" si="13">+AY4+AY3</f>
        <v>0</v>
      </c>
      <c r="AZ5" s="73">
        <f t="shared" si="13"/>
        <v>1026</v>
      </c>
      <c r="BA5" s="73">
        <f t="shared" si="13"/>
        <v>0</v>
      </c>
      <c r="BB5" s="73">
        <f t="shared" si="13"/>
        <v>0</v>
      </c>
      <c r="BC5" s="73">
        <f t="shared" si="13"/>
        <v>0</v>
      </c>
      <c r="BD5" s="73">
        <f t="shared" si="13"/>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118"/>
      <c r="CJ5" s="118"/>
      <c r="CK5" s="118"/>
      <c r="CL5" s="118"/>
      <c r="CM5" s="118"/>
      <c r="CN5" s="118"/>
      <c r="CO5" s="118"/>
      <c r="CP5" s="118"/>
      <c r="CQ5" s="118"/>
      <c r="CR5" s="118"/>
      <c r="CS5" s="117"/>
      <c r="CT5" s="117"/>
      <c r="CU5" s="117"/>
      <c r="CV5" s="117"/>
      <c r="CW5" s="117"/>
      <c r="CX5" s="117"/>
      <c r="CY5" s="118"/>
      <c r="CZ5" s="73"/>
      <c r="DA5" s="73">
        <f t="shared" ref="DA5:DI5" si="14">DA4+DA3</f>
        <v>1962.4</v>
      </c>
      <c r="DB5" s="73">
        <f t="shared" si="14"/>
        <v>2150.1</v>
      </c>
      <c r="DC5" s="73">
        <f t="shared" si="14"/>
        <v>2675.6</v>
      </c>
      <c r="DD5" s="73">
        <f t="shared" si="14"/>
        <v>3978.5</v>
      </c>
      <c r="DE5" s="73">
        <f t="shared" si="14"/>
        <v>5073.6000000000004</v>
      </c>
      <c r="DF5" s="73">
        <f t="shared" si="14"/>
        <v>5728</v>
      </c>
      <c r="DG5" s="73">
        <f t="shared" si="14"/>
        <v>6632</v>
      </c>
      <c r="DH5" s="73">
        <f>DH4+DH3</f>
        <v>6103</v>
      </c>
      <c r="DI5" s="73">
        <f t="shared" si="14"/>
        <v>5593</v>
      </c>
      <c r="DJ5" s="73">
        <f>DJ4+DJ3</f>
        <v>5221</v>
      </c>
      <c r="DK5" s="73">
        <f>DK4+DK3</f>
        <v>5010</v>
      </c>
      <c r="DL5" s="73">
        <f>DL4+DL3</f>
        <v>4618</v>
      </c>
      <c r="DM5" s="67">
        <f>DM4+DM3</f>
        <v>4048.1299999999992</v>
      </c>
      <c r="DN5" s="67">
        <f t="shared" ref="DN5:DQ5" si="15">DN4+DN3</f>
        <v>3462.5329999999994</v>
      </c>
      <c r="DO5" s="67">
        <f t="shared" si="15"/>
        <v>3116.2796999999996</v>
      </c>
      <c r="DP5" s="67">
        <f t="shared" si="15"/>
        <v>2804.6517299999996</v>
      </c>
      <c r="DQ5" s="67">
        <f t="shared" si="15"/>
        <v>2524.186557</v>
      </c>
      <c r="DR5" s="67"/>
      <c r="DS5" s="67"/>
      <c r="DT5" s="67"/>
      <c r="DU5" s="73"/>
      <c r="DV5" s="73"/>
      <c r="DW5" s="73"/>
      <c r="DX5" s="67"/>
      <c r="DY5" s="73"/>
      <c r="DZ5" s="73"/>
      <c r="EA5" s="73"/>
      <c r="EB5" s="73"/>
      <c r="EC5" s="73"/>
      <c r="ED5" s="73"/>
      <c r="EE5" s="73"/>
    </row>
    <row r="6" spans="1:140" s="26" customFormat="1">
      <c r="B6" s="26" t="s">
        <v>599</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6">+AO6</f>
        <v>338</v>
      </c>
      <c r="AT6" s="67">
        <f t="shared" si="16"/>
        <v>319</v>
      </c>
      <c r="AU6" s="67">
        <f>+AQ6</f>
        <v>296</v>
      </c>
      <c r="AV6" s="67">
        <v>332</v>
      </c>
      <c r="AW6" s="67">
        <f t="shared" ref="AW6:AX8" si="17">+AS6</f>
        <v>338</v>
      </c>
      <c r="AX6" s="67">
        <f t="shared" si="17"/>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17"/>
      <c r="CN6" s="117"/>
      <c r="CO6" s="117"/>
      <c r="CP6" s="117"/>
      <c r="CQ6" s="117"/>
      <c r="CR6" s="117"/>
      <c r="CS6" s="117"/>
      <c r="CT6" s="117"/>
      <c r="CU6" s="117"/>
      <c r="CV6" s="117"/>
      <c r="CW6" s="117"/>
      <c r="CX6" s="117"/>
      <c r="CY6" s="117"/>
      <c r="CZ6" s="67"/>
      <c r="DA6" s="67">
        <v>1224</v>
      </c>
      <c r="DB6" s="67">
        <v>1347</v>
      </c>
      <c r="DC6" s="67">
        <v>1379</v>
      </c>
      <c r="DD6" s="67">
        <f>386+881</f>
        <v>1267</v>
      </c>
      <c r="DE6" s="67">
        <f>SUM(O6:R6)</f>
        <v>1175.2</v>
      </c>
      <c r="DF6" s="67">
        <f>SUM(S6:V6)</f>
        <v>1216</v>
      </c>
      <c r="DG6" s="67">
        <f t="shared" ref="DG6:DG18" si="18">SUM(W6:Z6)</f>
        <v>1213</v>
      </c>
      <c r="DH6" s="67">
        <f t="shared" ref="DH6:DH18" si="19">SUM(AA6:AD6)</f>
        <v>1277</v>
      </c>
      <c r="DI6" s="67">
        <f t="shared" ref="DI6:DI18" si="20">SUM(AE6:AH6)</f>
        <v>1341</v>
      </c>
      <c r="DJ6" s="67">
        <f t="shared" ref="DJ6:DJ18" si="21">SUM(AI6:AL6)</f>
        <v>1288</v>
      </c>
      <c r="DK6" s="67">
        <f>SUM(AM6:AP6)</f>
        <v>1286</v>
      </c>
      <c r="DL6" s="67">
        <f>SUM(AQ6:AT6)</f>
        <v>1264</v>
      </c>
      <c r="DM6" s="67">
        <f>+DL6*0.8</f>
        <v>1011.2</v>
      </c>
      <c r="DN6" s="67">
        <f>+DM6*0.8</f>
        <v>808.96</v>
      </c>
      <c r="DO6" s="67">
        <f t="shared" ref="DO6:DQ6" si="22">+DN6*0.8</f>
        <v>647.16800000000012</v>
      </c>
      <c r="DP6" s="67">
        <f t="shared" si="22"/>
        <v>517.73440000000016</v>
      </c>
      <c r="DQ6" s="67">
        <f t="shared" si="22"/>
        <v>414.18752000000018</v>
      </c>
      <c r="DR6" s="67"/>
      <c r="DS6" s="67"/>
      <c r="DT6" s="67">
        <f t="shared" ref="DT6:DT8" si="23">SUM(BW6:BZ6)</f>
        <v>264</v>
      </c>
      <c r="DU6" s="67">
        <f t="shared" ref="DU6:DU8" si="24">SUM(CA6:CD6)</f>
        <v>225</v>
      </c>
      <c r="DV6" s="67">
        <f>SUM(CE6:CH6)</f>
        <v>168</v>
      </c>
      <c r="DW6" s="67">
        <f t="shared" ref="DW6:DW8" si="25">SUM(CI6:CL6)</f>
        <v>144</v>
      </c>
      <c r="DX6" s="67"/>
      <c r="DY6" s="67"/>
      <c r="DZ6" s="67"/>
      <c r="EA6" s="67"/>
      <c r="EB6" s="67"/>
      <c r="EC6" s="67"/>
      <c r="ED6" s="67"/>
      <c r="EE6" s="67"/>
      <c r="EF6" s="67"/>
      <c r="EG6" s="67"/>
      <c r="EH6" s="67"/>
      <c r="EI6" s="67"/>
      <c r="EJ6" s="67"/>
    </row>
    <row r="7" spans="1:140" s="26" customFormat="1">
      <c r="B7" s="26" t="s">
        <v>353</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6"/>
        <v>916</v>
      </c>
      <c r="AT7" s="67">
        <f t="shared" si="16"/>
        <v>918</v>
      </c>
      <c r="AU7" s="67">
        <f>+AQ7</f>
        <v>936</v>
      </c>
      <c r="AV7" s="67">
        <v>1015</v>
      </c>
      <c r="AW7" s="67">
        <f t="shared" si="17"/>
        <v>916</v>
      </c>
      <c r="AX7" s="67">
        <f t="shared" si="17"/>
        <v>918</v>
      </c>
      <c r="AY7" s="67"/>
      <c r="AZ7" s="67">
        <v>1120</v>
      </c>
      <c r="BA7" s="67"/>
      <c r="BB7" s="67"/>
      <c r="BC7" s="67"/>
      <c r="BD7" s="67">
        <v>1133</v>
      </c>
      <c r="BE7" s="67"/>
      <c r="BF7" s="67"/>
      <c r="BG7" s="67"/>
      <c r="BH7" s="67"/>
      <c r="BI7" s="67"/>
      <c r="BJ7" s="67"/>
      <c r="BK7" s="67"/>
      <c r="BL7" s="67"/>
      <c r="BM7" s="67"/>
      <c r="BN7" s="67"/>
      <c r="BO7" s="67">
        <v>1210</v>
      </c>
      <c r="BP7" s="67"/>
      <c r="BQ7" s="67"/>
      <c r="BR7" s="67"/>
      <c r="BS7" s="67">
        <v>1155</v>
      </c>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117">
        <v>110</v>
      </c>
      <c r="CT7" s="117">
        <v>98</v>
      </c>
      <c r="CU7" s="117">
        <f t="shared" ref="CU7:CX7" si="26">+CT7</f>
        <v>98</v>
      </c>
      <c r="CV7" s="117">
        <f t="shared" si="26"/>
        <v>98</v>
      </c>
      <c r="CW7" s="117">
        <f t="shared" si="26"/>
        <v>98</v>
      </c>
      <c r="CX7" s="117">
        <f t="shared" si="26"/>
        <v>98</v>
      </c>
      <c r="CY7" s="117"/>
      <c r="CZ7" s="67"/>
      <c r="DA7" s="67"/>
      <c r="DB7" s="67"/>
      <c r="DC7" s="67">
        <v>464</v>
      </c>
      <c r="DD7" s="67">
        <f>1175+80</f>
        <v>1255</v>
      </c>
      <c r="DE7" s="67">
        <f>SUM(O7:R7)</f>
        <v>1739.6</v>
      </c>
      <c r="DF7" s="67">
        <f>SUM(S7:V7)</f>
        <v>2288</v>
      </c>
      <c r="DG7" s="67">
        <f t="shared" si="18"/>
        <v>2710</v>
      </c>
      <c r="DH7" s="74">
        <f t="shared" si="19"/>
        <v>3000</v>
      </c>
      <c r="DI7" s="67">
        <f t="shared" si="20"/>
        <v>3318</v>
      </c>
      <c r="DJ7" s="67">
        <f t="shared" si="21"/>
        <v>3355</v>
      </c>
      <c r="DK7" s="67">
        <f>SUM(AM7:AP7)</f>
        <v>3558</v>
      </c>
      <c r="DL7" s="67">
        <f>SUM(AQ7:AT7)</f>
        <v>3785</v>
      </c>
      <c r="DM7" s="67">
        <f>+DL7*0.95</f>
        <v>3595.75</v>
      </c>
      <c r="DN7" s="67">
        <f t="shared" ref="DN7:DQ7" si="27">+DM7*0.95</f>
        <v>3415.9624999999996</v>
      </c>
      <c r="DO7" s="67">
        <f t="shared" si="27"/>
        <v>3245.1643749999994</v>
      </c>
      <c r="DP7" s="67">
        <f t="shared" si="27"/>
        <v>3082.9061562499992</v>
      </c>
      <c r="DQ7" s="67">
        <f t="shared" si="27"/>
        <v>2928.7608484374991</v>
      </c>
      <c r="DR7" s="67"/>
      <c r="DS7" s="67"/>
      <c r="DT7" s="67">
        <f t="shared" si="23"/>
        <v>3221</v>
      </c>
      <c r="DU7" s="67">
        <f t="shared" si="24"/>
        <v>2293</v>
      </c>
      <c r="DV7" s="67">
        <f>SUM(CE7:CH7)</f>
        <v>1734</v>
      </c>
      <c r="DW7" s="67">
        <f t="shared" si="25"/>
        <v>1126</v>
      </c>
      <c r="DX7" s="67">
        <f>SUM(CM7:CP7)</f>
        <v>848</v>
      </c>
      <c r="DY7" s="67">
        <f t="shared" ref="DY7" si="28">SUM(CQ7:CT7)</f>
        <v>431</v>
      </c>
      <c r="DZ7" s="67">
        <f t="shared" ref="DZ7" si="29">SUM(CU7:CX7)</f>
        <v>392</v>
      </c>
      <c r="EA7" s="67">
        <f t="shared" ref="EA7:EJ7" si="30">+DZ7*0.9</f>
        <v>352.8</v>
      </c>
      <c r="EB7" s="67">
        <f t="shared" si="30"/>
        <v>317.52000000000004</v>
      </c>
      <c r="EC7" s="67">
        <f t="shared" si="30"/>
        <v>285.76800000000003</v>
      </c>
      <c r="ED7" s="67">
        <f t="shared" si="30"/>
        <v>257.19120000000004</v>
      </c>
      <c r="EE7" s="67">
        <f t="shared" si="30"/>
        <v>231.47208000000003</v>
      </c>
      <c r="EF7" s="67">
        <f t="shared" si="30"/>
        <v>208.32487200000003</v>
      </c>
      <c r="EG7" s="67">
        <f t="shared" si="30"/>
        <v>187.49238480000002</v>
      </c>
      <c r="EH7" s="67">
        <f t="shared" si="30"/>
        <v>168.74314632000002</v>
      </c>
      <c r="EI7" s="67">
        <f t="shared" si="30"/>
        <v>151.86883168800003</v>
      </c>
      <c r="EJ7" s="67">
        <f t="shared" si="30"/>
        <v>136.68194851920003</v>
      </c>
    </row>
    <row r="8" spans="1:140" s="26" customFormat="1">
      <c r="B8" s="26" t="s">
        <v>354</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6"/>
        <v>914</v>
      </c>
      <c r="AT8" s="67">
        <f t="shared" si="16"/>
        <v>939</v>
      </c>
      <c r="AU8" s="67">
        <f>+AQ8</f>
        <v>875</v>
      </c>
      <c r="AV8" s="67">
        <v>1058</v>
      </c>
      <c r="AW8" s="67">
        <f t="shared" si="17"/>
        <v>914</v>
      </c>
      <c r="AX8" s="67">
        <f t="shared" si="17"/>
        <v>939</v>
      </c>
      <c r="AY8" s="67"/>
      <c r="AZ8" s="67">
        <v>1157</v>
      </c>
      <c r="BA8" s="67"/>
      <c r="BB8" s="67"/>
      <c r="BC8" s="67"/>
      <c r="BD8" s="67">
        <v>1243</v>
      </c>
      <c r="BE8" s="67"/>
      <c r="BF8" s="67"/>
      <c r="BG8" s="67"/>
      <c r="BH8" s="67"/>
      <c r="BI8" s="67"/>
      <c r="BJ8" s="67"/>
      <c r="BK8" s="67"/>
      <c r="BL8" s="67"/>
      <c r="BM8" s="67"/>
      <c r="BN8" s="67"/>
      <c r="BO8" s="67">
        <v>1181</v>
      </c>
      <c r="BP8" s="67"/>
      <c r="BQ8" s="67"/>
      <c r="BR8" s="67"/>
      <c r="BS8" s="67">
        <v>1105</v>
      </c>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117">
        <v>825</v>
      </c>
      <c r="CT8" s="117">
        <v>1015</v>
      </c>
      <c r="CU8" s="117">
        <f>CQ8*0.9</f>
        <v>510.3</v>
      </c>
      <c r="CV8" s="117">
        <f>CR8*0.9</f>
        <v>818.1</v>
      </c>
      <c r="CW8" s="117">
        <f>CS8*0.9</f>
        <v>742.5</v>
      </c>
      <c r="CX8" s="117">
        <f>CT8*0.9</f>
        <v>913.5</v>
      </c>
      <c r="CY8" s="117"/>
      <c r="CZ8" s="67"/>
      <c r="DA8" s="67"/>
      <c r="DB8" s="67"/>
      <c r="DC8" s="67">
        <v>362</v>
      </c>
      <c r="DD8" s="67">
        <f>1254+46</f>
        <v>1300</v>
      </c>
      <c r="DE8" s="74">
        <f>1827+73</f>
        <v>1900</v>
      </c>
      <c r="DF8" s="67">
        <f>SUM(S8:V8)</f>
        <v>2573</v>
      </c>
      <c r="DG8" s="67">
        <f t="shared" si="18"/>
        <v>2879</v>
      </c>
      <c r="DH8" s="67">
        <f t="shared" si="19"/>
        <v>3230</v>
      </c>
      <c r="DI8" s="67">
        <f t="shared" si="20"/>
        <v>3598</v>
      </c>
      <c r="DJ8" s="67">
        <f t="shared" si="21"/>
        <v>3493</v>
      </c>
      <c r="DK8" s="67">
        <f>SUM(AM8:AP8)</f>
        <v>3534</v>
      </c>
      <c r="DL8" s="67">
        <f>SUM(AQ8:AT8)</f>
        <v>3684</v>
      </c>
      <c r="DM8" s="67">
        <f>DL8*0.9</f>
        <v>3315.6</v>
      </c>
      <c r="DN8" s="67">
        <f>DM8*1.5</f>
        <v>4973.3999999999996</v>
      </c>
      <c r="DO8" s="67">
        <f t="shared" ref="DO8:DQ8" si="31">DN8*0.9</f>
        <v>4476.0599999999995</v>
      </c>
      <c r="DP8" s="67">
        <f t="shared" si="31"/>
        <v>4028.4539999999997</v>
      </c>
      <c r="DQ8" s="67">
        <f t="shared" si="31"/>
        <v>3625.6086</v>
      </c>
      <c r="DR8" s="67"/>
      <c r="DS8" s="67"/>
      <c r="DT8" s="67">
        <f t="shared" si="23"/>
        <v>5226</v>
      </c>
      <c r="DU8" s="67">
        <f t="shared" si="24"/>
        <v>4996</v>
      </c>
      <c r="DV8" s="67">
        <f>SUM(CE8:CH8)</f>
        <v>4465</v>
      </c>
      <c r="DW8" s="67">
        <f t="shared" si="25"/>
        <v>4117</v>
      </c>
      <c r="DX8" s="67">
        <f>SUM(CM8:CP8)</f>
        <v>3697</v>
      </c>
      <c r="DY8" s="67">
        <f t="shared" ref="DY8" si="32">SUM(CQ8:CT8)</f>
        <v>3316</v>
      </c>
      <c r="DZ8" s="67">
        <f t="shared" ref="DZ8" si="33">SUM(CU8:CX8)</f>
        <v>2984.4</v>
      </c>
      <c r="EA8" s="67">
        <f t="shared" ref="EA8:EJ8" si="34">+DZ8*0.9</f>
        <v>2685.96</v>
      </c>
      <c r="EB8" s="67">
        <f t="shared" si="34"/>
        <v>2417.364</v>
      </c>
      <c r="EC8" s="67">
        <f t="shared" si="34"/>
        <v>2175.6276000000003</v>
      </c>
      <c r="ED8" s="67">
        <f t="shared" si="34"/>
        <v>1958.0648400000002</v>
      </c>
      <c r="EE8" s="67">
        <f t="shared" si="34"/>
        <v>1762.2583560000003</v>
      </c>
      <c r="EF8" s="67">
        <f t="shared" si="34"/>
        <v>1586.0325204000003</v>
      </c>
      <c r="EG8" s="67">
        <f t="shared" si="34"/>
        <v>1427.4292683600004</v>
      </c>
      <c r="EH8" s="67">
        <f t="shared" si="34"/>
        <v>1284.6863415240005</v>
      </c>
      <c r="EI8" s="67">
        <f t="shared" si="34"/>
        <v>1156.2177073716005</v>
      </c>
      <c r="EJ8" s="67">
        <f t="shared" si="34"/>
        <v>1040.5959366344405</v>
      </c>
    </row>
    <row r="9" spans="1:140" s="26" customFormat="1">
      <c r="B9" s="97" t="s">
        <v>1227</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0" t="s">
        <v>1279</v>
      </c>
      <c r="BY9" s="67"/>
      <c r="BZ9" s="67"/>
      <c r="CA9" s="67"/>
      <c r="CB9" s="110" t="s">
        <v>1276</v>
      </c>
      <c r="CC9" s="110" t="s">
        <v>1255</v>
      </c>
      <c r="CD9" s="110" t="s">
        <v>1257</v>
      </c>
      <c r="CE9" s="110" t="s">
        <v>1258</v>
      </c>
      <c r="CF9" s="110" t="s">
        <v>1246</v>
      </c>
      <c r="CG9" s="110" t="s">
        <v>1229</v>
      </c>
      <c r="CH9" s="110" t="s">
        <v>1259</v>
      </c>
      <c r="CI9" s="128" t="s">
        <v>1260</v>
      </c>
      <c r="CJ9" s="128" t="s">
        <v>1245</v>
      </c>
      <c r="CK9" s="128" t="s">
        <v>1228</v>
      </c>
      <c r="CL9" s="128"/>
      <c r="CM9" s="117"/>
      <c r="CN9" s="117"/>
      <c r="CO9" s="117"/>
      <c r="CP9" s="117">
        <v>448</v>
      </c>
      <c r="CQ9" s="117">
        <v>424</v>
      </c>
      <c r="CR9" s="117">
        <v>479</v>
      </c>
      <c r="CS9" s="117">
        <v>488</v>
      </c>
      <c r="CT9" s="117">
        <v>460</v>
      </c>
      <c r="CU9" s="117">
        <f t="shared" ref="CU9:CX9" si="35">+CT9</f>
        <v>460</v>
      </c>
      <c r="CV9" s="117">
        <f t="shared" si="35"/>
        <v>460</v>
      </c>
      <c r="CW9" s="117">
        <f t="shared" si="35"/>
        <v>460</v>
      </c>
      <c r="CX9" s="117">
        <f t="shared" si="35"/>
        <v>460</v>
      </c>
      <c r="CY9" s="11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 si="36">SUM(CQ9:CT9)</f>
        <v>1851</v>
      </c>
      <c r="DZ9" s="67">
        <f t="shared" ref="DZ9" si="37">SUM(CU9:CX9)</f>
        <v>1840</v>
      </c>
      <c r="EA9" s="67">
        <f t="shared" ref="EA9:ED9" si="38">+DZ9*1.05</f>
        <v>1932</v>
      </c>
      <c r="EB9" s="67">
        <f t="shared" si="38"/>
        <v>2028.6000000000001</v>
      </c>
      <c r="EC9" s="67">
        <f t="shared" si="38"/>
        <v>2130.0300000000002</v>
      </c>
      <c r="ED9" s="67">
        <f t="shared" si="38"/>
        <v>2236.5315000000005</v>
      </c>
      <c r="EE9" s="67">
        <f>+ED9*0.99</f>
        <v>2214.1661850000005</v>
      </c>
      <c r="EF9" s="67">
        <f t="shared" ref="EF9:EJ9" si="39">+EE9*0.99</f>
        <v>2192.0245231500003</v>
      </c>
      <c r="EG9" s="67">
        <f t="shared" si="39"/>
        <v>2170.1042779185004</v>
      </c>
      <c r="EH9" s="67">
        <f t="shared" si="39"/>
        <v>2148.4032351393153</v>
      </c>
      <c r="EI9" s="67">
        <f t="shared" si="39"/>
        <v>2126.9192027879221</v>
      </c>
      <c r="EJ9" s="67">
        <f t="shared" si="39"/>
        <v>2105.6500107600427</v>
      </c>
    </row>
    <row r="10" spans="1:140" s="26" customFormat="1">
      <c r="B10" s="97" t="s">
        <v>1230</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0" t="s">
        <v>1277</v>
      </c>
      <c r="BY10" s="67"/>
      <c r="BZ10" s="67"/>
      <c r="CA10" s="67"/>
      <c r="CB10" s="110" t="s">
        <v>1268</v>
      </c>
      <c r="CC10" s="110" t="s">
        <v>1256</v>
      </c>
      <c r="CD10" s="110" t="s">
        <v>1261</v>
      </c>
      <c r="CE10" s="110" t="s">
        <v>1262</v>
      </c>
      <c r="CF10" s="110" t="s">
        <v>1247</v>
      </c>
      <c r="CG10" s="110" t="s">
        <v>1232</v>
      </c>
      <c r="CH10" s="110" t="s">
        <v>1263</v>
      </c>
      <c r="CI10" s="128" t="s">
        <v>1264</v>
      </c>
      <c r="CJ10" s="128" t="s">
        <v>1248</v>
      </c>
      <c r="CK10" s="128" t="s">
        <v>1231</v>
      </c>
      <c r="CL10" s="128"/>
      <c r="CM10" s="117"/>
      <c r="CN10" s="117"/>
      <c r="CO10" s="117"/>
      <c r="CP10" s="117">
        <v>272</v>
      </c>
      <c r="CQ10" s="117">
        <v>235</v>
      </c>
      <c r="CR10" s="117">
        <v>294</v>
      </c>
      <c r="CS10" s="117">
        <v>310</v>
      </c>
      <c r="CT10" s="117">
        <v>346</v>
      </c>
      <c r="CU10" s="117">
        <f>+CT10+5</f>
        <v>351</v>
      </c>
      <c r="CV10" s="117">
        <f>+CU10+5</f>
        <v>356</v>
      </c>
      <c r="CW10" s="117">
        <f>+CV10+5</f>
        <v>361</v>
      </c>
      <c r="CX10" s="117">
        <f>+CW10+5</f>
        <v>366</v>
      </c>
      <c r="CY10" s="11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 t="shared" ref="DY10" si="40">SUM(CQ10:CT10)</f>
        <v>1185</v>
      </c>
      <c r="DZ10" s="67">
        <f t="shared" ref="DZ10" si="41">SUM(CU10:CX10)</f>
        <v>1434</v>
      </c>
      <c r="EA10" s="67">
        <f t="shared" ref="EA10:EJ10" si="42">+DZ10*1.01</f>
        <v>1448.34</v>
      </c>
      <c r="EB10" s="67">
        <f t="shared" si="42"/>
        <v>1462.8234</v>
      </c>
      <c r="EC10" s="67">
        <f t="shared" si="42"/>
        <v>1477.451634</v>
      </c>
      <c r="ED10" s="67">
        <f t="shared" si="42"/>
        <v>1492.22615034</v>
      </c>
      <c r="EE10" s="67">
        <f t="shared" si="42"/>
        <v>1507.1484118434</v>
      </c>
      <c r="EF10" s="67">
        <f t="shared" si="42"/>
        <v>1522.219895961834</v>
      </c>
      <c r="EG10" s="67">
        <f t="shared" si="42"/>
        <v>1537.4420949214523</v>
      </c>
      <c r="EH10" s="67">
        <f t="shared" si="42"/>
        <v>1552.8165158706668</v>
      </c>
      <c r="EI10" s="67">
        <f t="shared" si="42"/>
        <v>1568.3446810293735</v>
      </c>
      <c r="EJ10" s="67">
        <f t="shared" si="42"/>
        <v>1584.0281278396674</v>
      </c>
    </row>
    <row r="11" spans="1:140" s="26" customFormat="1">
      <c r="B11" s="97" t="s">
        <v>1233</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0" t="s">
        <v>1250</v>
      </c>
      <c r="BY11" s="67"/>
      <c r="BZ11" s="67"/>
      <c r="CA11" s="67"/>
      <c r="CB11" s="110" t="s">
        <v>1278</v>
      </c>
      <c r="CC11" s="110" t="s">
        <v>1265</v>
      </c>
      <c r="CD11" s="110" t="s">
        <v>1266</v>
      </c>
      <c r="CE11" s="110" t="s">
        <v>1267</v>
      </c>
      <c r="CF11" s="110" t="s">
        <v>1249</v>
      </c>
      <c r="CG11" s="110" t="s">
        <v>1235</v>
      </c>
      <c r="CH11" s="110" t="s">
        <v>1268</v>
      </c>
      <c r="CI11" s="128" t="s">
        <v>1269</v>
      </c>
      <c r="CJ11" s="128" t="s">
        <v>1235</v>
      </c>
      <c r="CK11" s="128" t="s">
        <v>1234</v>
      </c>
      <c r="CL11" s="128"/>
      <c r="CM11" s="117"/>
      <c r="CN11" s="117"/>
      <c r="CO11" s="117"/>
      <c r="CP11" s="117"/>
      <c r="CQ11" s="117"/>
      <c r="CR11" s="117"/>
      <c r="CS11" s="117"/>
      <c r="CT11" s="117"/>
      <c r="CU11" s="117"/>
      <c r="CV11" s="117"/>
      <c r="CW11" s="117"/>
      <c r="CX11" s="117"/>
      <c r="CY11" s="11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row>
    <row r="12" spans="1:140" s="26" customFormat="1">
      <c r="B12" s="97" t="s">
        <v>1236</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0" t="s">
        <v>1280</v>
      </c>
      <c r="BY12" s="67"/>
      <c r="BZ12" s="67"/>
      <c r="CA12" s="67"/>
      <c r="CB12" s="110" t="s">
        <v>1280</v>
      </c>
      <c r="CC12" s="110" t="s">
        <v>1270</v>
      </c>
      <c r="CD12" s="110" t="s">
        <v>1271</v>
      </c>
      <c r="CE12" s="110" t="s">
        <v>1270</v>
      </c>
      <c r="CF12" s="110" t="s">
        <v>1250</v>
      </c>
      <c r="CG12" s="110" t="s">
        <v>1238</v>
      </c>
      <c r="CH12" s="110" t="s">
        <v>1271</v>
      </c>
      <c r="CI12" s="128" t="s">
        <v>1250</v>
      </c>
      <c r="CJ12" s="128" t="s">
        <v>1251</v>
      </c>
      <c r="CK12" s="128" t="s">
        <v>1237</v>
      </c>
      <c r="CL12" s="128"/>
      <c r="CM12" s="117"/>
      <c r="CN12" s="117"/>
      <c r="CO12" s="117"/>
      <c r="CP12" s="117"/>
      <c r="CQ12" s="117"/>
      <c r="CR12" s="117"/>
      <c r="CS12" s="117"/>
      <c r="CT12" s="117"/>
      <c r="CU12" s="117"/>
      <c r="CV12" s="117"/>
      <c r="CW12" s="117"/>
      <c r="CX12" s="117"/>
      <c r="CY12" s="11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1239</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0" t="s">
        <v>1258</v>
      </c>
      <c r="CF13" s="110" t="s">
        <v>1253</v>
      </c>
      <c r="CG13" s="110" t="s">
        <v>1241</v>
      </c>
      <c r="CH13" s="110" t="s">
        <v>1272</v>
      </c>
      <c r="CI13" s="128" t="s">
        <v>1273</v>
      </c>
      <c r="CJ13" s="128" t="s">
        <v>1252</v>
      </c>
      <c r="CK13" s="128" t="s">
        <v>1240</v>
      </c>
      <c r="CL13" s="128"/>
      <c r="CM13" s="117"/>
      <c r="CN13" s="117"/>
      <c r="CO13" s="117"/>
      <c r="CP13" s="117">
        <v>65</v>
      </c>
      <c r="CQ13" s="117">
        <v>80</v>
      </c>
      <c r="CR13" s="117">
        <v>92</v>
      </c>
      <c r="CS13" s="117">
        <v>106</v>
      </c>
      <c r="CT13" s="117">
        <v>101</v>
      </c>
      <c r="CU13" s="117">
        <f t="shared" ref="CU13:CX13" si="43">+CT13+5</f>
        <v>106</v>
      </c>
      <c r="CV13" s="117">
        <f t="shared" si="43"/>
        <v>111</v>
      </c>
      <c r="CW13" s="117">
        <f t="shared" si="43"/>
        <v>116</v>
      </c>
      <c r="CX13" s="117">
        <f t="shared" si="43"/>
        <v>121</v>
      </c>
      <c r="CY13" s="11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f t="shared" ref="DY13" si="44">SUM(CQ13:CT13)</f>
        <v>379</v>
      </c>
      <c r="DZ13" s="67">
        <f t="shared" ref="DZ13" si="45">SUM(CU13:CX13)</f>
        <v>454</v>
      </c>
      <c r="EA13" s="67">
        <f>+DZ13*1.1</f>
        <v>499.40000000000003</v>
      </c>
      <c r="EB13" s="67">
        <f t="shared" ref="EB13:EJ13" si="46">+EA13*1.1</f>
        <v>549.34</v>
      </c>
      <c r="EC13" s="67">
        <f t="shared" si="46"/>
        <v>604.27400000000011</v>
      </c>
      <c r="ED13" s="67">
        <f t="shared" si="46"/>
        <v>664.70140000000015</v>
      </c>
      <c r="EE13" s="67">
        <f t="shared" si="46"/>
        <v>731.17154000000028</v>
      </c>
      <c r="EF13" s="67">
        <f t="shared" si="46"/>
        <v>804.28869400000042</v>
      </c>
      <c r="EG13" s="67">
        <f t="shared" si="46"/>
        <v>884.71756340000059</v>
      </c>
      <c r="EH13" s="67">
        <f t="shared" si="46"/>
        <v>973.18931974000077</v>
      </c>
      <c r="EI13" s="67">
        <f t="shared" si="46"/>
        <v>1070.5082517140008</v>
      </c>
      <c r="EJ13" s="67">
        <f t="shared" si="46"/>
        <v>1177.5590768854011</v>
      </c>
    </row>
    <row r="14" spans="1:140" s="26" customFormat="1">
      <c r="B14" s="97" t="s">
        <v>1242</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0" t="s">
        <v>1275</v>
      </c>
      <c r="BY14" s="67"/>
      <c r="BZ14" s="67"/>
      <c r="CA14" s="67"/>
      <c r="CB14" s="110" t="s">
        <v>1254</v>
      </c>
      <c r="CC14" s="110" t="s">
        <v>1254</v>
      </c>
      <c r="CD14" s="110" t="s">
        <v>1274</v>
      </c>
      <c r="CE14" s="110" t="s">
        <v>1275</v>
      </c>
      <c r="CF14" s="110" t="s">
        <v>1254</v>
      </c>
      <c r="CG14" s="110" t="s">
        <v>1244</v>
      </c>
      <c r="CH14" s="110" t="s">
        <v>1273</v>
      </c>
      <c r="CI14" s="128" t="s">
        <v>1273</v>
      </c>
      <c r="CJ14" s="128" t="s">
        <v>1244</v>
      </c>
      <c r="CK14" s="128" t="s">
        <v>1243</v>
      </c>
      <c r="CL14" s="128"/>
      <c r="CM14" s="117"/>
      <c r="CN14" s="117"/>
      <c r="CO14" s="117"/>
      <c r="CP14" s="117"/>
      <c r="CQ14" s="117"/>
      <c r="CR14" s="117"/>
      <c r="CS14" s="117"/>
      <c r="CT14" s="117"/>
      <c r="CU14" s="117"/>
      <c r="CV14" s="117"/>
      <c r="CW14" s="117"/>
      <c r="CX14" s="117"/>
      <c r="CY14" s="11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117"/>
      <c r="CJ15" s="117"/>
      <c r="CK15" s="117"/>
      <c r="CL15" s="117"/>
      <c r="CM15" s="117"/>
      <c r="CN15" s="117"/>
      <c r="CO15" s="117"/>
      <c r="CP15" s="117"/>
      <c r="CQ15" s="117"/>
      <c r="CR15" s="117"/>
      <c r="CS15" s="117"/>
      <c r="CT15" s="117"/>
      <c r="CU15" s="117"/>
      <c r="CV15" s="117"/>
      <c r="CW15" s="117"/>
      <c r="CX15" s="117"/>
      <c r="CY15" s="117"/>
      <c r="CZ15" s="67"/>
      <c r="DA15" s="67"/>
      <c r="DB15" s="67"/>
      <c r="DC15" s="67"/>
      <c r="DD15" s="67"/>
      <c r="DE15" s="67">
        <v>51.853999999999999</v>
      </c>
      <c r="DF15" s="67">
        <f>SUM(S15:V15)</f>
        <v>61</v>
      </c>
      <c r="DG15" s="67">
        <f t="shared" si="18"/>
        <v>64</v>
      </c>
      <c r="DH15" s="67">
        <f t="shared" si="19"/>
        <v>68</v>
      </c>
      <c r="DI15" s="67">
        <f t="shared" si="20"/>
        <v>87</v>
      </c>
      <c r="DJ15" s="67">
        <f t="shared" si="21"/>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355</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47">+AR16</f>
        <v>199</v>
      </c>
      <c r="AT16" s="67">
        <f t="shared" si="47"/>
        <v>199</v>
      </c>
      <c r="AU16" s="67">
        <f t="shared" si="47"/>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v>421</v>
      </c>
      <c r="BP16" s="67"/>
      <c r="BQ16" s="67"/>
      <c r="BR16" s="67"/>
      <c r="BS16" s="67">
        <v>497</v>
      </c>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17"/>
      <c r="CN16" s="117"/>
      <c r="CO16" s="117"/>
      <c r="CP16" s="117"/>
      <c r="CQ16" s="117"/>
      <c r="CR16" s="117"/>
      <c r="CS16" s="117"/>
      <c r="CT16" s="117"/>
      <c r="CU16" s="117"/>
      <c r="CV16" s="117"/>
      <c r="CW16" s="117"/>
      <c r="CX16" s="117"/>
      <c r="CY16" s="117"/>
      <c r="CZ16" s="67"/>
      <c r="DA16" s="67"/>
      <c r="DB16" s="67"/>
      <c r="DC16" s="67"/>
      <c r="DD16" s="74">
        <v>67</v>
      </c>
      <c r="DE16" s="74">
        <v>37</v>
      </c>
      <c r="DF16" s="74">
        <f>SUM(S16:V16)</f>
        <v>156</v>
      </c>
      <c r="DG16" s="67">
        <f t="shared" si="18"/>
        <v>321</v>
      </c>
      <c r="DH16" s="67">
        <f t="shared" si="19"/>
        <v>463</v>
      </c>
      <c r="DI16" s="67">
        <f t="shared" si="20"/>
        <v>597</v>
      </c>
      <c r="DJ16" s="67">
        <f t="shared" si="21"/>
        <v>651</v>
      </c>
      <c r="DK16" s="67">
        <f>SUM(AM16:AP16)</f>
        <v>714</v>
      </c>
      <c r="DL16" s="67">
        <f>SUM(AQ16:AT16)</f>
        <v>784</v>
      </c>
      <c r="DM16" s="67">
        <f>DL16*(1+DM73)</f>
        <v>799.68000000000006</v>
      </c>
      <c r="DN16" s="67">
        <f t="shared" ref="DN16:DQ16" si="48">DM16</f>
        <v>799.68000000000006</v>
      </c>
      <c r="DO16" s="67">
        <f t="shared" si="48"/>
        <v>799.68000000000006</v>
      </c>
      <c r="DP16" s="67">
        <f t="shared" si="48"/>
        <v>799.68000000000006</v>
      </c>
      <c r="DQ16" s="67">
        <f t="shared" si="48"/>
        <v>799.68000000000006</v>
      </c>
      <c r="DR16" s="67"/>
      <c r="DS16" s="67"/>
      <c r="DT16" s="67">
        <f t="shared" ref="DT16:DT35" si="49">SUM(BW16:BZ16)</f>
        <v>551</v>
      </c>
      <c r="DU16" s="67">
        <f t="shared" ref="DU16:DU35" si="50">SUM(CA16:CD16)</f>
        <v>288</v>
      </c>
      <c r="DV16" s="67">
        <f t="shared" ref="DV16:DV35" si="51">SUM(CE16:CH16)</f>
        <v>84</v>
      </c>
      <c r="DW16" s="67">
        <f t="shared" ref="DW16:DW36" si="52">SUM(CI16:CL16)</f>
        <v>64</v>
      </c>
      <c r="DX16" s="67"/>
      <c r="DY16" s="67"/>
      <c r="DZ16" s="67"/>
      <c r="EA16" s="67">
        <f t="shared" ref="EA16:EJ16" si="53">+DZ16*0.9</f>
        <v>0</v>
      </c>
      <c r="EB16" s="67">
        <f t="shared" si="53"/>
        <v>0</v>
      </c>
      <c r="EC16" s="67">
        <f t="shared" si="53"/>
        <v>0</v>
      </c>
      <c r="ED16" s="67">
        <f t="shared" si="53"/>
        <v>0</v>
      </c>
      <c r="EE16" s="67">
        <f t="shared" si="53"/>
        <v>0</v>
      </c>
      <c r="EF16" s="67">
        <f t="shared" si="53"/>
        <v>0</v>
      </c>
      <c r="EG16" s="67">
        <f t="shared" si="53"/>
        <v>0</v>
      </c>
      <c r="EH16" s="67">
        <f t="shared" si="53"/>
        <v>0</v>
      </c>
      <c r="EI16" s="67">
        <f t="shared" si="53"/>
        <v>0</v>
      </c>
      <c r="EJ16" s="67">
        <f t="shared" si="53"/>
        <v>0</v>
      </c>
    </row>
    <row r="17" spans="2:141" s="26" customFormat="1">
      <c r="B17" s="26" t="s">
        <v>1198</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117">
        <v>70</v>
      </c>
      <c r="CT17" s="117">
        <v>75</v>
      </c>
      <c r="CU17" s="117">
        <f t="shared" ref="CU17:CX17" si="54">+CT17+3</f>
        <v>78</v>
      </c>
      <c r="CV17" s="117">
        <f t="shared" si="54"/>
        <v>81</v>
      </c>
      <c r="CW17" s="117">
        <f t="shared" si="54"/>
        <v>84</v>
      </c>
      <c r="CX17" s="117">
        <f t="shared" si="54"/>
        <v>87</v>
      </c>
      <c r="CY17" s="117"/>
      <c r="CZ17" s="67"/>
      <c r="DA17" s="67"/>
      <c r="DB17" s="67"/>
      <c r="DC17" s="67"/>
      <c r="DD17" s="74"/>
      <c r="DE17" s="74"/>
      <c r="DF17" s="74"/>
      <c r="DG17" s="67"/>
      <c r="DH17" s="67"/>
      <c r="DI17" s="67"/>
      <c r="DJ17" s="67"/>
      <c r="DK17" s="67"/>
      <c r="DL17" s="67"/>
      <c r="DM17" s="67"/>
      <c r="DN17" s="67"/>
      <c r="DO17" s="67"/>
      <c r="DP17" s="67"/>
      <c r="DQ17" s="67"/>
      <c r="DR17" s="67"/>
      <c r="DS17" s="67"/>
      <c r="DT17" s="67">
        <f t="shared" si="49"/>
        <v>630</v>
      </c>
      <c r="DU17" s="67">
        <f t="shared" si="50"/>
        <v>716</v>
      </c>
      <c r="DV17" s="67">
        <f t="shared" si="51"/>
        <v>280</v>
      </c>
      <c r="DW17" s="67">
        <f t="shared" si="52"/>
        <v>382</v>
      </c>
      <c r="DX17" s="67">
        <f t="shared" ref="DX17:DX31" si="55">SUM(CM17:CP17)</f>
        <v>362</v>
      </c>
      <c r="DY17" s="67">
        <f t="shared" ref="DY17:DY19" si="56">SUM(CQ17:CT17)</f>
        <v>356</v>
      </c>
      <c r="DZ17" s="67">
        <f t="shared" ref="DZ17:DZ19" si="57">SUM(CU17:CX17)</f>
        <v>330</v>
      </c>
      <c r="EA17" s="67">
        <f t="shared" ref="EA17:EJ17" si="58">+DZ17*0.9</f>
        <v>297</v>
      </c>
      <c r="EB17" s="67">
        <f t="shared" si="58"/>
        <v>267.3</v>
      </c>
      <c r="EC17" s="67">
        <f t="shared" si="58"/>
        <v>240.57000000000002</v>
      </c>
      <c r="ED17" s="67">
        <f t="shared" si="58"/>
        <v>216.51300000000003</v>
      </c>
      <c r="EE17" s="67">
        <f t="shared" si="58"/>
        <v>194.86170000000004</v>
      </c>
      <c r="EF17" s="67">
        <f t="shared" si="58"/>
        <v>175.37553000000005</v>
      </c>
      <c r="EG17" s="67">
        <f t="shared" si="58"/>
        <v>157.83797700000005</v>
      </c>
      <c r="EH17" s="67">
        <f t="shared" si="58"/>
        <v>142.05417930000004</v>
      </c>
      <c r="EI17" s="67">
        <f t="shared" si="58"/>
        <v>127.84876137000005</v>
      </c>
      <c r="EJ17" s="67">
        <f t="shared" si="58"/>
        <v>115.06388523300005</v>
      </c>
    </row>
    <row r="18" spans="2:141" s="26" customFormat="1">
      <c r="B18" s="26" t="s">
        <v>884</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47"/>
        <v>81</v>
      </c>
      <c r="AT18" s="67">
        <f t="shared" si="47"/>
        <v>81</v>
      </c>
      <c r="AU18" s="67">
        <f t="shared" si="47"/>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117">
        <v>282</v>
      </c>
      <c r="CT18" s="117">
        <v>246</v>
      </c>
      <c r="CU18" s="117">
        <f t="shared" ref="CU18:CX18" si="59">+CQ18+5</f>
        <v>252</v>
      </c>
      <c r="CV18" s="117">
        <f t="shared" si="59"/>
        <v>275</v>
      </c>
      <c r="CW18" s="117">
        <f t="shared" si="59"/>
        <v>287</v>
      </c>
      <c r="CX18" s="117">
        <f t="shared" si="59"/>
        <v>251</v>
      </c>
      <c r="CY18" s="117"/>
      <c r="CZ18" s="67"/>
      <c r="DA18" s="67"/>
      <c r="DB18" s="67"/>
      <c r="DC18" s="67"/>
      <c r="DD18" s="67"/>
      <c r="DE18" s="67"/>
      <c r="DF18" s="67"/>
      <c r="DG18" s="67">
        <f t="shared" si="18"/>
        <v>39</v>
      </c>
      <c r="DH18" s="67">
        <f t="shared" si="19"/>
        <v>170</v>
      </c>
      <c r="DI18" s="67">
        <f t="shared" si="20"/>
        <v>153</v>
      </c>
      <c r="DJ18" s="67">
        <f t="shared" si="21"/>
        <v>233</v>
      </c>
      <c r="DK18" s="67">
        <f>SUM(AM18:AP18)</f>
        <v>288</v>
      </c>
      <c r="DL18" s="67">
        <f>SUM(AQ18:AT18)</f>
        <v>318</v>
      </c>
      <c r="DM18" s="67">
        <f>DL18*(1+DM71)</f>
        <v>333.90000000000003</v>
      </c>
      <c r="DN18" s="67">
        <f>DM18*(1+DN71)</f>
        <v>333.90000000000003</v>
      </c>
      <c r="DO18" s="67">
        <f>DN18*(1+DO71)</f>
        <v>333.90000000000003</v>
      </c>
      <c r="DP18" s="67"/>
      <c r="DQ18" s="67"/>
      <c r="DR18" s="67"/>
      <c r="DS18" s="67"/>
      <c r="DT18" s="67">
        <f t="shared" si="49"/>
        <v>744</v>
      </c>
      <c r="DU18" s="67">
        <f t="shared" si="50"/>
        <v>811</v>
      </c>
      <c r="DV18" s="67">
        <f t="shared" si="51"/>
        <v>873</v>
      </c>
      <c r="DW18" s="67">
        <f t="shared" si="52"/>
        <v>893</v>
      </c>
      <c r="DX18" s="67">
        <f t="shared" si="55"/>
        <v>984</v>
      </c>
      <c r="DY18" s="67">
        <f t="shared" si="56"/>
        <v>1045</v>
      </c>
      <c r="DZ18" s="67">
        <f t="shared" si="57"/>
        <v>1065</v>
      </c>
      <c r="EA18" s="67">
        <f t="shared" ref="EA18:EJ18" si="60">+DZ18*1.01</f>
        <v>1075.6500000000001</v>
      </c>
      <c r="EB18" s="67">
        <f t="shared" si="60"/>
        <v>1086.4065000000001</v>
      </c>
      <c r="EC18" s="67">
        <f t="shared" si="60"/>
        <v>1097.270565</v>
      </c>
      <c r="ED18" s="67">
        <f t="shared" si="60"/>
        <v>1108.2432706500001</v>
      </c>
      <c r="EE18" s="67">
        <f t="shared" si="60"/>
        <v>1119.3257033565001</v>
      </c>
      <c r="EF18" s="67">
        <f t="shared" si="60"/>
        <v>1130.5189603900651</v>
      </c>
      <c r="EG18" s="67">
        <f t="shared" si="60"/>
        <v>1141.8241499939659</v>
      </c>
      <c r="EH18" s="67">
        <f t="shared" si="60"/>
        <v>1153.2423914939056</v>
      </c>
      <c r="EI18" s="67">
        <f t="shared" si="60"/>
        <v>1164.7748154088447</v>
      </c>
      <c r="EJ18" s="67">
        <f t="shared" si="60"/>
        <v>1176.4225635629332</v>
      </c>
    </row>
    <row r="19" spans="2:141" s="26" customFormat="1">
      <c r="B19" s="26" t="s">
        <v>1108</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61">+AR19+5</f>
        <v>49</v>
      </c>
      <c r="AT19" s="67">
        <f t="shared" si="61"/>
        <v>54</v>
      </c>
      <c r="AU19" s="67">
        <f t="shared" si="61"/>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v>425</v>
      </c>
      <c r="BP19" s="67"/>
      <c r="BQ19" s="67"/>
      <c r="BR19" s="67"/>
      <c r="BS19" s="67">
        <v>494</v>
      </c>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117">
        <v>1045</v>
      </c>
      <c r="CT19" s="117">
        <v>1165</v>
      </c>
      <c r="CU19" s="117">
        <f>+CQ19*0.8</f>
        <v>799.2</v>
      </c>
      <c r="CV19" s="117">
        <f>+CR19*0.8</f>
        <v>932</v>
      </c>
      <c r="CW19" s="117">
        <f>+CS19*0.8</f>
        <v>836</v>
      </c>
      <c r="CX19" s="117">
        <f>+CT19*0.8</f>
        <v>932</v>
      </c>
      <c r="CY19" s="11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9"/>
        <v>2672</v>
      </c>
      <c r="DU19" s="67">
        <f t="shared" si="50"/>
        <v>2763</v>
      </c>
      <c r="DV19" s="67">
        <f t="shared" si="51"/>
        <v>3248</v>
      </c>
      <c r="DW19" s="67">
        <f t="shared" si="52"/>
        <v>3628</v>
      </c>
      <c r="DX19" s="67">
        <f t="shared" si="55"/>
        <v>4048</v>
      </c>
      <c r="DY19" s="67">
        <f t="shared" si="56"/>
        <v>4374</v>
      </c>
      <c r="DZ19" s="67">
        <f t="shared" si="57"/>
        <v>3499.2</v>
      </c>
      <c r="EA19" s="67">
        <f t="shared" ref="EA19:ED20" si="62">+DZ19*0.9</f>
        <v>3149.2799999999997</v>
      </c>
      <c r="EB19" s="67">
        <f t="shared" si="62"/>
        <v>2834.3519999999999</v>
      </c>
      <c r="EC19" s="67">
        <f t="shared" si="62"/>
        <v>2550.9168</v>
      </c>
      <c r="ED19" s="67">
        <f t="shared" si="62"/>
        <v>2295.82512</v>
      </c>
      <c r="EE19" s="67">
        <f t="shared" ref="EE19:EJ19" si="63">+ED19*0.5</f>
        <v>1147.91256</v>
      </c>
      <c r="EF19" s="67">
        <f t="shared" si="63"/>
        <v>573.95627999999999</v>
      </c>
      <c r="EG19" s="67">
        <f t="shared" si="63"/>
        <v>286.97814</v>
      </c>
      <c r="EH19" s="67">
        <f t="shared" si="63"/>
        <v>143.48907</v>
      </c>
      <c r="EI19" s="67">
        <f t="shared" si="63"/>
        <v>71.744534999999999</v>
      </c>
      <c r="EJ19" s="67">
        <f t="shared" si="63"/>
        <v>35.8722675</v>
      </c>
    </row>
    <row r="20" spans="2:141" s="26" customFormat="1">
      <c r="B20" s="98" t="s">
        <v>1117</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61"/>
        <v>78</v>
      </c>
      <c r="AT20" s="67">
        <f t="shared" si="61"/>
        <v>83</v>
      </c>
      <c r="AU20" s="67">
        <f t="shared" si="61"/>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v>402</v>
      </c>
      <c r="BP20" s="67"/>
      <c r="BQ20" s="67"/>
      <c r="BR20" s="67"/>
      <c r="BS20" s="67">
        <v>445</v>
      </c>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117">
        <v>541</v>
      </c>
      <c r="CT20" s="117">
        <v>561</v>
      </c>
      <c r="CU20" s="117">
        <f>CQ20*0.8</f>
        <v>448.8</v>
      </c>
      <c r="CV20" s="117">
        <f>CR20*0.8</f>
        <v>449.6</v>
      </c>
      <c r="CW20" s="117">
        <f>CS20*0.8</f>
        <v>432.8</v>
      </c>
      <c r="CX20" s="117">
        <f>CT20*0.8</f>
        <v>448.8</v>
      </c>
      <c r="CY20" s="11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9"/>
        <v>1935</v>
      </c>
      <c r="DU20" s="67">
        <f t="shared" si="50"/>
        <v>1899</v>
      </c>
      <c r="DV20" s="67">
        <f t="shared" si="51"/>
        <v>2018</v>
      </c>
      <c r="DW20" s="67">
        <f t="shared" si="52"/>
        <v>2014</v>
      </c>
      <c r="DX20" s="67">
        <f t="shared" si="55"/>
        <v>2112</v>
      </c>
      <c r="DY20" s="67">
        <f t="shared" ref="DY20" si="64">SUM(CQ20:CT20)</f>
        <v>2225</v>
      </c>
      <c r="DZ20" s="67">
        <f t="shared" ref="DZ20" si="65">SUM(CU20:CX20)</f>
        <v>1780</v>
      </c>
      <c r="EA20" s="67">
        <f t="shared" si="62"/>
        <v>1602</v>
      </c>
      <c r="EB20" s="67">
        <f t="shared" si="62"/>
        <v>1441.8</v>
      </c>
      <c r="EC20" s="67">
        <f t="shared" si="62"/>
        <v>1297.6199999999999</v>
      </c>
      <c r="ED20" s="67">
        <f t="shared" si="62"/>
        <v>1167.8579999999999</v>
      </c>
      <c r="EE20" s="67">
        <f>+ED20*0.5</f>
        <v>583.92899999999997</v>
      </c>
      <c r="EF20" s="67">
        <f t="shared" ref="EF20:EJ20" si="66">+EE20*0.5</f>
        <v>291.96449999999999</v>
      </c>
      <c r="EG20" s="67">
        <f t="shared" si="66"/>
        <v>145.98224999999999</v>
      </c>
      <c r="EH20" s="67">
        <f t="shared" si="66"/>
        <v>72.991124999999997</v>
      </c>
      <c r="EI20" s="67">
        <f t="shared" si="66"/>
        <v>36.495562499999998</v>
      </c>
      <c r="EJ20" s="67">
        <f t="shared" si="66"/>
        <v>18.247781249999999</v>
      </c>
    </row>
    <row r="21" spans="2:141" s="26" customFormat="1">
      <c r="B21" s="98" t="s">
        <v>1192</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117">
        <v>564</v>
      </c>
      <c r="CT21" s="117">
        <v>624</v>
      </c>
      <c r="CU21" s="117">
        <f t="shared" ref="CU21:CX21" si="67">+CQ21</f>
        <v>394</v>
      </c>
      <c r="CV21" s="117">
        <f t="shared" si="67"/>
        <v>544</v>
      </c>
      <c r="CW21" s="117">
        <f t="shared" si="67"/>
        <v>564</v>
      </c>
      <c r="CX21" s="117">
        <f t="shared" si="67"/>
        <v>624</v>
      </c>
      <c r="CY21" s="117"/>
      <c r="CZ21" s="67"/>
      <c r="DA21" s="67"/>
      <c r="DB21" s="67"/>
      <c r="DC21" s="67"/>
      <c r="DD21" s="67"/>
      <c r="DE21" s="67"/>
      <c r="DF21" s="67"/>
      <c r="DG21" s="67"/>
      <c r="DH21" s="67"/>
      <c r="DI21" s="67"/>
      <c r="DJ21" s="67"/>
      <c r="DK21" s="67"/>
      <c r="DL21" s="67"/>
      <c r="DM21" s="67"/>
      <c r="DN21" s="67"/>
      <c r="DO21" s="67"/>
      <c r="DP21" s="67"/>
      <c r="DQ21" s="67"/>
      <c r="DR21" s="67"/>
      <c r="DS21" s="67"/>
      <c r="DT21" s="67">
        <f t="shared" si="49"/>
        <v>178</v>
      </c>
      <c r="DU21" s="67">
        <f t="shared" si="50"/>
        <v>2195</v>
      </c>
      <c r="DV21" s="67">
        <f t="shared" si="51"/>
        <v>2249</v>
      </c>
      <c r="DW21" s="67">
        <f t="shared" si="52"/>
        <v>2288</v>
      </c>
      <c r="DX21" s="67">
        <f t="shared" si="55"/>
        <v>2188</v>
      </c>
      <c r="DY21" s="67">
        <f t="shared" ref="DY21" si="68">SUM(CQ21:CT21)</f>
        <v>2126</v>
      </c>
      <c r="DZ21" s="67">
        <f t="shared" ref="DZ21" si="69">SUM(CU21:CX21)</f>
        <v>2126</v>
      </c>
      <c r="EA21" s="67">
        <f t="shared" ref="EA21:EB21" si="70">+DZ21*1.05</f>
        <v>2232.3000000000002</v>
      </c>
      <c r="EB21" s="67">
        <f t="shared" si="70"/>
        <v>2343.9150000000004</v>
      </c>
      <c r="EC21" s="67">
        <f>+EB21*0.7</f>
        <v>1640.7405000000001</v>
      </c>
      <c r="ED21" s="67">
        <f t="shared" ref="ED21:EJ21" si="71">+EC21*0.2</f>
        <v>328.14810000000006</v>
      </c>
      <c r="EE21" s="67">
        <f t="shared" si="71"/>
        <v>65.629620000000017</v>
      </c>
      <c r="EF21" s="67">
        <f t="shared" si="71"/>
        <v>13.125924000000005</v>
      </c>
      <c r="EG21" s="67">
        <f t="shared" si="71"/>
        <v>2.6251848000000013</v>
      </c>
      <c r="EH21" s="67">
        <f t="shared" si="71"/>
        <v>0.52503696000000033</v>
      </c>
      <c r="EI21" s="67">
        <f t="shared" si="71"/>
        <v>0.10500739200000007</v>
      </c>
      <c r="EJ21" s="67">
        <f t="shared" si="71"/>
        <v>2.1001478400000016E-2</v>
      </c>
      <c r="EK21" s="67"/>
    </row>
    <row r="22" spans="2:141" s="26" customFormat="1">
      <c r="B22" s="98" t="s">
        <v>1188</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117">
        <v>399</v>
      </c>
      <c r="CT22" s="117">
        <v>431</v>
      </c>
      <c r="CU22" s="117">
        <f t="shared" ref="CU22:CX22" si="72">+CT22+20</f>
        <v>451</v>
      </c>
      <c r="CV22" s="117">
        <f t="shared" si="72"/>
        <v>471</v>
      </c>
      <c r="CW22" s="117">
        <f t="shared" si="72"/>
        <v>491</v>
      </c>
      <c r="CX22" s="117">
        <f t="shared" si="72"/>
        <v>511</v>
      </c>
      <c r="CY22" s="117"/>
      <c r="CZ22" s="67"/>
      <c r="DA22" s="67"/>
      <c r="DB22" s="67"/>
      <c r="DC22" s="67"/>
      <c r="DD22" s="67"/>
      <c r="DE22" s="67"/>
      <c r="DF22" s="67"/>
      <c r="DG22" s="67"/>
      <c r="DH22" s="67"/>
      <c r="DI22" s="67"/>
      <c r="DJ22" s="67"/>
      <c r="DK22" s="67"/>
      <c r="DL22" s="67"/>
      <c r="DM22" s="67"/>
      <c r="DN22" s="67"/>
      <c r="DO22" s="67"/>
      <c r="DP22" s="67"/>
      <c r="DQ22" s="67"/>
      <c r="DR22" s="67"/>
      <c r="DS22" s="67"/>
      <c r="DT22" s="67">
        <f t="shared" si="49"/>
        <v>189</v>
      </c>
      <c r="DU22" s="67">
        <f t="shared" si="50"/>
        <v>350</v>
      </c>
      <c r="DV22" s="67">
        <f t="shared" si="51"/>
        <v>530</v>
      </c>
      <c r="DW22" s="67">
        <f t="shared" si="52"/>
        <v>787</v>
      </c>
      <c r="DX22" s="67">
        <f t="shared" si="55"/>
        <v>1160</v>
      </c>
      <c r="DY22" s="67">
        <f t="shared" ref="DY22" si="73">SUM(CQ22:CT22)</f>
        <v>1563</v>
      </c>
      <c r="DZ22" s="67">
        <f t="shared" ref="DZ22" si="74">SUM(CU22:CX22)</f>
        <v>1924</v>
      </c>
      <c r="EA22" s="67">
        <f>+DZ22*1.1</f>
        <v>2116.4</v>
      </c>
      <c r="EB22" s="67">
        <f>+EA22*1.1</f>
        <v>2328.0400000000004</v>
      </c>
      <c r="EC22" s="67">
        <f t="shared" ref="EC22:EI22" si="75">+EB22*1.05</f>
        <v>2444.4420000000005</v>
      </c>
      <c r="ED22" s="67">
        <f t="shared" si="75"/>
        <v>2566.6641000000004</v>
      </c>
      <c r="EE22" s="67">
        <f t="shared" si="75"/>
        <v>2694.9973050000008</v>
      </c>
      <c r="EF22" s="67">
        <f t="shared" si="75"/>
        <v>2829.7471702500011</v>
      </c>
      <c r="EG22" s="67">
        <f t="shared" si="75"/>
        <v>2971.2345287625012</v>
      </c>
      <c r="EH22" s="67">
        <f t="shared" si="75"/>
        <v>3119.7962552006265</v>
      </c>
      <c r="EI22" s="67">
        <f t="shared" si="75"/>
        <v>3275.7860679606579</v>
      </c>
      <c r="EJ22" s="67">
        <f>+EI22*0.1</f>
        <v>327.5786067960658</v>
      </c>
    </row>
    <row r="23" spans="2:141" s="26" customFormat="1">
      <c r="B23" s="98" t="s">
        <v>1189</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117">
        <v>567</v>
      </c>
      <c r="CT23" s="117">
        <v>606</v>
      </c>
      <c r="CU23" s="117">
        <f t="shared" ref="CU23:CX23" si="76">+CT23+25</f>
        <v>631</v>
      </c>
      <c r="CV23" s="117">
        <f t="shared" si="76"/>
        <v>656</v>
      </c>
      <c r="CW23" s="117">
        <f t="shared" si="76"/>
        <v>681</v>
      </c>
      <c r="CX23" s="117">
        <f t="shared" si="76"/>
        <v>706</v>
      </c>
      <c r="CY23" s="117"/>
      <c r="CZ23" s="67"/>
      <c r="DA23" s="67"/>
      <c r="DB23" s="67"/>
      <c r="DC23" s="67"/>
      <c r="DD23" s="67"/>
      <c r="DE23" s="67"/>
      <c r="DF23" s="67"/>
      <c r="DG23" s="67"/>
      <c r="DH23" s="67"/>
      <c r="DI23" s="67"/>
      <c r="DJ23" s="67"/>
      <c r="DK23" s="67"/>
      <c r="DL23" s="67"/>
      <c r="DM23" s="67"/>
      <c r="DN23" s="67"/>
      <c r="DO23" s="67"/>
      <c r="DP23" s="67"/>
      <c r="DQ23" s="67"/>
      <c r="DR23" s="67"/>
      <c r="DS23" s="67"/>
      <c r="DT23" s="67">
        <f t="shared" si="49"/>
        <v>661</v>
      </c>
      <c r="DU23" s="67">
        <f t="shared" si="50"/>
        <v>887</v>
      </c>
      <c r="DV23" s="67">
        <f t="shared" si="51"/>
        <v>1117</v>
      </c>
      <c r="DW23" s="67">
        <f t="shared" si="52"/>
        <v>1296</v>
      </c>
      <c r="DX23" s="67">
        <f t="shared" si="55"/>
        <v>1635</v>
      </c>
      <c r="DY23" s="67">
        <f t="shared" ref="DY23" si="77">SUM(CQ23:CT23)</f>
        <v>2222</v>
      </c>
      <c r="DZ23" s="67">
        <f t="shared" ref="DZ23" si="78">SUM(CU23:CX23)</f>
        <v>2674</v>
      </c>
      <c r="EA23" s="67">
        <f t="shared" ref="EA23:EB23" si="79">+DZ23*1.1</f>
        <v>2941.4</v>
      </c>
      <c r="EB23" s="67">
        <f t="shared" si="79"/>
        <v>3235.5400000000004</v>
      </c>
      <c r="EC23" s="67">
        <f t="shared" ref="EC23:EI23" si="80">+EB23*1.05</f>
        <v>3397.3170000000005</v>
      </c>
      <c r="ED23" s="67">
        <f t="shared" si="80"/>
        <v>3567.1828500000006</v>
      </c>
      <c r="EE23" s="67">
        <f t="shared" si="80"/>
        <v>3745.5419925000006</v>
      </c>
      <c r="EF23" s="67">
        <f t="shared" si="80"/>
        <v>3932.8190921250007</v>
      </c>
      <c r="EG23" s="67">
        <f t="shared" si="80"/>
        <v>4129.4600467312512</v>
      </c>
      <c r="EH23" s="67">
        <f t="shared" si="80"/>
        <v>4335.933049067814</v>
      </c>
      <c r="EI23" s="67">
        <f t="shared" si="80"/>
        <v>4552.7297015212052</v>
      </c>
      <c r="EJ23" s="67">
        <f t="shared" ref="EJ23" si="81">+EI23*0.1</f>
        <v>455.27297015212054</v>
      </c>
    </row>
    <row r="24" spans="2:141" s="26" customFormat="1">
      <c r="B24" s="98" t="s">
        <v>1190</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117"/>
      <c r="CT24" s="117"/>
      <c r="CU24" s="117"/>
      <c r="CV24" s="117"/>
      <c r="CW24" s="117"/>
      <c r="CX24" s="117"/>
      <c r="CY24" s="117"/>
      <c r="CZ24" s="67"/>
      <c r="DA24" s="67"/>
      <c r="DB24" s="67"/>
      <c r="DC24" s="67"/>
      <c r="DD24" s="67"/>
      <c r="DE24" s="67"/>
      <c r="DF24" s="67"/>
      <c r="DG24" s="67"/>
      <c r="DH24" s="67"/>
      <c r="DI24" s="67"/>
      <c r="DJ24" s="67"/>
      <c r="DK24" s="67"/>
      <c r="DL24" s="67"/>
      <c r="DM24" s="67"/>
      <c r="DN24" s="67"/>
      <c r="DO24" s="67"/>
      <c r="DP24" s="67"/>
      <c r="DQ24" s="67"/>
      <c r="DR24" s="67"/>
      <c r="DS24" s="67"/>
      <c r="DT24" s="67">
        <f t="shared" si="49"/>
        <v>306</v>
      </c>
      <c r="DU24" s="67">
        <f t="shared" si="50"/>
        <v>378</v>
      </c>
      <c r="DV24" s="67">
        <f t="shared" si="51"/>
        <v>317</v>
      </c>
      <c r="DW24" s="67">
        <f t="shared" si="52"/>
        <v>414</v>
      </c>
      <c r="DX24" s="67">
        <f t="shared" si="55"/>
        <v>172</v>
      </c>
      <c r="DY24" s="67"/>
      <c r="DZ24" s="67"/>
      <c r="EA24" s="67"/>
      <c r="EB24" s="67"/>
      <c r="EC24" s="67"/>
      <c r="ED24" s="67"/>
      <c r="EE24" s="67"/>
      <c r="EF24" s="67"/>
      <c r="EG24" s="67"/>
      <c r="EH24" s="67"/>
      <c r="EI24" s="67"/>
      <c r="EJ24" s="67"/>
    </row>
    <row r="25" spans="2:141" s="26" customFormat="1">
      <c r="B25" s="98" t="s">
        <v>1191</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117">
        <v>7</v>
      </c>
      <c r="CJ25" s="117">
        <v>29</v>
      </c>
      <c r="CK25" s="117">
        <v>55</v>
      </c>
      <c r="CL25" s="117">
        <v>79</v>
      </c>
      <c r="CM25" s="117">
        <v>96</v>
      </c>
      <c r="CN25" s="117">
        <v>133</v>
      </c>
      <c r="CO25" s="117">
        <v>161</v>
      </c>
      <c r="CP25" s="117">
        <v>177</v>
      </c>
      <c r="CQ25" s="117">
        <v>173</v>
      </c>
      <c r="CR25" s="117">
        <v>234</v>
      </c>
      <c r="CS25" s="117">
        <v>269</v>
      </c>
      <c r="CT25" s="117">
        <v>296</v>
      </c>
      <c r="CU25" s="117">
        <f t="shared" ref="CU25:CX25" si="82">+CT25+20</f>
        <v>316</v>
      </c>
      <c r="CV25" s="117">
        <f t="shared" si="82"/>
        <v>336</v>
      </c>
      <c r="CW25" s="117">
        <f t="shared" si="82"/>
        <v>356</v>
      </c>
      <c r="CX25" s="117">
        <f t="shared" si="82"/>
        <v>376</v>
      </c>
      <c r="CY25" s="117"/>
      <c r="CZ25" s="67"/>
      <c r="DA25" s="67"/>
      <c r="DB25" s="67"/>
      <c r="DC25" s="67"/>
      <c r="DD25" s="67"/>
      <c r="DE25" s="67"/>
      <c r="DF25" s="67"/>
      <c r="DG25" s="67"/>
      <c r="DH25" s="67"/>
      <c r="DI25" s="67"/>
      <c r="DJ25" s="67"/>
      <c r="DK25" s="67"/>
      <c r="DL25" s="67"/>
      <c r="DM25" s="67"/>
      <c r="DN25" s="67"/>
      <c r="DO25" s="67"/>
      <c r="DP25" s="67"/>
      <c r="DQ25" s="67"/>
      <c r="DR25" s="67"/>
      <c r="DS25" s="67"/>
      <c r="DT25" s="67">
        <f t="shared" si="49"/>
        <v>0</v>
      </c>
      <c r="DU25" s="67">
        <f t="shared" si="50"/>
        <v>0</v>
      </c>
      <c r="DV25" s="67">
        <f t="shared" si="51"/>
        <v>0</v>
      </c>
      <c r="DW25" s="67">
        <f t="shared" si="52"/>
        <v>170</v>
      </c>
      <c r="DX25" s="67">
        <f t="shared" si="55"/>
        <v>567</v>
      </c>
      <c r="DY25" s="67">
        <f t="shared" ref="DY25" si="83">SUM(CQ25:CT25)</f>
        <v>972</v>
      </c>
      <c r="DZ25" s="67">
        <f t="shared" ref="DZ25" si="84">SUM(CU25:CX25)</f>
        <v>1384</v>
      </c>
      <c r="EA25" s="67">
        <f>+DZ25*1.2</f>
        <v>1660.8</v>
      </c>
      <c r="EB25" s="67">
        <f>+EA25*1.1</f>
        <v>1826.88</v>
      </c>
      <c r="EC25" s="67">
        <f>+EB25*1.1</f>
        <v>2009.5680000000002</v>
      </c>
      <c r="ED25" s="67">
        <f>+EC25*1.05</f>
        <v>2110.0464000000002</v>
      </c>
      <c r="EE25" s="67">
        <f>+ED25*1.05</f>
        <v>2215.5487200000002</v>
      </c>
      <c r="EF25" s="67">
        <f>+EE25*1.05</f>
        <v>2326.3261560000005</v>
      </c>
      <c r="EG25" s="26">
        <f>+EF25*1.01</f>
        <v>2349.5894175600006</v>
      </c>
      <c r="EH25" s="26">
        <f>+EG25*1.01</f>
        <v>2373.0853117356005</v>
      </c>
      <c r="EI25" s="26">
        <f>+EH25*1.01</f>
        <v>2396.8161648529567</v>
      </c>
      <c r="EJ25" s="26">
        <f>+EI25*1.01</f>
        <v>2420.7843265014862</v>
      </c>
    </row>
    <row r="26" spans="2:141" s="26" customFormat="1">
      <c r="B26" s="98" t="s">
        <v>1193</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117">
        <v>108</v>
      </c>
      <c r="CJ26" s="117">
        <v>116</v>
      </c>
      <c r="CK26" s="117">
        <v>117</v>
      </c>
      <c r="CL26" s="117">
        <v>119</v>
      </c>
      <c r="CM26" s="117">
        <v>164</v>
      </c>
      <c r="CN26" s="117">
        <v>150</v>
      </c>
      <c r="CO26" s="117">
        <v>152</v>
      </c>
      <c r="CP26" s="117">
        <v>160</v>
      </c>
      <c r="CQ26" s="117">
        <v>168</v>
      </c>
      <c r="CR26" s="117">
        <v>133</v>
      </c>
      <c r="CS26" s="117">
        <v>166</v>
      </c>
      <c r="CT26" s="117">
        <v>294</v>
      </c>
      <c r="CU26" s="117">
        <f t="shared" ref="CU26:CX26" si="85">+CT26</f>
        <v>294</v>
      </c>
      <c r="CV26" s="117">
        <f t="shared" si="85"/>
        <v>294</v>
      </c>
      <c r="CW26" s="117">
        <f t="shared" si="85"/>
        <v>294</v>
      </c>
      <c r="CX26" s="117">
        <f t="shared" si="85"/>
        <v>294</v>
      </c>
      <c r="CY26" s="117"/>
      <c r="CZ26" s="67"/>
      <c r="DA26" s="67"/>
      <c r="DB26" s="67"/>
      <c r="DC26" s="67"/>
      <c r="DD26" s="67"/>
      <c r="DE26" s="67"/>
      <c r="DF26" s="67"/>
      <c r="DG26" s="67"/>
      <c r="DH26" s="67"/>
      <c r="DI26" s="67"/>
      <c r="DJ26" s="67"/>
      <c r="DK26" s="67"/>
      <c r="DL26" s="67"/>
      <c r="DM26" s="67"/>
      <c r="DN26" s="67"/>
      <c r="DO26" s="67"/>
      <c r="DP26" s="67"/>
      <c r="DQ26" s="67"/>
      <c r="DR26" s="67"/>
      <c r="DS26" s="67"/>
      <c r="DT26" s="67">
        <f t="shared" si="49"/>
        <v>215</v>
      </c>
      <c r="DU26" s="67">
        <f t="shared" si="50"/>
        <v>331</v>
      </c>
      <c r="DV26" s="67">
        <f t="shared" si="51"/>
        <v>439</v>
      </c>
      <c r="DW26" s="67">
        <f t="shared" si="52"/>
        <v>460</v>
      </c>
      <c r="DX26" s="67">
        <f t="shared" si="55"/>
        <v>626</v>
      </c>
      <c r="DY26" s="67">
        <f t="shared" ref="DY26" si="86">SUM(CQ26:CT26)</f>
        <v>761</v>
      </c>
      <c r="DZ26" s="67">
        <f t="shared" ref="DZ26" si="87">SUM(CU26:CX26)</f>
        <v>1176</v>
      </c>
      <c r="EA26" s="67">
        <f t="shared" ref="EA26:EJ26" si="88">+DZ26*0.9</f>
        <v>1058.4000000000001</v>
      </c>
      <c r="EB26" s="67">
        <f t="shared" si="88"/>
        <v>952.56000000000006</v>
      </c>
      <c r="EC26" s="67">
        <f t="shared" si="88"/>
        <v>857.30400000000009</v>
      </c>
      <c r="ED26" s="67">
        <f t="shared" si="88"/>
        <v>771.57360000000006</v>
      </c>
      <c r="EE26" s="67">
        <f t="shared" si="88"/>
        <v>694.41624000000002</v>
      </c>
      <c r="EF26" s="67">
        <f t="shared" si="88"/>
        <v>624.97461600000008</v>
      </c>
      <c r="EG26" s="67">
        <f t="shared" si="88"/>
        <v>562.47715440000013</v>
      </c>
      <c r="EH26" s="67">
        <f t="shared" si="88"/>
        <v>506.22943896000015</v>
      </c>
      <c r="EI26" s="67">
        <f t="shared" si="88"/>
        <v>455.60649506400017</v>
      </c>
      <c r="EJ26" s="67">
        <f t="shared" si="88"/>
        <v>410.04584555760016</v>
      </c>
    </row>
    <row r="27" spans="2:141" s="26" customFormat="1">
      <c r="B27" s="98" t="s">
        <v>1194</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117">
        <v>98</v>
      </c>
      <c r="CT27" s="117">
        <v>85</v>
      </c>
      <c r="CU27" s="117">
        <f t="shared" ref="CU27:CX27" si="89">+CQ27+10</f>
        <v>92</v>
      </c>
      <c r="CV27" s="117">
        <f t="shared" si="89"/>
        <v>95</v>
      </c>
      <c r="CW27" s="117">
        <f t="shared" si="89"/>
        <v>108</v>
      </c>
      <c r="CX27" s="117">
        <f t="shared" si="89"/>
        <v>95</v>
      </c>
      <c r="CY27" s="117"/>
      <c r="CZ27" s="67"/>
      <c r="DA27" s="67"/>
      <c r="DB27" s="67"/>
      <c r="DC27" s="67"/>
      <c r="DD27" s="67"/>
      <c r="DE27" s="67"/>
      <c r="DF27" s="67"/>
      <c r="DG27" s="67"/>
      <c r="DH27" s="67"/>
      <c r="DI27" s="67"/>
      <c r="DJ27" s="67"/>
      <c r="DK27" s="67"/>
      <c r="DL27" s="67"/>
      <c r="DM27" s="67"/>
      <c r="DN27" s="67"/>
      <c r="DO27" s="67"/>
      <c r="DP27" s="67"/>
      <c r="DQ27" s="67"/>
      <c r="DR27" s="67"/>
      <c r="DS27" s="67"/>
      <c r="DT27" s="67">
        <f t="shared" si="49"/>
        <v>0</v>
      </c>
      <c r="DU27" s="67">
        <f t="shared" si="50"/>
        <v>0</v>
      </c>
      <c r="DV27" s="67">
        <f t="shared" si="51"/>
        <v>90</v>
      </c>
      <c r="DW27" s="67">
        <f t="shared" si="52"/>
        <v>285</v>
      </c>
      <c r="DX27" s="67">
        <f t="shared" si="55"/>
        <v>280</v>
      </c>
      <c r="DY27" s="67">
        <f t="shared" ref="DY27" si="90">SUM(CQ27:CT27)</f>
        <v>350</v>
      </c>
      <c r="DZ27" s="67">
        <f t="shared" ref="DZ27" si="91">SUM(CU27:CX27)</f>
        <v>390</v>
      </c>
      <c r="EA27" s="67">
        <f t="shared" ref="EA27:EJ27" si="92">+DZ27*1.01</f>
        <v>393.9</v>
      </c>
      <c r="EB27" s="67">
        <f t="shared" si="92"/>
        <v>397.839</v>
      </c>
      <c r="EC27" s="67">
        <f t="shared" si="92"/>
        <v>401.81738999999999</v>
      </c>
      <c r="ED27" s="67">
        <f t="shared" si="92"/>
        <v>405.83556390000001</v>
      </c>
      <c r="EE27" s="67">
        <f t="shared" si="92"/>
        <v>409.89391953900002</v>
      </c>
      <c r="EF27" s="67">
        <f t="shared" si="92"/>
        <v>413.99285873439004</v>
      </c>
      <c r="EG27" s="67">
        <f t="shared" si="92"/>
        <v>418.13278732173393</v>
      </c>
      <c r="EH27" s="67">
        <f t="shared" si="92"/>
        <v>422.31411519495128</v>
      </c>
      <c r="EI27" s="67">
        <f t="shared" si="92"/>
        <v>426.53725634690079</v>
      </c>
      <c r="EJ27" s="67">
        <f t="shared" si="92"/>
        <v>430.80262891036978</v>
      </c>
    </row>
    <row r="28" spans="2:141" s="26" customFormat="1">
      <c r="B28" s="98" t="s">
        <v>1154</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117">
        <v>378</v>
      </c>
      <c r="CT28" s="117">
        <v>372</v>
      </c>
      <c r="CU28" s="117">
        <f t="shared" ref="CU28:CX29" si="93">+CQ28</f>
        <v>376</v>
      </c>
      <c r="CV28" s="117">
        <f t="shared" si="93"/>
        <v>377</v>
      </c>
      <c r="CW28" s="117">
        <f t="shared" si="93"/>
        <v>378</v>
      </c>
      <c r="CX28" s="117">
        <f t="shared" si="93"/>
        <v>372</v>
      </c>
      <c r="CY28" s="117"/>
      <c r="CZ28" s="67"/>
      <c r="DA28" s="67"/>
      <c r="DB28" s="67"/>
      <c r="DC28" s="67"/>
      <c r="DD28" s="67"/>
      <c r="DE28" s="67"/>
      <c r="DF28" s="67"/>
      <c r="DG28" s="67"/>
      <c r="DH28" s="67"/>
      <c r="DI28" s="67"/>
      <c r="DJ28" s="67"/>
      <c r="DK28" s="67"/>
      <c r="DL28" s="67"/>
      <c r="DM28" s="67"/>
      <c r="DN28" s="67"/>
      <c r="DO28" s="67"/>
      <c r="DP28" s="67"/>
      <c r="DQ28" s="67"/>
      <c r="DR28" s="67"/>
      <c r="DS28" s="67"/>
      <c r="DT28" s="67">
        <f t="shared" si="49"/>
        <v>1044</v>
      </c>
      <c r="DU28" s="67">
        <f t="shared" si="50"/>
        <v>1065</v>
      </c>
      <c r="DV28" s="67">
        <f t="shared" si="51"/>
        <v>1108</v>
      </c>
      <c r="DW28" s="67">
        <f t="shared" si="52"/>
        <v>1247</v>
      </c>
      <c r="DX28" s="67">
        <f t="shared" si="55"/>
        <v>1403</v>
      </c>
      <c r="DY28" s="67">
        <f t="shared" ref="DY28" si="94">SUM(CQ28:CT28)</f>
        <v>1503</v>
      </c>
      <c r="DZ28" s="67">
        <f t="shared" ref="DZ28" si="95">SUM(CU28:CX28)</f>
        <v>1503</v>
      </c>
      <c r="EA28" s="67">
        <f>+DZ28*0.5</f>
        <v>751.5</v>
      </c>
      <c r="EB28" s="67">
        <f>+EA28*0.5</f>
        <v>375.75</v>
      </c>
      <c r="EC28" s="67">
        <f>+EB28*0.5</f>
        <v>187.875</v>
      </c>
      <c r="ED28" s="67">
        <f>+EC28*0.5</f>
        <v>93.9375</v>
      </c>
      <c r="EE28" s="67">
        <f t="shared" ref="EE28:EJ28" si="96">+ED28*0.5</f>
        <v>46.96875</v>
      </c>
      <c r="EF28" s="67">
        <f t="shared" si="96"/>
        <v>23.484375</v>
      </c>
      <c r="EG28" s="67">
        <f t="shared" si="96"/>
        <v>11.7421875</v>
      </c>
      <c r="EH28" s="67">
        <f t="shared" si="96"/>
        <v>5.87109375</v>
      </c>
      <c r="EI28" s="67">
        <f t="shared" si="96"/>
        <v>2.935546875</v>
      </c>
      <c r="EJ28" s="67">
        <f t="shared" si="96"/>
        <v>1.4677734375</v>
      </c>
    </row>
    <row r="29" spans="2:141" s="26" customFormat="1">
      <c r="B29" s="26" t="s">
        <v>786</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117">
        <v>456</v>
      </c>
      <c r="CT29" s="117">
        <v>337</v>
      </c>
      <c r="CU29" s="117">
        <f t="shared" si="93"/>
        <v>317</v>
      </c>
      <c r="CV29" s="117">
        <f t="shared" si="93"/>
        <v>346</v>
      </c>
      <c r="CW29" s="117">
        <f t="shared" si="93"/>
        <v>456</v>
      </c>
      <c r="CX29" s="117">
        <f t="shared" si="93"/>
        <v>337</v>
      </c>
      <c r="CY29" s="117"/>
      <c r="CZ29" s="67"/>
      <c r="DA29" s="67"/>
      <c r="DB29" s="67"/>
      <c r="DC29" s="67"/>
      <c r="DD29" s="67"/>
      <c r="DE29" s="67"/>
      <c r="DF29" s="67"/>
      <c r="DG29" s="67"/>
      <c r="DH29" s="67"/>
      <c r="DI29" s="67"/>
      <c r="DJ29" s="67"/>
      <c r="DK29" s="67">
        <f>SUM(AM29:AP29)</f>
        <v>229</v>
      </c>
      <c r="DL29" s="67">
        <f>SUM(AQ29:AT29)</f>
        <v>290</v>
      </c>
      <c r="DM29" s="67">
        <f t="shared" ref="DM29:DR29" si="97">+DL29*1.05</f>
        <v>304.5</v>
      </c>
      <c r="DN29" s="67">
        <f t="shared" si="97"/>
        <v>319.72500000000002</v>
      </c>
      <c r="DO29" s="67">
        <f t="shared" si="97"/>
        <v>335.71125000000006</v>
      </c>
      <c r="DP29" s="67">
        <f t="shared" si="97"/>
        <v>352.49681250000009</v>
      </c>
      <c r="DQ29" s="67">
        <f t="shared" si="97"/>
        <v>370.12165312500014</v>
      </c>
      <c r="DR29" s="67">
        <f t="shared" si="97"/>
        <v>388.62773578125018</v>
      </c>
      <c r="DS29" s="67"/>
      <c r="DT29" s="67">
        <f t="shared" si="49"/>
        <v>795</v>
      </c>
      <c r="DU29" s="67">
        <f t="shared" si="50"/>
        <v>850</v>
      </c>
      <c r="DV29" s="67">
        <f t="shared" si="51"/>
        <v>1027</v>
      </c>
      <c r="DW29" s="67">
        <f t="shared" si="52"/>
        <v>1307</v>
      </c>
      <c r="DX29" s="67">
        <f t="shared" si="55"/>
        <v>1477</v>
      </c>
      <c r="DY29" s="67">
        <f t="shared" ref="DY29:DY31" si="98">SUM(CQ29:CT29)</f>
        <v>1456</v>
      </c>
      <c r="DZ29" s="67">
        <f t="shared" ref="DZ29:DZ31" si="99">SUM(CU29:CX29)</f>
        <v>1456</v>
      </c>
      <c r="EA29" s="67">
        <f t="shared" ref="EA29:EB30" si="100">+DZ29*1.05</f>
        <v>1528.8</v>
      </c>
      <c r="EB29" s="67">
        <f t="shared" si="100"/>
        <v>1605.24</v>
      </c>
      <c r="EC29" s="67">
        <f t="shared" ref="EC29:EJ29" si="101">+EB29*0.99</f>
        <v>1589.1876</v>
      </c>
      <c r="ED29" s="67">
        <f t="shared" si="101"/>
        <v>1573.2957240000001</v>
      </c>
      <c r="EE29" s="67">
        <f t="shared" si="101"/>
        <v>1557.5627667600002</v>
      </c>
      <c r="EF29" s="67">
        <f t="shared" si="101"/>
        <v>1541.9871390924002</v>
      </c>
      <c r="EG29" s="67">
        <f t="shared" si="101"/>
        <v>1526.5672677014761</v>
      </c>
      <c r="EH29" s="67">
        <f t="shared" si="101"/>
        <v>1511.3015950244614</v>
      </c>
      <c r="EI29" s="67">
        <f t="shared" si="101"/>
        <v>1496.1885790742169</v>
      </c>
      <c r="EJ29" s="67">
        <f t="shared" si="101"/>
        <v>1481.2266932834748</v>
      </c>
    </row>
    <row r="30" spans="2:141" s="26" customFormat="1">
      <c r="B30" s="98" t="s">
        <v>1195</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117">
        <v>327</v>
      </c>
      <c r="CT30" s="117">
        <v>381</v>
      </c>
      <c r="CU30" s="117">
        <f t="shared" ref="CU30:CX30" si="102">+CT30+5</f>
        <v>386</v>
      </c>
      <c r="CV30" s="117">
        <f t="shared" si="102"/>
        <v>391</v>
      </c>
      <c r="CW30" s="117">
        <f t="shared" si="102"/>
        <v>396</v>
      </c>
      <c r="CX30" s="117">
        <f t="shared" si="102"/>
        <v>401</v>
      </c>
      <c r="CY30" s="117"/>
      <c r="CZ30" s="67"/>
      <c r="DA30" s="67"/>
      <c r="DB30" s="67"/>
      <c r="DC30" s="67"/>
      <c r="DD30" s="67"/>
      <c r="DE30" s="67"/>
      <c r="DF30" s="67"/>
      <c r="DG30" s="67"/>
      <c r="DH30" s="67"/>
      <c r="DI30" s="67"/>
      <c r="DJ30" s="67"/>
      <c r="DK30" s="67"/>
      <c r="DL30" s="67"/>
      <c r="DM30" s="67"/>
      <c r="DN30" s="67"/>
      <c r="DO30" s="67"/>
      <c r="DP30" s="67"/>
      <c r="DQ30" s="67"/>
      <c r="DR30" s="67"/>
      <c r="DS30" s="67"/>
      <c r="DT30" s="67">
        <f t="shared" si="49"/>
        <v>312</v>
      </c>
      <c r="DU30" s="67">
        <f t="shared" si="50"/>
        <v>379</v>
      </c>
      <c r="DV30" s="67">
        <f t="shared" si="51"/>
        <v>472</v>
      </c>
      <c r="DW30" s="67">
        <f t="shared" si="52"/>
        <v>583</v>
      </c>
      <c r="DX30" s="67">
        <f t="shared" si="55"/>
        <v>861</v>
      </c>
      <c r="DY30" s="67">
        <f t="shared" si="98"/>
        <v>1216</v>
      </c>
      <c r="DZ30" s="67">
        <f t="shared" si="99"/>
        <v>1574</v>
      </c>
      <c r="EA30" s="67">
        <f t="shared" si="100"/>
        <v>1652.7</v>
      </c>
      <c r="EB30" s="67">
        <f t="shared" si="100"/>
        <v>1735.335</v>
      </c>
      <c r="EC30" s="67">
        <f t="shared" ref="EC30:EJ30" si="103">+EB30*1.05</f>
        <v>1822.10175</v>
      </c>
      <c r="ED30" s="67">
        <f t="shared" si="103"/>
        <v>1913.2068375000001</v>
      </c>
      <c r="EE30" s="67">
        <f t="shared" si="103"/>
        <v>2008.8671793750002</v>
      </c>
      <c r="EF30" s="67">
        <f t="shared" si="103"/>
        <v>2109.3105383437505</v>
      </c>
      <c r="EG30" s="67">
        <f t="shared" si="103"/>
        <v>2214.7760652609381</v>
      </c>
      <c r="EH30" s="67">
        <f t="shared" si="103"/>
        <v>2325.5148685239851</v>
      </c>
      <c r="EI30" s="67">
        <f t="shared" si="103"/>
        <v>2441.7906119501845</v>
      </c>
      <c r="EJ30" s="67">
        <f t="shared" si="103"/>
        <v>2563.8801425476936</v>
      </c>
    </row>
    <row r="31" spans="2:141" s="26" customFormat="1">
      <c r="B31" s="98" t="s">
        <v>1196</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117">
        <v>244</v>
      </c>
      <c r="CJ31" s="117">
        <v>243</v>
      </c>
      <c r="CK31" s="117">
        <v>209</v>
      </c>
      <c r="CL31" s="117">
        <v>205</v>
      </c>
      <c r="CM31" s="117">
        <v>202</v>
      </c>
      <c r="CN31" s="117">
        <v>197</v>
      </c>
      <c r="CO31" s="117">
        <v>213</v>
      </c>
      <c r="CP31" s="117">
        <v>188</v>
      </c>
      <c r="CQ31" s="117">
        <v>202</v>
      </c>
      <c r="CR31" s="117">
        <v>157</v>
      </c>
      <c r="CS31" s="117">
        <v>195</v>
      </c>
      <c r="CT31" s="117">
        <v>173</v>
      </c>
      <c r="CU31" s="117">
        <f t="shared" ref="CU31:CX31" si="104">+CT31</f>
        <v>173</v>
      </c>
      <c r="CV31" s="117">
        <f t="shared" si="104"/>
        <v>173</v>
      </c>
      <c r="CW31" s="117">
        <f t="shared" si="104"/>
        <v>173</v>
      </c>
      <c r="CX31" s="117">
        <f t="shared" si="104"/>
        <v>173</v>
      </c>
      <c r="CY31" s="117"/>
      <c r="CZ31" s="67"/>
      <c r="DA31" s="67"/>
      <c r="DB31" s="67"/>
      <c r="DC31" s="67"/>
      <c r="DD31" s="67"/>
      <c r="DE31" s="67"/>
      <c r="DF31" s="67"/>
      <c r="DG31" s="67"/>
      <c r="DH31" s="67"/>
      <c r="DI31" s="67"/>
      <c r="DJ31" s="67"/>
      <c r="DK31" s="67"/>
      <c r="DL31" s="67"/>
      <c r="DM31" s="67"/>
      <c r="DN31" s="67"/>
      <c r="DO31" s="67"/>
      <c r="DP31" s="67"/>
      <c r="DQ31" s="67"/>
      <c r="DR31" s="67"/>
      <c r="DS31" s="67"/>
      <c r="DT31" s="67">
        <f t="shared" si="49"/>
        <v>127</v>
      </c>
      <c r="DU31" s="67">
        <f t="shared" si="50"/>
        <v>798</v>
      </c>
      <c r="DV31" s="67">
        <f t="shared" si="51"/>
        <v>1166</v>
      </c>
      <c r="DW31" s="67">
        <f t="shared" si="52"/>
        <v>901</v>
      </c>
      <c r="DX31" s="67">
        <f t="shared" si="55"/>
        <v>800</v>
      </c>
      <c r="DY31" s="67">
        <f t="shared" si="98"/>
        <v>727</v>
      </c>
      <c r="DZ31" s="67">
        <f t="shared" si="99"/>
        <v>692</v>
      </c>
      <c r="EA31" s="67">
        <f t="shared" ref="EA31:EJ31" si="105">+DZ31*0.9</f>
        <v>622.80000000000007</v>
      </c>
      <c r="EB31" s="67">
        <f t="shared" si="105"/>
        <v>560.5200000000001</v>
      </c>
      <c r="EC31" s="67">
        <f t="shared" si="105"/>
        <v>504.46800000000007</v>
      </c>
      <c r="ED31" s="67">
        <f t="shared" si="105"/>
        <v>454.02120000000008</v>
      </c>
      <c r="EE31" s="67">
        <f t="shared" si="105"/>
        <v>408.61908000000005</v>
      </c>
      <c r="EF31" s="67">
        <f t="shared" si="105"/>
        <v>367.75717200000008</v>
      </c>
      <c r="EG31" s="67">
        <f t="shared" si="105"/>
        <v>330.98145480000011</v>
      </c>
      <c r="EH31" s="67">
        <f t="shared" si="105"/>
        <v>297.88330932000008</v>
      </c>
      <c r="EI31" s="67">
        <f t="shared" si="105"/>
        <v>268.09497838800007</v>
      </c>
      <c r="EJ31" s="67">
        <f t="shared" si="105"/>
        <v>241.28548054920006</v>
      </c>
    </row>
    <row r="32" spans="2:141" s="26" customFormat="1">
      <c r="B32" s="97" t="s">
        <v>1296</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117"/>
      <c r="CJ32" s="117"/>
      <c r="CK32" s="117"/>
      <c r="CL32" s="117"/>
      <c r="CM32" s="117"/>
      <c r="CN32" s="117">
        <v>0</v>
      </c>
      <c r="CO32" s="117"/>
      <c r="CP32" s="117"/>
      <c r="CQ32" s="117"/>
      <c r="CR32" s="117">
        <v>12</v>
      </c>
      <c r="CS32" s="117">
        <v>36</v>
      </c>
      <c r="CT32" s="117">
        <v>67</v>
      </c>
      <c r="CU32" s="117">
        <f t="shared" ref="CU32:CX32" si="106">+CT32+5</f>
        <v>72</v>
      </c>
      <c r="CV32" s="117">
        <f t="shared" si="106"/>
        <v>77</v>
      </c>
      <c r="CW32" s="117">
        <f t="shared" si="106"/>
        <v>82</v>
      </c>
      <c r="CX32" s="117">
        <f t="shared" si="106"/>
        <v>87</v>
      </c>
      <c r="CY32" s="11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f t="shared" ref="DY32:DY35" si="107">SUM(CQ32:CT32)</f>
        <v>115</v>
      </c>
      <c r="DZ32" s="67">
        <f t="shared" ref="DZ32:DZ35" si="108">SUM(CU32:CX32)</f>
        <v>318</v>
      </c>
      <c r="EA32" s="67">
        <f>+DZ32*1.1</f>
        <v>349.8</v>
      </c>
      <c r="EB32" s="67">
        <f t="shared" ref="EB32:EJ32" si="109">+EA32*1.1</f>
        <v>384.78000000000003</v>
      </c>
      <c r="EC32" s="67">
        <f t="shared" si="109"/>
        <v>423.2580000000001</v>
      </c>
      <c r="ED32" s="67">
        <f t="shared" si="109"/>
        <v>465.58380000000017</v>
      </c>
      <c r="EE32" s="67">
        <f t="shared" si="109"/>
        <v>512.14218000000028</v>
      </c>
      <c r="EF32" s="67">
        <f t="shared" si="109"/>
        <v>563.35639800000035</v>
      </c>
      <c r="EG32" s="67">
        <f t="shared" si="109"/>
        <v>619.69203780000043</v>
      </c>
      <c r="EH32" s="67">
        <f t="shared" si="109"/>
        <v>681.66124158000048</v>
      </c>
      <c r="EI32" s="67">
        <f t="shared" si="109"/>
        <v>749.82736573800059</v>
      </c>
      <c r="EJ32" s="67">
        <f t="shared" si="109"/>
        <v>824.81010231180073</v>
      </c>
    </row>
    <row r="33" spans="2:140" s="26" customFormat="1">
      <c r="B33" s="98" t="s">
        <v>1197</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117">
        <v>96</v>
      </c>
      <c r="CJ33" s="117">
        <v>85</v>
      </c>
      <c r="CK33" s="117">
        <v>72</v>
      </c>
      <c r="CL33" s="117">
        <v>63</v>
      </c>
      <c r="CM33" s="117"/>
      <c r="CN33" s="117"/>
      <c r="CO33" s="117">
        <v>20</v>
      </c>
      <c r="CP33" s="117">
        <v>42</v>
      </c>
      <c r="CQ33" s="117"/>
      <c r="CR33" s="117"/>
      <c r="CS33" s="117"/>
      <c r="CT33" s="117"/>
      <c r="CU33" s="117"/>
      <c r="CV33" s="117"/>
      <c r="CW33" s="117"/>
      <c r="CX33" s="117"/>
      <c r="CY33" s="117"/>
      <c r="CZ33" s="67"/>
      <c r="DA33" s="67"/>
      <c r="DB33" s="67"/>
      <c r="DC33" s="67"/>
      <c r="DD33" s="67"/>
      <c r="DE33" s="67"/>
      <c r="DF33" s="67"/>
      <c r="DG33" s="67"/>
      <c r="DH33" s="67"/>
      <c r="DI33" s="67"/>
      <c r="DJ33" s="67"/>
      <c r="DK33" s="67"/>
      <c r="DL33" s="67"/>
      <c r="DM33" s="67"/>
      <c r="DN33" s="67"/>
      <c r="DO33" s="67"/>
      <c r="DP33" s="67"/>
      <c r="DQ33" s="67"/>
      <c r="DR33" s="67"/>
      <c r="DS33" s="67"/>
      <c r="DT33" s="67">
        <f t="shared" si="49"/>
        <v>226</v>
      </c>
      <c r="DU33" s="67">
        <f t="shared" si="50"/>
        <v>567</v>
      </c>
      <c r="DV33" s="67">
        <f t="shared" si="51"/>
        <v>572</v>
      </c>
      <c r="DW33" s="67">
        <f t="shared" si="52"/>
        <v>316</v>
      </c>
      <c r="DX33" s="67">
        <f>SUM(CM33:CP33)</f>
        <v>62</v>
      </c>
      <c r="DY33" s="67"/>
      <c r="DZ33" s="67"/>
      <c r="EA33" s="67"/>
      <c r="EB33" s="67"/>
      <c r="EC33" s="67"/>
      <c r="ED33" s="67"/>
      <c r="EE33" s="67"/>
      <c r="EF33" s="67"/>
      <c r="EG33" s="67"/>
      <c r="EH33" s="67"/>
      <c r="EI33" s="67"/>
      <c r="EJ33" s="67"/>
    </row>
    <row r="34" spans="2:140" s="26" customFormat="1">
      <c r="B34" s="97" t="s">
        <v>1300</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117"/>
      <c r="CJ34" s="117"/>
      <c r="CK34" s="117"/>
      <c r="CL34" s="117">
        <v>0</v>
      </c>
      <c r="CM34" s="117">
        <v>0</v>
      </c>
      <c r="CN34" s="117">
        <v>0</v>
      </c>
      <c r="CO34" s="117"/>
      <c r="CP34" s="117">
        <v>164</v>
      </c>
      <c r="CQ34" s="117">
        <v>169</v>
      </c>
      <c r="CR34" s="117">
        <v>187</v>
      </c>
      <c r="CS34" s="117">
        <v>188</v>
      </c>
      <c r="CT34" s="117">
        <v>214</v>
      </c>
      <c r="CU34" s="117">
        <f t="shared" ref="CU34:CX35" si="110">+CT34</f>
        <v>214</v>
      </c>
      <c r="CV34" s="117">
        <f t="shared" si="110"/>
        <v>214</v>
      </c>
      <c r="CW34" s="117">
        <f t="shared" si="110"/>
        <v>214</v>
      </c>
      <c r="CX34" s="117">
        <f t="shared" si="110"/>
        <v>214</v>
      </c>
      <c r="CY34" s="11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f>SUM(CM34:CP34)</f>
        <v>164</v>
      </c>
      <c r="DY34" s="67">
        <f t="shared" si="107"/>
        <v>758</v>
      </c>
      <c r="DZ34" s="67">
        <f t="shared" si="108"/>
        <v>856</v>
      </c>
      <c r="EA34" s="67">
        <f>+DZ34*1.1</f>
        <v>941.6</v>
      </c>
      <c r="EB34" s="67">
        <f t="shared" ref="EB34:EJ34" si="111">+EA34*1.1</f>
        <v>1035.7600000000002</v>
      </c>
      <c r="EC34" s="67">
        <f t="shared" si="111"/>
        <v>1139.3360000000002</v>
      </c>
      <c r="ED34" s="67">
        <f t="shared" si="111"/>
        <v>1253.2696000000003</v>
      </c>
      <c r="EE34" s="67">
        <f t="shared" si="111"/>
        <v>1378.5965600000004</v>
      </c>
      <c r="EF34" s="67">
        <f t="shared" si="111"/>
        <v>1516.4562160000005</v>
      </c>
      <c r="EG34" s="67">
        <f t="shared" si="111"/>
        <v>1668.1018376000006</v>
      </c>
      <c r="EH34" s="67">
        <f t="shared" si="111"/>
        <v>1834.9120213600008</v>
      </c>
      <c r="EI34" s="67">
        <f t="shared" si="111"/>
        <v>2018.4032234960011</v>
      </c>
      <c r="EJ34" s="67">
        <f t="shared" si="111"/>
        <v>2220.2435458456016</v>
      </c>
    </row>
    <row r="35" spans="2:140" s="26" customFormat="1">
      <c r="B35" s="26" t="s">
        <v>448</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v>779</v>
      </c>
      <c r="BP35" s="67"/>
      <c r="BQ35" s="67"/>
      <c r="BR35" s="67"/>
      <c r="BS35" s="67">
        <v>949</v>
      </c>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117">
        <v>85</v>
      </c>
      <c r="CJ35" s="117">
        <v>113</v>
      </c>
      <c r="CK35" s="117">
        <v>114</v>
      </c>
      <c r="CL35" s="117">
        <v>119</v>
      </c>
      <c r="CM35" s="117">
        <v>309</v>
      </c>
      <c r="CN35" s="117">
        <v>306</v>
      </c>
      <c r="CO35" s="117">
        <v>167</v>
      </c>
      <c r="CP35" s="117">
        <v>175</v>
      </c>
      <c r="CQ35" s="117">
        <v>357</v>
      </c>
      <c r="CR35" s="117">
        <v>346</v>
      </c>
      <c r="CS35" s="117">
        <v>281</v>
      </c>
      <c r="CT35" s="117">
        <v>361</v>
      </c>
      <c r="CU35" s="117">
        <f t="shared" si="110"/>
        <v>361</v>
      </c>
      <c r="CV35" s="117">
        <f t="shared" si="110"/>
        <v>361</v>
      </c>
      <c r="CW35" s="117">
        <f t="shared" si="110"/>
        <v>361</v>
      </c>
      <c r="CX35" s="117">
        <f t="shared" si="110"/>
        <v>361</v>
      </c>
      <c r="CY35" s="117"/>
      <c r="CZ35" s="67"/>
      <c r="DA35" s="67"/>
      <c r="DB35" s="67"/>
      <c r="DC35" s="67"/>
      <c r="DD35" s="67"/>
      <c r="DE35" s="67"/>
      <c r="DF35" s="67"/>
      <c r="DG35" s="67"/>
      <c r="DH35" s="67"/>
      <c r="DI35" s="67"/>
      <c r="DJ35" s="67"/>
      <c r="DK35" s="67"/>
      <c r="DL35" s="67"/>
      <c r="DM35" s="67"/>
      <c r="DN35" s="67"/>
      <c r="DO35" s="67"/>
      <c r="DP35" s="67"/>
      <c r="DQ35" s="67"/>
      <c r="DR35" s="67"/>
      <c r="DS35" s="67"/>
      <c r="DT35" s="67">
        <f t="shared" si="49"/>
        <v>312</v>
      </c>
      <c r="DU35" s="67">
        <f t="shared" si="50"/>
        <v>283</v>
      </c>
      <c r="DV35" s="67">
        <f t="shared" si="51"/>
        <v>339</v>
      </c>
      <c r="DW35" s="67">
        <f t="shared" si="52"/>
        <v>431</v>
      </c>
      <c r="DX35" s="67">
        <f>SUM(CM35:CP35)</f>
        <v>957</v>
      </c>
      <c r="DY35" s="67">
        <f t="shared" si="107"/>
        <v>1345</v>
      </c>
      <c r="DZ35" s="67">
        <f t="shared" si="108"/>
        <v>1444</v>
      </c>
      <c r="EA35" s="67">
        <f t="shared" ref="EA35:EJ35" si="112">+DZ35*0.9</f>
        <v>1299.6000000000001</v>
      </c>
      <c r="EB35" s="67">
        <f t="shared" si="112"/>
        <v>1169.6400000000001</v>
      </c>
      <c r="EC35" s="67">
        <f t="shared" si="112"/>
        <v>1052.6760000000002</v>
      </c>
      <c r="ED35" s="67">
        <f t="shared" si="112"/>
        <v>947.40840000000014</v>
      </c>
      <c r="EE35" s="67">
        <f t="shared" si="112"/>
        <v>852.66756000000009</v>
      </c>
      <c r="EF35" s="67">
        <f t="shared" si="112"/>
        <v>767.40080400000011</v>
      </c>
      <c r="EG35" s="67">
        <f t="shared" si="112"/>
        <v>690.6607236000001</v>
      </c>
      <c r="EH35" s="67">
        <f t="shared" si="112"/>
        <v>621.59465124000008</v>
      </c>
      <c r="EI35" s="67">
        <f t="shared" si="112"/>
        <v>559.43518611600007</v>
      </c>
      <c r="EJ35" s="67">
        <f t="shared" si="112"/>
        <v>503.49166750440008</v>
      </c>
    </row>
    <row r="36" spans="2:140" s="26" customFormat="1">
      <c r="B36" s="97" t="s">
        <v>1224</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117"/>
      <c r="CJ36" s="117"/>
      <c r="CK36" s="117">
        <v>0</v>
      </c>
      <c r="CL36" s="117">
        <v>21</v>
      </c>
      <c r="CM36" s="117">
        <v>23</v>
      </c>
      <c r="CN36" s="117">
        <v>30</v>
      </c>
      <c r="CO36" s="117">
        <v>37</v>
      </c>
      <c r="CP36" s="117">
        <v>44</v>
      </c>
      <c r="CQ36" s="117">
        <v>51</v>
      </c>
      <c r="CR36" s="117">
        <v>71</v>
      </c>
      <c r="CS36" s="117">
        <v>80</v>
      </c>
      <c r="CT36" s="117">
        <v>81</v>
      </c>
      <c r="CU36" s="117">
        <f t="shared" ref="CU36:CX36" si="113">+CT36+7</f>
        <v>88</v>
      </c>
      <c r="CV36" s="117">
        <f t="shared" si="113"/>
        <v>95</v>
      </c>
      <c r="CW36" s="117">
        <f t="shared" si="113"/>
        <v>102</v>
      </c>
      <c r="CX36" s="117">
        <f t="shared" si="113"/>
        <v>109</v>
      </c>
      <c r="CY36" s="11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52"/>
        <v>21</v>
      </c>
      <c r="DX36" s="67">
        <f>SUM(CM36:CP36)</f>
        <v>134</v>
      </c>
      <c r="DY36" s="67">
        <f t="shared" ref="DY36" si="114">SUM(CQ36:CT36)</f>
        <v>283</v>
      </c>
      <c r="DZ36" s="67">
        <f t="shared" ref="DZ36" si="115">SUM(CU36:CX36)</f>
        <v>394</v>
      </c>
      <c r="EA36" s="67">
        <f>+DZ36*1.5</f>
        <v>591</v>
      </c>
      <c r="EB36" s="67">
        <f>+EA36*1.01</f>
        <v>596.91</v>
      </c>
      <c r="EC36" s="67">
        <f t="shared" ref="EC36:EI36" si="116">+EB36*1.01</f>
        <v>602.87909999999999</v>
      </c>
      <c r="ED36" s="67">
        <f t="shared" si="116"/>
        <v>608.90789099999995</v>
      </c>
      <c r="EE36" s="67">
        <f t="shared" si="116"/>
        <v>614.99696990999996</v>
      </c>
      <c r="EF36" s="67">
        <f t="shared" si="116"/>
        <v>621.14693960909995</v>
      </c>
      <c r="EG36" s="67">
        <f t="shared" si="116"/>
        <v>627.35840900519099</v>
      </c>
      <c r="EH36" s="67">
        <f t="shared" si="116"/>
        <v>633.63199309524293</v>
      </c>
      <c r="EI36" s="67">
        <f t="shared" si="116"/>
        <v>639.96831302619535</v>
      </c>
      <c r="EJ36" s="26">
        <f>+EI36*0.1</f>
        <v>63.99683130261954</v>
      </c>
    </row>
    <row r="37" spans="2:140" s="26" customFormat="1">
      <c r="B37" s="97" t="s">
        <v>1534</v>
      </c>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117"/>
      <c r="CJ37" s="117"/>
      <c r="CK37" s="117"/>
      <c r="CL37" s="117"/>
      <c r="CM37" s="117"/>
      <c r="CN37" s="117"/>
      <c r="CO37" s="117"/>
      <c r="CP37" s="117"/>
      <c r="CQ37" s="117"/>
      <c r="CR37" s="117"/>
      <c r="CS37" s="117"/>
      <c r="CT37" s="117"/>
      <c r="CU37" s="117"/>
      <c r="CV37" s="117"/>
      <c r="CW37" s="117"/>
      <c r="CX37" s="117"/>
      <c r="CY37" s="11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v>500</v>
      </c>
      <c r="EC37" s="67">
        <v>1500</v>
      </c>
      <c r="ED37" s="67">
        <v>3000</v>
      </c>
      <c r="EE37" s="67">
        <v>4000</v>
      </c>
      <c r="EF37" s="67">
        <v>5000</v>
      </c>
      <c r="EG37" s="67">
        <f>+EF37*1.1</f>
        <v>5500</v>
      </c>
      <c r="EH37" s="67">
        <f>+EG37*1.1</f>
        <v>6050.0000000000009</v>
      </c>
      <c r="EI37" s="67">
        <f>+EH37*1.1</f>
        <v>6655.0000000000018</v>
      </c>
      <c r="EJ37" s="67">
        <f>+EI37*1.1</f>
        <v>7320.5000000000027</v>
      </c>
    </row>
    <row r="38" spans="2:140" s="26" customFormat="1">
      <c r="B38" s="97" t="s">
        <v>1535</v>
      </c>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117"/>
      <c r="CJ38" s="117"/>
      <c r="CK38" s="117"/>
      <c r="CL38" s="117"/>
      <c r="CM38" s="117"/>
      <c r="CN38" s="117"/>
      <c r="CO38" s="117"/>
      <c r="CP38" s="117"/>
      <c r="CQ38" s="117"/>
      <c r="CR38" s="117"/>
      <c r="CS38" s="117"/>
      <c r="CT38" s="117"/>
      <c r="CU38" s="117"/>
      <c r="CV38" s="117"/>
      <c r="CW38" s="117"/>
      <c r="CX38" s="117"/>
      <c r="CY38" s="11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v>1000</v>
      </c>
      <c r="EF38" s="67">
        <f>+EE38*1.1</f>
        <v>1100</v>
      </c>
      <c r="EG38" s="67">
        <f>+EF38*1.1</f>
        <v>1210</v>
      </c>
      <c r="EH38" s="67">
        <f t="shared" ref="EH38:EJ38" si="117">+EG38*1.1</f>
        <v>1331</v>
      </c>
      <c r="EI38" s="67">
        <f t="shared" si="117"/>
        <v>1464.1000000000001</v>
      </c>
      <c r="EJ38" s="67">
        <f t="shared" si="117"/>
        <v>1610.5100000000002</v>
      </c>
    </row>
    <row r="39" spans="2:140" s="26" customFormat="1">
      <c r="B39" s="26" t="s">
        <v>98</v>
      </c>
      <c r="C39" s="67">
        <f t="shared" ref="C39:J39" si="118">C3+C4+C6+C7+C8+C15+C16</f>
        <v>797</v>
      </c>
      <c r="D39" s="67">
        <f t="shared" si="118"/>
        <v>858</v>
      </c>
      <c r="E39" s="67">
        <f t="shared" si="118"/>
        <v>903</v>
      </c>
      <c r="F39" s="67">
        <f t="shared" si="118"/>
        <v>962</v>
      </c>
      <c r="G39" s="67">
        <f t="shared" si="118"/>
        <v>908.60000000000014</v>
      </c>
      <c r="H39" s="67">
        <f t="shared" si="118"/>
        <v>1115</v>
      </c>
      <c r="I39" s="67">
        <f t="shared" si="118"/>
        <v>1345.8</v>
      </c>
      <c r="J39" s="67">
        <f t="shared" si="118"/>
        <v>1621.6000000000001</v>
      </c>
      <c r="K39" s="67">
        <f t="shared" ref="K39:S39" si="119">K3+K4+K6+K7+K8+K15+K16</f>
        <v>1636</v>
      </c>
      <c r="L39" s="67">
        <f t="shared" si="119"/>
        <v>1916.5</v>
      </c>
      <c r="M39" s="67">
        <f t="shared" si="119"/>
        <v>2078.1999999999998</v>
      </c>
      <c r="N39" s="67">
        <f t="shared" si="119"/>
        <v>2238</v>
      </c>
      <c r="O39" s="67">
        <f t="shared" si="119"/>
        <v>2207.6999999999998</v>
      </c>
      <c r="P39" s="67">
        <f t="shared" si="119"/>
        <v>2430.6999999999998</v>
      </c>
      <c r="Q39" s="67">
        <f t="shared" si="119"/>
        <v>2560</v>
      </c>
      <c r="R39" s="67">
        <f t="shared" si="119"/>
        <v>2778</v>
      </c>
      <c r="S39" s="67">
        <f t="shared" si="119"/>
        <v>2735</v>
      </c>
      <c r="T39" s="67">
        <f t="shared" ref="T39:Z39" si="120">T3+T4+T6+T7+T8+T15+T16+T18</f>
        <v>3072</v>
      </c>
      <c r="U39" s="67">
        <f t="shared" si="120"/>
        <v>3047</v>
      </c>
      <c r="V39" s="67">
        <f t="shared" si="120"/>
        <v>3168</v>
      </c>
      <c r="W39" s="67">
        <f t="shared" si="120"/>
        <v>3127</v>
      </c>
      <c r="X39" s="67">
        <f t="shared" si="120"/>
        <v>3491</v>
      </c>
      <c r="Y39" s="67">
        <f t="shared" si="120"/>
        <v>3503</v>
      </c>
      <c r="Z39" s="67">
        <f t="shared" si="120"/>
        <v>3737</v>
      </c>
      <c r="AA39" s="67">
        <f t="shared" ref="AA39:AI39" si="121">AA3+AA4+AA6+AA7+AA8+AA15+AA16+AA18</f>
        <v>3565</v>
      </c>
      <c r="AB39" s="67">
        <f t="shared" si="121"/>
        <v>3604</v>
      </c>
      <c r="AC39" s="67">
        <f t="shared" si="121"/>
        <v>3524</v>
      </c>
      <c r="AD39" s="67">
        <f t="shared" si="121"/>
        <v>3618</v>
      </c>
      <c r="AE39" s="67">
        <f t="shared" si="121"/>
        <v>3537</v>
      </c>
      <c r="AF39" s="67">
        <f t="shared" si="121"/>
        <v>3692</v>
      </c>
      <c r="AG39" s="67">
        <f>AG3+AG4+AG6+AG7+AG8+AG15+AG16+AG18</f>
        <v>3784</v>
      </c>
      <c r="AH39" s="67">
        <f t="shared" si="121"/>
        <v>3674</v>
      </c>
      <c r="AI39" s="67">
        <f t="shared" si="121"/>
        <v>3238</v>
      </c>
      <c r="AJ39" s="67">
        <f>AJ3+AJ4+AJ6+AJ7+AJ8+AJ15+AJ16+AJ18</f>
        <v>3634</v>
      </c>
      <c r="AK39" s="67">
        <f>AK3+AK4+AK6+AK7+AK8+AK15+AK16+AK18</f>
        <v>3736</v>
      </c>
      <c r="AL39" s="67">
        <f>AL3+AL4+AL6+AL7+AL8+AL15+AL16+AL18</f>
        <v>3743</v>
      </c>
      <c r="AM39" s="67">
        <f>AM3+AM4+AM6+AM7+AM8+AM15+AM16+AM18+AM29</f>
        <v>3528</v>
      </c>
      <c r="AN39" s="67">
        <f>AN3+AN4+AN6+AN7+AN8+AN15+AN16+AN18+AN29+AN19</f>
        <v>3613</v>
      </c>
      <c r="AO39" s="67">
        <f>AO3+AO4+AO6+AO7+AO8+AO15+AO16+AO18+AO29+AO19</f>
        <v>3759</v>
      </c>
      <c r="AP39" s="67">
        <f>AP3+AP4+AP6+AP7+AP8+AP15+AP16+AP18+AP29+AP19+AP20</f>
        <v>3760</v>
      </c>
      <c r="AQ39" s="67">
        <f>AQ3+AQ4+AQ6+AQ7+AQ8+AQ15+AQ16+AQ18+AQ29+AQ19+AQ20</f>
        <v>3618</v>
      </c>
      <c r="AR39" s="67">
        <f>SUM(AR5:AR29)</f>
        <v>3882</v>
      </c>
      <c r="AS39" s="67">
        <f>AS3+AS4+AS6+AS7+AS8+AS15+AS16+AS18+AS29+AS19</f>
        <v>3784.2</v>
      </c>
      <c r="AT39" s="67">
        <f>AT3+AT4+AT6+AT7+AT8+AT15+AT16+AT18+AT29+AT19</f>
        <v>3747.8</v>
      </c>
      <c r="AU39" s="67">
        <f>AU3+AU4+AU6+AU7+AU8+AU15+AU16+AU18+AU29+AU19</f>
        <v>3580.25</v>
      </c>
      <c r="AV39" s="67">
        <f>AV3+AV4+AV6+AV7+AV8+AV15+AV16+AV18+AV29+AV19+AV20</f>
        <v>4173</v>
      </c>
      <c r="AW39" s="67">
        <f>AW3+AW4+AW6+AW7+AW8+AW15+AW16+AW18+AW29+AW19</f>
        <v>3852.59</v>
      </c>
      <c r="AX39" s="67">
        <f>AX3+AX4+AX6+AX7+AX8+AX15+AX16+AX18+AX29+AX19+AX20+AX28</f>
        <v>4007.66</v>
      </c>
      <c r="AY39" s="67">
        <f t="shared" ref="AY39:BD39" si="122">SUM(AY5:AY35)</f>
        <v>0</v>
      </c>
      <c r="AZ39" s="67">
        <f t="shared" si="122"/>
        <v>4595</v>
      </c>
      <c r="BA39" s="67">
        <f t="shared" si="122"/>
        <v>0</v>
      </c>
      <c r="BB39" s="67">
        <f t="shared" si="122"/>
        <v>0</v>
      </c>
      <c r="BC39" s="67">
        <f t="shared" si="122"/>
        <v>0</v>
      </c>
      <c r="BD39" s="67">
        <f t="shared" si="122"/>
        <v>4949</v>
      </c>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117"/>
      <c r="CJ39" s="117"/>
      <c r="CK39" s="117"/>
      <c r="CL39" s="117"/>
      <c r="CM39" s="117"/>
      <c r="CN39" s="117"/>
      <c r="CO39" s="117"/>
      <c r="CP39" s="117"/>
      <c r="CQ39" s="117"/>
      <c r="CR39" s="117"/>
      <c r="CS39" s="117"/>
      <c r="CT39" s="117"/>
      <c r="CU39" s="117"/>
      <c r="CV39" s="117"/>
      <c r="CW39" s="117"/>
      <c r="CX39" s="117"/>
      <c r="CY39" s="117"/>
      <c r="CZ39" s="67"/>
      <c r="DA39" s="67">
        <f t="shared" ref="DA39:DG39" si="123">DA3+DA4+DA6+DA7+DA8+DA15+DA16+DA18</f>
        <v>3186.4</v>
      </c>
      <c r="DB39" s="67">
        <f t="shared" si="123"/>
        <v>3497.1</v>
      </c>
      <c r="DC39" s="67">
        <f t="shared" si="123"/>
        <v>4880.6000000000004</v>
      </c>
      <c r="DD39" s="74">
        <f t="shared" si="123"/>
        <v>7867.5</v>
      </c>
      <c r="DE39" s="74">
        <f t="shared" si="123"/>
        <v>9977.253999999999</v>
      </c>
      <c r="DF39" s="74">
        <f t="shared" si="123"/>
        <v>12022</v>
      </c>
      <c r="DG39" s="67">
        <f t="shared" si="123"/>
        <v>13858</v>
      </c>
      <c r="DH39" s="67">
        <f>DH3+DH4+DH6+DH7+DH8+DH15+DH16+DH18</f>
        <v>14311</v>
      </c>
      <c r="DI39" s="67">
        <f>DI3+DI4+DI6+DI7+DI8+DI15+DI16+DI18+DI19+DI29</f>
        <v>14687</v>
      </c>
      <c r="DJ39" s="67">
        <f>SUM(DJ5:DJ29)</f>
        <v>14351</v>
      </c>
      <c r="DK39" s="67">
        <f t="shared" ref="DK39:DP39" si="124">SUM(DK5:DK29)</f>
        <v>14660</v>
      </c>
      <c r="DL39" s="67">
        <f>SUM(DL5:DL29)</f>
        <v>15193</v>
      </c>
      <c r="DM39" s="67">
        <f t="shared" si="124"/>
        <v>13822.759999999998</v>
      </c>
      <c r="DN39" s="67">
        <f t="shared" si="124"/>
        <v>14735.160499999998</v>
      </c>
      <c r="DO39" s="67">
        <f t="shared" si="124"/>
        <v>13885.463324999999</v>
      </c>
      <c r="DP39" s="67">
        <f t="shared" si="124"/>
        <v>12983.17309875</v>
      </c>
      <c r="DQ39" s="67">
        <f>SUM(DQ5:DQ29)</f>
        <v>12758.420178562499</v>
      </c>
      <c r="DR39" s="67">
        <f>SUM(DR5:DR29)</f>
        <v>388.62773578125018</v>
      </c>
      <c r="DS39" s="67">
        <f>SUM(DS5:DS29)</f>
        <v>0</v>
      </c>
      <c r="DT39" s="67">
        <f>SUM(DT3:DT35)</f>
        <v>22204</v>
      </c>
      <c r="DU39" s="67">
        <f t="shared" ref="DU39:DV39" si="125">SUM(DU3:DU35)</f>
        <v>24240</v>
      </c>
      <c r="DV39" s="67">
        <f t="shared" si="125"/>
        <v>24297</v>
      </c>
      <c r="DW39" s="67">
        <f>SUM(DW3:DW36)</f>
        <v>24801</v>
      </c>
      <c r="DX39" s="67">
        <f>SUM(DX3:DX36)</f>
        <v>26910</v>
      </c>
      <c r="DY39" s="67">
        <f>SUM(DY3:DY36)</f>
        <v>32026</v>
      </c>
      <c r="DZ39" s="67">
        <f t="shared" ref="DZ39:EE39" si="126">SUM(DZ3:DZ38)</f>
        <v>32997.599999999999</v>
      </c>
      <c r="EA39" s="67">
        <f t="shared" si="126"/>
        <v>32360.63</v>
      </c>
      <c r="EB39" s="67">
        <f t="shared" si="126"/>
        <v>32513.694900000006</v>
      </c>
      <c r="EC39" s="67">
        <f t="shared" si="126"/>
        <v>32386.030939</v>
      </c>
      <c r="ED39" s="67">
        <f t="shared" si="126"/>
        <v>32314.414847389999</v>
      </c>
      <c r="EE39" s="67">
        <f t="shared" si="126"/>
        <v>32471.055299283904</v>
      </c>
      <c r="EF39" s="67">
        <f>SUM(EF3:EF38)</f>
        <v>32931.71600305655</v>
      </c>
      <c r="EG39" s="67">
        <f>SUM(EG3:EG38)</f>
        <v>33398.81955443701</v>
      </c>
      <c r="EH39" s="67">
        <f t="shared" ref="EH39:EJ39" si="127">SUM(EH3:EH38)</f>
        <v>34253.920416080575</v>
      </c>
      <c r="EI39" s="67">
        <f t="shared" si="127"/>
        <v>35384.792846283053</v>
      </c>
      <c r="EJ39" s="67">
        <f t="shared" si="127"/>
        <v>28722.110614013822</v>
      </c>
    </row>
    <row r="40" spans="2:140" s="26" customFormat="1">
      <c r="B40" s="26" t="s">
        <v>448</v>
      </c>
      <c r="C40" s="67">
        <f>3+31.5+68.4</f>
        <v>102.9</v>
      </c>
      <c r="D40" s="67">
        <f>16+54+80</f>
        <v>150</v>
      </c>
      <c r="E40" s="67">
        <f>60.6+62.9+90.7+89.5</f>
        <v>303.7</v>
      </c>
      <c r="F40" s="67"/>
      <c r="G40" s="67">
        <f>31.5+68.4</f>
        <v>99.9</v>
      </c>
      <c r="H40" s="67">
        <f>80+53.9</f>
        <v>133.9</v>
      </c>
      <c r="I40" s="67">
        <f>62.8+90.7</f>
        <v>153.5</v>
      </c>
      <c r="J40" s="67">
        <f>92.4+52.1</f>
        <v>144.5</v>
      </c>
      <c r="K40" s="67">
        <v>125.3</v>
      </c>
      <c r="L40" s="67">
        <v>124.6</v>
      </c>
      <c r="M40" s="67">
        <v>130</v>
      </c>
      <c r="N40" s="67">
        <f>99.3+9.3</f>
        <v>108.6</v>
      </c>
      <c r="O40" s="67">
        <f>13+122.2</f>
        <v>135.19999999999999</v>
      </c>
      <c r="P40" s="67">
        <f>18+135.9</f>
        <v>153.9</v>
      </c>
      <c r="Q40" s="67">
        <f>19+134</f>
        <v>153</v>
      </c>
      <c r="R40" s="67">
        <v>131</v>
      </c>
      <c r="S40" s="67">
        <v>98</v>
      </c>
      <c r="T40" s="67">
        <v>100</v>
      </c>
      <c r="U40" s="67">
        <v>107</v>
      </c>
      <c r="V40" s="67">
        <v>103</v>
      </c>
      <c r="W40" s="67">
        <v>90</v>
      </c>
      <c r="X40" s="67">
        <v>113</v>
      </c>
      <c r="Y40" s="67">
        <v>109</v>
      </c>
      <c r="Z40" s="67">
        <v>98</v>
      </c>
      <c r="AA40" s="67">
        <v>122</v>
      </c>
      <c r="AB40" s="67">
        <v>124</v>
      </c>
      <c r="AC40" s="67">
        <v>87</v>
      </c>
      <c r="AD40" s="67">
        <v>127</v>
      </c>
      <c r="AE40" s="67">
        <v>76</v>
      </c>
      <c r="AF40" s="67">
        <v>72</v>
      </c>
      <c r="AG40" s="67">
        <v>91</v>
      </c>
      <c r="AH40" s="67">
        <v>77</v>
      </c>
      <c r="AI40" s="67">
        <v>70</v>
      </c>
      <c r="AJ40" s="67">
        <v>79</v>
      </c>
      <c r="AK40" s="67">
        <v>76</v>
      </c>
      <c r="AL40" s="67">
        <v>66</v>
      </c>
      <c r="AM40" s="67">
        <v>64</v>
      </c>
      <c r="AN40" s="67">
        <v>191</v>
      </c>
      <c r="AO40" s="67">
        <v>57</v>
      </c>
      <c r="AP40" s="67">
        <v>81</v>
      </c>
      <c r="AQ40" s="67">
        <v>88</v>
      </c>
      <c r="AR40" s="67">
        <f>11+66</f>
        <v>77</v>
      </c>
      <c r="AS40" s="67">
        <f>+AR40</f>
        <v>77</v>
      </c>
      <c r="AT40" s="67">
        <f>+AS40</f>
        <v>77</v>
      </c>
      <c r="AU40" s="67">
        <f>+AT40</f>
        <v>77</v>
      </c>
      <c r="AV40" s="67">
        <f>27+277</f>
        <v>304</v>
      </c>
      <c r="AW40" s="67">
        <f>+AV40</f>
        <v>304</v>
      </c>
      <c r="AX40" s="67">
        <f>+AW40</f>
        <v>304</v>
      </c>
      <c r="AY40" s="67"/>
      <c r="AZ40" s="67"/>
      <c r="BA40" s="67"/>
      <c r="BB40" s="67"/>
      <c r="BC40" s="67"/>
      <c r="BD40" s="67">
        <v>231</v>
      </c>
      <c r="BE40" s="67"/>
      <c r="BF40" s="67"/>
      <c r="BG40" s="67"/>
      <c r="BH40" s="67"/>
      <c r="BI40" s="67"/>
      <c r="BJ40" s="67"/>
      <c r="BK40" s="67"/>
      <c r="BL40" s="67"/>
      <c r="BM40" s="67"/>
      <c r="BN40" s="67"/>
      <c r="BO40" s="67">
        <v>265</v>
      </c>
      <c r="BP40" s="67"/>
      <c r="BQ40" s="67"/>
      <c r="BR40" s="67"/>
      <c r="BS40" s="67">
        <v>211</v>
      </c>
      <c r="BT40" s="67"/>
      <c r="BU40" s="67"/>
      <c r="BV40" s="67">
        <v>229</v>
      </c>
      <c r="BW40" s="67">
        <v>271</v>
      </c>
      <c r="BX40" s="67">
        <v>297</v>
      </c>
      <c r="BY40" s="67">
        <v>274</v>
      </c>
      <c r="BZ40" s="67">
        <v>316</v>
      </c>
      <c r="CA40" s="67">
        <v>267</v>
      </c>
      <c r="CB40" s="67">
        <v>298</v>
      </c>
      <c r="CC40" s="67">
        <v>319</v>
      </c>
      <c r="CD40" s="67">
        <v>300</v>
      </c>
      <c r="CE40" s="67">
        <v>309</v>
      </c>
      <c r="CF40" s="67">
        <v>412</v>
      </c>
      <c r="CG40" s="67">
        <v>386</v>
      </c>
      <c r="CH40" s="67">
        <v>575</v>
      </c>
      <c r="CI40" s="117">
        <v>507</v>
      </c>
      <c r="CJ40" s="117">
        <v>313</v>
      </c>
      <c r="CK40" s="117">
        <v>415</v>
      </c>
      <c r="CL40" s="117">
        <v>287</v>
      </c>
      <c r="CM40" s="117">
        <v>259</v>
      </c>
      <c r="CN40" s="117">
        <v>303</v>
      </c>
      <c r="CO40" s="117">
        <v>355</v>
      </c>
      <c r="CP40" s="117">
        <v>363</v>
      </c>
      <c r="CQ40" s="118">
        <v>329</v>
      </c>
      <c r="CR40" s="117">
        <v>347</v>
      </c>
      <c r="CS40" s="117">
        <v>352</v>
      </c>
      <c r="CT40" s="117">
        <v>370</v>
      </c>
      <c r="CU40" s="117">
        <f>+CQ40</f>
        <v>329</v>
      </c>
      <c r="CV40" s="117">
        <f>+CR40</f>
        <v>347</v>
      </c>
      <c r="CW40" s="117">
        <f>+CS40</f>
        <v>352</v>
      </c>
      <c r="CX40" s="117">
        <f>+CT40</f>
        <v>370</v>
      </c>
      <c r="CY40" s="117"/>
      <c r="CZ40" s="67"/>
      <c r="DA40" s="67">
        <v>427</v>
      </c>
      <c r="DB40" s="67">
        <v>505</v>
      </c>
      <c r="DC40" s="67">
        <v>532</v>
      </c>
      <c r="DD40" s="67">
        <v>488</v>
      </c>
      <c r="DE40" s="67">
        <v>573.1</v>
      </c>
      <c r="DF40" s="67">
        <f>SUM(S40:V40)</f>
        <v>408</v>
      </c>
      <c r="DG40" s="67">
        <f>SUM(W40:Z40)</f>
        <v>410</v>
      </c>
      <c r="DH40" s="67">
        <f>SUM(AA40:AD40)</f>
        <v>460</v>
      </c>
      <c r="DI40" s="67">
        <f>SUM(AE40:AH40)</f>
        <v>316</v>
      </c>
      <c r="DJ40" s="67">
        <f>SUM(AI40:AL40)</f>
        <v>291</v>
      </c>
      <c r="DK40" s="67">
        <f>SUM(AM40:AP40)</f>
        <v>393</v>
      </c>
      <c r="DL40" s="67">
        <f>SUM(AQ40:AT40)</f>
        <v>319</v>
      </c>
      <c r="DM40" s="67">
        <f>DL40*(1+DM69)</f>
        <v>325.38</v>
      </c>
      <c r="DN40" s="67">
        <f>DM40*(1+DN69)</f>
        <v>331.88760000000002</v>
      </c>
      <c r="DO40" s="67">
        <f>DN40*(1+DO69)</f>
        <v>338.52535200000005</v>
      </c>
      <c r="DP40" s="67">
        <f>DO40</f>
        <v>338.52535200000005</v>
      </c>
      <c r="DQ40" s="67">
        <f>DP40</f>
        <v>338.52535200000005</v>
      </c>
      <c r="DR40" s="67">
        <f>DQ40</f>
        <v>338.52535200000005</v>
      </c>
      <c r="DS40" s="67"/>
      <c r="DT40" s="67">
        <f t="shared" ref="DT40" si="128">SUM(BW40:BZ40)</f>
        <v>1158</v>
      </c>
      <c r="DU40" s="67">
        <f>SUM(CA40:CD40)</f>
        <v>1184</v>
      </c>
      <c r="DV40" s="67">
        <f>SUM(CE40:CH40)</f>
        <v>1682</v>
      </c>
      <c r="DW40" s="67">
        <f>SUM(CI40:CL40)</f>
        <v>1522</v>
      </c>
      <c r="DX40" s="67">
        <f>SUM(CM40:CP40)</f>
        <v>1280</v>
      </c>
      <c r="DY40" s="67">
        <f t="shared" ref="DY40" si="129">SUM(CQ40:CT40)</f>
        <v>1398</v>
      </c>
      <c r="DZ40" s="67">
        <f t="shared" ref="DZ40" si="130">SUM(CU40:CX40)</f>
        <v>1398</v>
      </c>
      <c r="EA40" s="67">
        <f t="shared" ref="EA40:EJ40" si="131">+DZ40*0.9</f>
        <v>1258.2</v>
      </c>
      <c r="EB40" s="67">
        <f t="shared" si="131"/>
        <v>1132.3800000000001</v>
      </c>
      <c r="EC40" s="67">
        <f t="shared" si="131"/>
        <v>1019.1420000000002</v>
      </c>
      <c r="ED40" s="67">
        <f t="shared" si="131"/>
        <v>917.22780000000012</v>
      </c>
      <c r="EE40" s="67">
        <f t="shared" si="131"/>
        <v>825.50502000000017</v>
      </c>
      <c r="EF40" s="67">
        <f t="shared" si="131"/>
        <v>742.95451800000012</v>
      </c>
      <c r="EG40" s="67">
        <f t="shared" si="131"/>
        <v>668.6590662000001</v>
      </c>
      <c r="EH40" s="67">
        <f t="shared" si="131"/>
        <v>601.79315958000007</v>
      </c>
      <c r="EI40" s="67">
        <f t="shared" si="131"/>
        <v>541.6138436220001</v>
      </c>
      <c r="EJ40" s="67">
        <f t="shared" si="131"/>
        <v>487.45245925980009</v>
      </c>
    </row>
    <row r="41" spans="2:140" s="15" customFormat="1" ht="13">
      <c r="B41" s="32" t="s">
        <v>442</v>
      </c>
      <c r="C41" s="75">
        <f t="shared" ref="C41:J41" si="132">SUM(C39:C40)</f>
        <v>899.9</v>
      </c>
      <c r="D41" s="75">
        <f t="shared" si="132"/>
        <v>1008</v>
      </c>
      <c r="E41" s="75">
        <f t="shared" si="132"/>
        <v>1206.7</v>
      </c>
      <c r="F41" s="75">
        <f t="shared" si="132"/>
        <v>962</v>
      </c>
      <c r="G41" s="75">
        <f t="shared" si="132"/>
        <v>1008.5000000000001</v>
      </c>
      <c r="H41" s="75">
        <f t="shared" si="132"/>
        <v>1248.9000000000001</v>
      </c>
      <c r="I41" s="75">
        <f t="shared" si="132"/>
        <v>1499.3</v>
      </c>
      <c r="J41" s="75">
        <f t="shared" si="132"/>
        <v>1766.1000000000001</v>
      </c>
      <c r="K41" s="75">
        <f t="shared" ref="K41:S41" si="133">SUM(K39:K40)</f>
        <v>1761.3</v>
      </c>
      <c r="L41" s="75">
        <f t="shared" si="133"/>
        <v>2041.1</v>
      </c>
      <c r="M41" s="75">
        <f>SUM(M39:M40)</f>
        <v>2208.1999999999998</v>
      </c>
      <c r="N41" s="75">
        <f>SUM(N39:N40)</f>
        <v>2346.6</v>
      </c>
      <c r="O41" s="75">
        <f t="shared" si="133"/>
        <v>2342.8999999999996</v>
      </c>
      <c r="P41" s="75">
        <f t="shared" si="133"/>
        <v>2584.6</v>
      </c>
      <c r="Q41" s="75">
        <f t="shared" si="133"/>
        <v>2713</v>
      </c>
      <c r="R41" s="75">
        <f t="shared" si="133"/>
        <v>2909</v>
      </c>
      <c r="S41" s="75">
        <f t="shared" si="133"/>
        <v>2833</v>
      </c>
      <c r="T41" s="75">
        <f>SUM(T39,T40)</f>
        <v>3172</v>
      </c>
      <c r="U41" s="75">
        <f>SUM(U39,U40)</f>
        <v>3154</v>
      </c>
      <c r="V41" s="75">
        <f>SUM(V39,V40)</f>
        <v>3271</v>
      </c>
      <c r="W41" s="75">
        <f t="shared" ref="W41:AD41" si="134">SUM(W39:W40)</f>
        <v>3217</v>
      </c>
      <c r="X41" s="75">
        <f t="shared" si="134"/>
        <v>3604</v>
      </c>
      <c r="Y41" s="75">
        <f t="shared" si="134"/>
        <v>3612</v>
      </c>
      <c r="Z41" s="75">
        <f t="shared" si="134"/>
        <v>3835</v>
      </c>
      <c r="AA41" s="75">
        <f t="shared" si="134"/>
        <v>3687</v>
      </c>
      <c r="AB41" s="75">
        <f t="shared" si="134"/>
        <v>3728</v>
      </c>
      <c r="AC41" s="75">
        <f t="shared" si="134"/>
        <v>3611</v>
      </c>
      <c r="AD41" s="75">
        <f t="shared" si="134"/>
        <v>3745</v>
      </c>
      <c r="AE41" s="75">
        <f t="shared" ref="AE41:AN41" si="135">SUM(AE39:AE40)</f>
        <v>3613</v>
      </c>
      <c r="AF41" s="75">
        <f t="shared" si="135"/>
        <v>3764</v>
      </c>
      <c r="AG41" s="75">
        <f t="shared" si="135"/>
        <v>3875</v>
      </c>
      <c r="AH41" s="75">
        <f t="shared" si="135"/>
        <v>3751</v>
      </c>
      <c r="AI41" s="75">
        <f t="shared" si="135"/>
        <v>3308</v>
      </c>
      <c r="AJ41" s="75">
        <f t="shared" si="135"/>
        <v>3713</v>
      </c>
      <c r="AK41" s="75">
        <f t="shared" si="135"/>
        <v>3812</v>
      </c>
      <c r="AL41" s="75">
        <f t="shared" si="135"/>
        <v>3809</v>
      </c>
      <c r="AM41" s="75">
        <f t="shared" si="135"/>
        <v>3592</v>
      </c>
      <c r="AN41" s="75">
        <f t="shared" si="135"/>
        <v>3804</v>
      </c>
      <c r="AO41" s="75">
        <f t="shared" ref="AO41:AT41" si="136">SUM(AO39:AO40)</f>
        <v>3816</v>
      </c>
      <c r="AP41" s="75">
        <f t="shared" si="136"/>
        <v>3841</v>
      </c>
      <c r="AQ41" s="75">
        <f t="shared" si="136"/>
        <v>3706</v>
      </c>
      <c r="AR41" s="75">
        <f>SUM(AR39:AR40)</f>
        <v>3959</v>
      </c>
      <c r="AS41" s="75">
        <f>SUM(AS39:AS40)</f>
        <v>3861.2</v>
      </c>
      <c r="AT41" s="75">
        <f t="shared" si="136"/>
        <v>3824.8</v>
      </c>
      <c r="AU41" s="75">
        <f>SUM(AU39:AU40)</f>
        <v>3657.25</v>
      </c>
      <c r="AV41" s="75">
        <f>SUM(AV39:AV40)</f>
        <v>4477</v>
      </c>
      <c r="AW41" s="75">
        <f>SUM(AW39:AW40)</f>
        <v>4156.59</v>
      </c>
      <c r="AX41" s="75">
        <f>SUM(AX39:AX40)</f>
        <v>4311.66</v>
      </c>
      <c r="AY41" s="75"/>
      <c r="AZ41" s="75"/>
      <c r="BA41" s="75"/>
      <c r="BB41" s="75"/>
      <c r="BC41" s="75"/>
      <c r="BD41" s="75">
        <f>+BD39+BD40</f>
        <v>5180</v>
      </c>
      <c r="BE41" s="75"/>
      <c r="BF41" s="75"/>
      <c r="BG41" s="75"/>
      <c r="BH41" s="75"/>
      <c r="BI41" s="75"/>
      <c r="BJ41" s="75"/>
      <c r="BK41" s="75"/>
      <c r="BL41" s="75"/>
      <c r="BM41" s="75"/>
      <c r="BN41" s="75"/>
      <c r="BO41" s="75">
        <f>SUM(BO3:BO40)</f>
        <v>5464</v>
      </c>
      <c r="BP41" s="75">
        <f t="shared" ref="BP41:BS41" si="137">SUM(BP3:BP40)</f>
        <v>0</v>
      </c>
      <c r="BQ41" s="75">
        <f t="shared" si="137"/>
        <v>0</v>
      </c>
      <c r="BR41" s="75">
        <f t="shared" si="137"/>
        <v>0</v>
      </c>
      <c r="BS41" s="75">
        <f t="shared" si="137"/>
        <v>5554</v>
      </c>
      <c r="BT41" s="75"/>
      <c r="BU41" s="75"/>
      <c r="BV41" s="75">
        <f t="shared" ref="BV41:CB41" si="138">SUM(BV3:BV40)</f>
        <v>6230</v>
      </c>
      <c r="BW41" s="75">
        <f t="shared" si="138"/>
        <v>5557</v>
      </c>
      <c r="BX41" s="75">
        <f t="shared" si="138"/>
        <v>5871</v>
      </c>
      <c r="BY41" s="75">
        <f t="shared" si="138"/>
        <v>5737</v>
      </c>
      <c r="BZ41" s="75">
        <f t="shared" si="138"/>
        <v>6197</v>
      </c>
      <c r="CA41" s="75">
        <f t="shared" si="138"/>
        <v>6161</v>
      </c>
      <c r="CB41" s="75">
        <f t="shared" si="138"/>
        <v>6206</v>
      </c>
      <c r="CC41" s="75">
        <f t="shared" ref="CC41:CX41" si="139">SUM(CC3:CC40)</f>
        <v>6423</v>
      </c>
      <c r="CD41" s="75">
        <f t="shared" si="139"/>
        <v>6634</v>
      </c>
      <c r="CE41" s="75">
        <f t="shared" si="139"/>
        <v>5901</v>
      </c>
      <c r="CF41" s="75">
        <f t="shared" si="139"/>
        <v>6526</v>
      </c>
      <c r="CG41" s="75">
        <f t="shared" si="139"/>
        <v>6706</v>
      </c>
      <c r="CH41" s="75">
        <f t="shared" si="139"/>
        <v>6846</v>
      </c>
      <c r="CI41" s="119">
        <f t="shared" si="139"/>
        <v>6238</v>
      </c>
      <c r="CJ41" s="119">
        <f t="shared" si="139"/>
        <v>6594</v>
      </c>
      <c r="CK41" s="119">
        <f t="shared" si="139"/>
        <v>6652</v>
      </c>
      <c r="CL41" s="119">
        <f t="shared" si="139"/>
        <v>6839</v>
      </c>
      <c r="CM41" s="119">
        <f t="shared" ref="CM41:CR41" si="140">SUM(CM3:CM40)</f>
        <v>6105</v>
      </c>
      <c r="CN41" s="119">
        <f t="shared" si="140"/>
        <v>6986</v>
      </c>
      <c r="CO41" s="119">
        <f t="shared" si="140"/>
        <v>6903</v>
      </c>
      <c r="CP41" s="119">
        <f t="shared" si="140"/>
        <v>8196</v>
      </c>
      <c r="CQ41" s="119">
        <f t="shared" si="140"/>
        <v>7447</v>
      </c>
      <c r="CR41" s="119">
        <f t="shared" si="140"/>
        <v>8388</v>
      </c>
      <c r="CS41" s="119">
        <f t="shared" si="139"/>
        <v>8503</v>
      </c>
      <c r="CT41" s="119">
        <f>SUM(CT3:CT40)</f>
        <v>9086</v>
      </c>
      <c r="CU41" s="119">
        <f t="shared" si="139"/>
        <v>7924.3</v>
      </c>
      <c r="CV41" s="119">
        <f t="shared" si="139"/>
        <v>8684.7000000000007</v>
      </c>
      <c r="CW41" s="119">
        <f t="shared" si="139"/>
        <v>8752.2999999999993</v>
      </c>
      <c r="CX41" s="119">
        <f t="shared" si="139"/>
        <v>9034.2999999999993</v>
      </c>
      <c r="CY41" s="119"/>
      <c r="CZ41" s="72"/>
      <c r="DA41" s="75">
        <f t="shared" ref="DA41:DG41" si="141">DA39+DA40</f>
        <v>3613.4</v>
      </c>
      <c r="DB41" s="75">
        <f t="shared" si="141"/>
        <v>4002.1</v>
      </c>
      <c r="DC41" s="75">
        <f t="shared" si="141"/>
        <v>5412.6</v>
      </c>
      <c r="DD41" s="75">
        <f t="shared" si="141"/>
        <v>8355.5</v>
      </c>
      <c r="DE41" s="75">
        <f t="shared" si="141"/>
        <v>10550.353999999999</v>
      </c>
      <c r="DF41" s="75">
        <f t="shared" si="141"/>
        <v>12430</v>
      </c>
      <c r="DG41" s="75">
        <f t="shared" si="141"/>
        <v>14268</v>
      </c>
      <c r="DH41" s="75">
        <f>DH39+DH40</f>
        <v>14771</v>
      </c>
      <c r="DI41" s="75">
        <f>DI39+DI40</f>
        <v>15003</v>
      </c>
      <c r="DJ41" s="75">
        <f>DJ39+DJ40</f>
        <v>14642</v>
      </c>
      <c r="DK41" s="75">
        <f t="shared" ref="DK41:DP41" si="142">DK40+DK39</f>
        <v>15053</v>
      </c>
      <c r="DL41" s="75">
        <f>DL40+DL39</f>
        <v>15512</v>
      </c>
      <c r="DM41" s="75">
        <f t="shared" si="142"/>
        <v>14148.139999999998</v>
      </c>
      <c r="DN41" s="75">
        <f t="shared" si="142"/>
        <v>15067.048099999998</v>
      </c>
      <c r="DO41" s="75">
        <f t="shared" si="142"/>
        <v>14223.988676999999</v>
      </c>
      <c r="DP41" s="75">
        <f t="shared" si="142"/>
        <v>13321.69845075</v>
      </c>
      <c r="DQ41" s="75">
        <f>DQ40+DQ39</f>
        <v>13096.9455305625</v>
      </c>
      <c r="DR41" s="75">
        <f>DR40+DR39</f>
        <v>727.15308778125018</v>
      </c>
      <c r="DS41" s="75">
        <f>DS40+DS39</f>
        <v>0</v>
      </c>
      <c r="DT41" s="75">
        <f>DT40+DT39</f>
        <v>23362</v>
      </c>
      <c r="DU41" s="75">
        <f t="shared" ref="DU41:EI41" si="143">DU40+DU39</f>
        <v>25424</v>
      </c>
      <c r="DV41" s="75">
        <f t="shared" si="143"/>
        <v>25979</v>
      </c>
      <c r="DW41" s="75">
        <f t="shared" si="143"/>
        <v>26323</v>
      </c>
      <c r="DX41" s="75">
        <f>DX40+DX39</f>
        <v>28190</v>
      </c>
      <c r="DY41" s="75">
        <f t="shared" si="143"/>
        <v>33424</v>
      </c>
      <c r="DZ41" s="75">
        <f t="shared" si="143"/>
        <v>34395.599999999999</v>
      </c>
      <c r="EA41" s="75">
        <f t="shared" si="143"/>
        <v>33618.83</v>
      </c>
      <c r="EB41" s="75">
        <f t="shared" si="143"/>
        <v>33646.074900000007</v>
      </c>
      <c r="EC41" s="75">
        <f t="shared" si="143"/>
        <v>33405.172939000004</v>
      </c>
      <c r="ED41" s="75">
        <f t="shared" si="143"/>
        <v>33231.642647389999</v>
      </c>
      <c r="EE41" s="75">
        <f t="shared" si="143"/>
        <v>33296.560319283904</v>
      </c>
      <c r="EF41" s="75">
        <f>EF40+EF39</f>
        <v>33674.670521056549</v>
      </c>
      <c r="EG41" s="75">
        <f t="shared" si="143"/>
        <v>34067.478620637012</v>
      </c>
      <c r="EH41" s="75">
        <f t="shared" si="143"/>
        <v>34855.713575660571</v>
      </c>
      <c r="EI41" s="75">
        <f t="shared" si="143"/>
        <v>35926.406689905052</v>
      </c>
      <c r="EJ41" s="75">
        <f>EJ40+EJ39</f>
        <v>29209.563073273621</v>
      </c>
    </row>
    <row r="42" spans="2:140" s="15" customFormat="1">
      <c r="B42" s="15" t="s">
        <v>99</v>
      </c>
      <c r="C42" s="67">
        <v>103.6</v>
      </c>
      <c r="D42" s="67">
        <v>132</v>
      </c>
      <c r="E42" s="67">
        <v>200.7</v>
      </c>
      <c r="F42" s="67"/>
      <c r="G42" s="67">
        <v>103.6</v>
      </c>
      <c r="H42" s="67">
        <v>131.9</v>
      </c>
      <c r="I42" s="67">
        <v>200.7</v>
      </c>
      <c r="J42" s="67">
        <v>253.3</v>
      </c>
      <c r="K42" s="67">
        <v>278.39999999999998</v>
      </c>
      <c r="L42" s="67">
        <v>324.2</v>
      </c>
      <c r="M42" s="67">
        <v>336</v>
      </c>
      <c r="N42" s="67">
        <v>383.5</v>
      </c>
      <c r="O42" s="67">
        <v>371.5</v>
      </c>
      <c r="P42" s="67">
        <v>435</v>
      </c>
      <c r="Q42" s="67">
        <v>447</v>
      </c>
      <c r="R42" s="67">
        <v>476</v>
      </c>
      <c r="S42" s="67">
        <v>489</v>
      </c>
      <c r="T42" s="67">
        <v>530</v>
      </c>
      <c r="U42" s="67">
        <v>505</v>
      </c>
      <c r="V42" s="67">
        <v>511</v>
      </c>
      <c r="W42" s="67">
        <v>552</v>
      </c>
      <c r="X42" s="67">
        <v>492</v>
      </c>
      <c r="Y42" s="67">
        <v>485</v>
      </c>
      <c r="Z42" s="67">
        <v>551</v>
      </c>
      <c r="AA42" s="67">
        <v>559</v>
      </c>
      <c r="AB42" s="67">
        <v>546</v>
      </c>
      <c r="AC42" s="67">
        <v>585</v>
      </c>
      <c r="AD42" s="67">
        <v>565</v>
      </c>
      <c r="AE42" s="67">
        <v>542</v>
      </c>
      <c r="AF42" s="67">
        <v>512</v>
      </c>
      <c r="AG42" s="67">
        <v>590</v>
      </c>
      <c r="AH42" s="67">
        <v>549</v>
      </c>
      <c r="AI42" s="67">
        <v>474</v>
      </c>
      <c r="AJ42" s="67">
        <v>527</v>
      </c>
      <c r="AK42" s="67">
        <v>542</v>
      </c>
      <c r="AL42" s="67">
        <v>535</v>
      </c>
      <c r="AM42" s="67">
        <v>504</v>
      </c>
      <c r="AN42" s="67">
        <v>549</v>
      </c>
      <c r="AO42" s="74">
        <v>584</v>
      </c>
      <c r="AP42" s="67">
        <v>568</v>
      </c>
      <c r="AQ42" s="67">
        <v>540</v>
      </c>
      <c r="AR42" s="67">
        <v>569</v>
      </c>
      <c r="AS42" s="67">
        <f>+AS41-AS43</f>
        <v>579.17999999999984</v>
      </c>
      <c r="AT42" s="67">
        <f>+AT41-AT43</f>
        <v>573.72000000000025</v>
      </c>
      <c r="AU42" s="67"/>
      <c r="AV42" s="67">
        <v>682</v>
      </c>
      <c r="AW42" s="67"/>
      <c r="AX42" s="67"/>
      <c r="AY42" s="67"/>
      <c r="AZ42" s="67"/>
      <c r="BA42" s="67"/>
      <c r="BB42" s="67"/>
      <c r="BC42" s="67"/>
      <c r="BD42" s="67">
        <v>789</v>
      </c>
      <c r="BE42" s="67"/>
      <c r="BF42" s="67"/>
      <c r="BG42" s="67"/>
      <c r="BH42" s="67"/>
      <c r="BI42" s="67"/>
      <c r="BJ42" s="67"/>
      <c r="BK42" s="67"/>
      <c r="BL42" s="67"/>
      <c r="BM42" s="67"/>
      <c r="BN42" s="67"/>
      <c r="BO42" s="67">
        <v>996</v>
      </c>
      <c r="BP42" s="67"/>
      <c r="BQ42" s="67"/>
      <c r="BR42" s="67"/>
      <c r="BS42" s="67">
        <v>944</v>
      </c>
      <c r="BT42" s="67"/>
      <c r="BU42" s="67"/>
      <c r="BV42" s="67">
        <v>819</v>
      </c>
      <c r="BW42" s="67">
        <v>779</v>
      </c>
      <c r="BX42" s="67">
        <v>736</v>
      </c>
      <c r="BY42" s="67"/>
      <c r="BZ42" s="67">
        <v>790</v>
      </c>
      <c r="CA42" s="67">
        <v>771</v>
      </c>
      <c r="CB42" s="67">
        <v>758</v>
      </c>
      <c r="CC42" s="67">
        <v>874</v>
      </c>
      <c r="CD42" s="67">
        <v>959</v>
      </c>
      <c r="CE42" s="67">
        <v>867</v>
      </c>
      <c r="CF42" s="67">
        <v>1034</v>
      </c>
      <c r="CG42" s="67">
        <v>997</v>
      </c>
      <c r="CH42" s="67">
        <v>1096</v>
      </c>
      <c r="CI42" s="117">
        <v>951</v>
      </c>
      <c r="CJ42" s="117">
        <v>926</v>
      </c>
      <c r="CK42" s="117">
        <v>1003</v>
      </c>
      <c r="CL42" s="117">
        <v>1071</v>
      </c>
      <c r="CM42" s="117">
        <v>1016</v>
      </c>
      <c r="CN42" s="117">
        <v>1142</v>
      </c>
      <c r="CO42" s="117">
        <v>1137</v>
      </c>
      <c r="CP42" s="117">
        <v>1278</v>
      </c>
      <c r="CQ42" s="117">
        <v>1340</v>
      </c>
      <c r="CR42" s="117">
        <v>1406</v>
      </c>
      <c r="CS42" s="117">
        <v>1454</v>
      </c>
      <c r="CT42" s="117">
        <v>1536</v>
      </c>
      <c r="CU42" s="117">
        <f t="shared" ref="CU42:CW42" si="144">+CU41-CU43</f>
        <v>1347.1310000000003</v>
      </c>
      <c r="CV42" s="117">
        <f t="shared" si="144"/>
        <v>1476.3990000000003</v>
      </c>
      <c r="CW42" s="117">
        <f t="shared" si="144"/>
        <v>1487.8910000000005</v>
      </c>
      <c r="CX42" s="117">
        <f>+CX41-CX43</f>
        <v>1535.8310000000001</v>
      </c>
      <c r="CY42" s="117"/>
      <c r="CZ42" s="72"/>
      <c r="DA42" s="67">
        <v>408</v>
      </c>
      <c r="DB42" s="67">
        <v>443</v>
      </c>
      <c r="DC42" s="67">
        <v>736</v>
      </c>
      <c r="DD42" s="67">
        <v>1322</v>
      </c>
      <c r="DE42" s="67">
        <v>1729</v>
      </c>
      <c r="DF42" s="67">
        <v>2035.057</v>
      </c>
      <c r="DG42" s="67">
        <f>DG41-DG43</f>
        <v>2080</v>
      </c>
      <c r="DH42" s="67">
        <f>DH41-DH43</f>
        <v>2255</v>
      </c>
      <c r="DI42" s="67">
        <f>DI41-DI43</f>
        <v>2193</v>
      </c>
      <c r="DJ42" s="67">
        <f>DJ41-DJ43</f>
        <v>2078</v>
      </c>
      <c r="DK42" s="67">
        <f>SUM(AM42:AP42)</f>
        <v>2205</v>
      </c>
      <c r="DL42" s="67">
        <f t="shared" ref="DL42:DR42" si="145">DL41-DL43</f>
        <v>2326.8000000000011</v>
      </c>
      <c r="DM42" s="67">
        <f t="shared" si="145"/>
        <v>2122.2209999999995</v>
      </c>
      <c r="DN42" s="67">
        <f t="shared" si="145"/>
        <v>2260.0572150000007</v>
      </c>
      <c r="DO42" s="67">
        <f t="shared" si="145"/>
        <v>2133.5983015500005</v>
      </c>
      <c r="DP42" s="67">
        <f t="shared" si="145"/>
        <v>1998.2547676124996</v>
      </c>
      <c r="DQ42" s="67">
        <f t="shared" si="145"/>
        <v>1964.5418295843756</v>
      </c>
      <c r="DR42" s="67">
        <f t="shared" si="145"/>
        <v>109.07296316718759</v>
      </c>
      <c r="DS42" s="67"/>
      <c r="DT42" s="67"/>
      <c r="DU42" s="67">
        <v>3362</v>
      </c>
      <c r="DV42" s="67">
        <v>3994</v>
      </c>
      <c r="DW42" s="67">
        <f>SUM(CI42:CL42)</f>
        <v>3951</v>
      </c>
      <c r="DX42" s="67">
        <f>SUM(CM42:CP42)</f>
        <v>4573</v>
      </c>
      <c r="DY42" s="67">
        <f t="shared" ref="DY42" si="146">SUM(CQ42:CT42)</f>
        <v>5736</v>
      </c>
      <c r="DZ42" s="67">
        <f t="shared" ref="DZ42" si="147">SUM(CU42:CX42)</f>
        <v>5847.2520000000013</v>
      </c>
      <c r="EA42" s="72"/>
      <c r="EB42" s="72"/>
      <c r="EC42" s="72"/>
      <c r="ED42" s="72"/>
      <c r="EE42" s="72"/>
    </row>
    <row r="43" spans="2:140" s="15" customFormat="1">
      <c r="B43" s="15" t="s">
        <v>100</v>
      </c>
      <c r="C43" s="67">
        <f>C41-C42</f>
        <v>796.3</v>
      </c>
      <c r="D43" s="67">
        <f>D41-D42</f>
        <v>876</v>
      </c>
      <c r="E43" s="67">
        <f t="shared" ref="E43:Y43" si="148">E41-E42</f>
        <v>1006</v>
      </c>
      <c r="F43" s="67"/>
      <c r="G43" s="67">
        <f t="shared" si="148"/>
        <v>904.90000000000009</v>
      </c>
      <c r="H43" s="67">
        <f t="shared" si="148"/>
        <v>1117</v>
      </c>
      <c r="I43" s="67">
        <f t="shared" si="148"/>
        <v>1298.5999999999999</v>
      </c>
      <c r="J43" s="67">
        <f t="shared" si="148"/>
        <v>1512.8000000000002</v>
      </c>
      <c r="K43" s="67">
        <f t="shared" si="148"/>
        <v>1482.9</v>
      </c>
      <c r="L43" s="67">
        <f t="shared" si="148"/>
        <v>1716.8999999999999</v>
      </c>
      <c r="M43" s="67">
        <f t="shared" si="148"/>
        <v>1872.1999999999998</v>
      </c>
      <c r="N43" s="67">
        <f t="shared" si="148"/>
        <v>1963.1</v>
      </c>
      <c r="O43" s="67">
        <f t="shared" si="148"/>
        <v>1971.3999999999996</v>
      </c>
      <c r="P43" s="67">
        <f t="shared" si="148"/>
        <v>2149.6</v>
      </c>
      <c r="Q43" s="67">
        <f t="shared" si="148"/>
        <v>2266</v>
      </c>
      <c r="R43" s="67">
        <f t="shared" si="148"/>
        <v>2433</v>
      </c>
      <c r="S43" s="67">
        <f t="shared" si="148"/>
        <v>2344</v>
      </c>
      <c r="T43" s="67">
        <f t="shared" si="148"/>
        <v>2642</v>
      </c>
      <c r="U43" s="67">
        <f t="shared" si="148"/>
        <v>2649</v>
      </c>
      <c r="V43" s="67">
        <f t="shared" si="148"/>
        <v>2760</v>
      </c>
      <c r="W43" s="67">
        <f t="shared" si="148"/>
        <v>2665</v>
      </c>
      <c r="X43" s="67">
        <f t="shared" si="148"/>
        <v>3112</v>
      </c>
      <c r="Y43" s="67">
        <f t="shared" si="148"/>
        <v>3127</v>
      </c>
      <c r="Z43" s="67">
        <f>Z41-Z42</f>
        <v>3284</v>
      </c>
      <c r="AA43" s="67">
        <f>AA41-AA42</f>
        <v>3128</v>
      </c>
      <c r="AB43" s="67">
        <f>AB41-AB42</f>
        <v>3182</v>
      </c>
      <c r="AC43" s="67">
        <f>+AC41-AC42</f>
        <v>3026</v>
      </c>
      <c r="AD43" s="67">
        <f>AD41-AD42</f>
        <v>3180</v>
      </c>
      <c r="AE43" s="67">
        <f>AE41-AE42</f>
        <v>3071</v>
      </c>
      <c r="AF43" s="67">
        <f>AF41-AF42</f>
        <v>3252</v>
      </c>
      <c r="AG43" s="67">
        <f>+AG41-AG42</f>
        <v>3285</v>
      </c>
      <c r="AH43" s="67">
        <f>AH41-AH42</f>
        <v>3202</v>
      </c>
      <c r="AI43" s="67">
        <f>AI41-AI42</f>
        <v>2834</v>
      </c>
      <c r="AJ43" s="67">
        <f>AJ41-AJ42</f>
        <v>3186</v>
      </c>
      <c r="AK43" s="67">
        <f>AK41-AK42</f>
        <v>3270</v>
      </c>
      <c r="AL43" s="67">
        <f t="shared" ref="AL43:AQ43" si="149">+AL41-AL42</f>
        <v>3274</v>
      </c>
      <c r="AM43" s="67">
        <f t="shared" si="149"/>
        <v>3088</v>
      </c>
      <c r="AN43" s="67">
        <f t="shared" si="149"/>
        <v>3255</v>
      </c>
      <c r="AO43" s="67">
        <f t="shared" si="149"/>
        <v>3232</v>
      </c>
      <c r="AP43" s="67">
        <f t="shared" si="149"/>
        <v>3273</v>
      </c>
      <c r="AQ43" s="67">
        <f t="shared" si="149"/>
        <v>3166</v>
      </c>
      <c r="AR43" s="67">
        <f>+AR41-AR42</f>
        <v>3390</v>
      </c>
      <c r="AS43" s="67">
        <f>+AS41*AS55</f>
        <v>3282.02</v>
      </c>
      <c r="AT43" s="67">
        <f>+AT41*AT55</f>
        <v>3251.08</v>
      </c>
      <c r="AU43" s="67"/>
      <c r="AV43" s="67">
        <f>+AV41-AV42</f>
        <v>3795</v>
      </c>
      <c r="AW43" s="67"/>
      <c r="AX43" s="67"/>
      <c r="AY43" s="67"/>
      <c r="AZ43" s="67"/>
      <c r="BA43" s="67"/>
      <c r="BB43" s="67"/>
      <c r="BC43" s="67"/>
      <c r="BD43" s="67">
        <f>+BD41-BD42</f>
        <v>4391</v>
      </c>
      <c r="BE43" s="67"/>
      <c r="BF43" s="67"/>
      <c r="BG43" s="67"/>
      <c r="BH43" s="67"/>
      <c r="BI43" s="67"/>
      <c r="BJ43" s="67"/>
      <c r="BK43" s="67"/>
      <c r="BL43" s="67"/>
      <c r="BM43" s="67"/>
      <c r="BN43" s="67"/>
      <c r="BO43" s="67">
        <f>+BO41-BO42</f>
        <v>4468</v>
      </c>
      <c r="BP43" s="67"/>
      <c r="BQ43" s="67"/>
      <c r="BR43" s="67"/>
      <c r="BS43" s="67">
        <f>+BS41-BS42</f>
        <v>4610</v>
      </c>
      <c r="BT43" s="67"/>
      <c r="BU43" s="67"/>
      <c r="BV43" s="67">
        <f>+BV41-BV42</f>
        <v>5411</v>
      </c>
      <c r="BW43" s="67">
        <f>+BW41-BW42</f>
        <v>4778</v>
      </c>
      <c r="BX43" s="67">
        <f t="shared" ref="BX43:CB43" si="150">BX41-BX42</f>
        <v>5135</v>
      </c>
      <c r="BY43" s="67">
        <f t="shared" si="150"/>
        <v>5737</v>
      </c>
      <c r="BZ43" s="67">
        <f t="shared" si="150"/>
        <v>5407</v>
      </c>
      <c r="CA43" s="67">
        <f t="shared" si="150"/>
        <v>5390</v>
      </c>
      <c r="CB43" s="67">
        <f t="shared" si="150"/>
        <v>5448</v>
      </c>
      <c r="CC43" s="67">
        <f>CC41-CC42</f>
        <v>5549</v>
      </c>
      <c r="CD43" s="67">
        <f>CD41-CD42</f>
        <v>5675</v>
      </c>
      <c r="CE43" s="67">
        <f>CE41-CE42</f>
        <v>5034</v>
      </c>
      <c r="CF43" s="67">
        <f t="shared" ref="CF43:CI43" si="151">CF41-CF42</f>
        <v>5492</v>
      </c>
      <c r="CG43" s="67">
        <f t="shared" si="151"/>
        <v>5709</v>
      </c>
      <c r="CH43" s="67">
        <f t="shared" si="151"/>
        <v>5750</v>
      </c>
      <c r="CI43" s="117">
        <f t="shared" si="151"/>
        <v>5287</v>
      </c>
      <c r="CJ43" s="117">
        <f t="shared" ref="CJ43:CR43" si="152">+CJ41-CJ42</f>
        <v>5668</v>
      </c>
      <c r="CK43" s="117">
        <f t="shared" si="152"/>
        <v>5649</v>
      </c>
      <c r="CL43" s="117">
        <f t="shared" si="152"/>
        <v>5768</v>
      </c>
      <c r="CM43" s="117">
        <f t="shared" si="152"/>
        <v>5089</v>
      </c>
      <c r="CN43" s="117">
        <f t="shared" si="152"/>
        <v>5844</v>
      </c>
      <c r="CO43" s="117">
        <f t="shared" si="152"/>
        <v>5766</v>
      </c>
      <c r="CP43" s="117">
        <f t="shared" si="152"/>
        <v>6918</v>
      </c>
      <c r="CQ43" s="117">
        <f t="shared" si="152"/>
        <v>6107</v>
      </c>
      <c r="CR43" s="117">
        <f t="shared" si="152"/>
        <v>6982</v>
      </c>
      <c r="CS43" s="117">
        <f>CS41-CS42</f>
        <v>7049</v>
      </c>
      <c r="CT43" s="117">
        <f>+CT41-CT42</f>
        <v>7550</v>
      </c>
      <c r="CU43" s="117">
        <f>+CU41*0.83</f>
        <v>6577.1689999999999</v>
      </c>
      <c r="CV43" s="117">
        <f>+CV41*0.83</f>
        <v>7208.3010000000004</v>
      </c>
      <c r="CW43" s="117">
        <f>+CW41*0.83</f>
        <v>7264.4089999999987</v>
      </c>
      <c r="CX43" s="117">
        <f>+CX41*0.83</f>
        <v>7498.4689999999991</v>
      </c>
      <c r="CY43" s="117"/>
      <c r="CZ43" s="72"/>
      <c r="DA43" s="67">
        <f>DA41-DA42</f>
        <v>3205.4</v>
      </c>
      <c r="DB43" s="67">
        <f>DB41-DB42</f>
        <v>3559.1</v>
      </c>
      <c r="DC43" s="67">
        <f>DC41-DC42</f>
        <v>4676.6000000000004</v>
      </c>
      <c r="DD43" s="67">
        <f>DD41-DD42</f>
        <v>7033.5</v>
      </c>
      <c r="DE43" s="67">
        <f>SUM(O43:R43)</f>
        <v>8820</v>
      </c>
      <c r="DF43" s="67">
        <f>DF41-DF42</f>
        <v>10394.942999999999</v>
      </c>
      <c r="DG43" s="67">
        <f>SUM(W43:Z43)</f>
        <v>12188</v>
      </c>
      <c r="DH43" s="67">
        <f>SUM(AA43:AD43)</f>
        <v>12516</v>
      </c>
      <c r="DI43" s="67">
        <f>SUM(AE43:AH43)</f>
        <v>12810</v>
      </c>
      <c r="DJ43" s="67">
        <f>SUM(AI43:AL43)</f>
        <v>12564</v>
      </c>
      <c r="DK43" s="67">
        <f>SUM(AM43:AP43)</f>
        <v>12848</v>
      </c>
      <c r="DL43" s="67">
        <f t="shared" ref="DL43:DR43" si="153">DL41*DL55</f>
        <v>13185.199999999999</v>
      </c>
      <c r="DM43" s="67">
        <f t="shared" si="153"/>
        <v>12025.918999999998</v>
      </c>
      <c r="DN43" s="67">
        <f t="shared" si="153"/>
        <v>12806.990884999997</v>
      </c>
      <c r="DO43" s="67">
        <f t="shared" si="153"/>
        <v>12090.390375449999</v>
      </c>
      <c r="DP43" s="67">
        <f t="shared" si="153"/>
        <v>11323.443683137501</v>
      </c>
      <c r="DQ43" s="67">
        <f t="shared" si="153"/>
        <v>11132.403700978124</v>
      </c>
      <c r="DR43" s="67">
        <f t="shared" si="153"/>
        <v>618.08012461406258</v>
      </c>
      <c r="DS43" s="67"/>
      <c r="DT43" s="67"/>
      <c r="DU43" s="67">
        <f>DU41-DU42</f>
        <v>22062</v>
      </c>
      <c r="DV43" s="67">
        <f>DV41-DV42</f>
        <v>21985</v>
      </c>
      <c r="DW43" s="67">
        <f>DW41-DW42</f>
        <v>22372</v>
      </c>
      <c r="DX43" s="67">
        <f>+DX41-DX42</f>
        <v>23617</v>
      </c>
      <c r="DY43" s="67">
        <f t="shared" ref="DY43:EJ43" si="154">+DY41*0.85</f>
        <v>28410.399999999998</v>
      </c>
      <c r="DZ43" s="67">
        <f t="shared" si="154"/>
        <v>29236.26</v>
      </c>
      <c r="EA43" s="67">
        <f t="shared" si="154"/>
        <v>28576.005499999999</v>
      </c>
      <c r="EB43" s="67">
        <f t="shared" si="154"/>
        <v>28599.163665000004</v>
      </c>
      <c r="EC43" s="67">
        <f t="shared" si="154"/>
        <v>28394.396998150001</v>
      </c>
      <c r="ED43" s="67">
        <f t="shared" si="154"/>
        <v>28246.896250281497</v>
      </c>
      <c r="EE43" s="67">
        <f t="shared" si="154"/>
        <v>28302.076271391317</v>
      </c>
      <c r="EF43" s="67">
        <f t="shared" si="154"/>
        <v>28623.469942898064</v>
      </c>
      <c r="EG43" s="67">
        <f t="shared" si="154"/>
        <v>28957.356827541458</v>
      </c>
      <c r="EH43" s="67">
        <f t="shared" si="154"/>
        <v>29627.356539311484</v>
      </c>
      <c r="EI43" s="67">
        <f t="shared" si="154"/>
        <v>30537.445686419294</v>
      </c>
      <c r="EJ43" s="67">
        <f t="shared" si="154"/>
        <v>24828.128612282577</v>
      </c>
    </row>
    <row r="44" spans="2:140" s="15" customFormat="1">
      <c r="B44" s="15" t="s">
        <v>443</v>
      </c>
      <c r="C44" s="67">
        <v>203.4</v>
      </c>
      <c r="D44" s="67">
        <v>234</v>
      </c>
      <c r="E44" s="67">
        <v>304</v>
      </c>
      <c r="F44" s="67"/>
      <c r="G44" s="67">
        <v>203.4</v>
      </c>
      <c r="H44" s="67">
        <v>233.6</v>
      </c>
      <c r="I44" s="67">
        <v>304.10000000000002</v>
      </c>
      <c r="J44" s="67">
        <v>357.4</v>
      </c>
      <c r="K44" s="67">
        <v>341.6</v>
      </c>
      <c r="L44" s="67">
        <v>384.6</v>
      </c>
      <c r="M44" s="67">
        <v>400</v>
      </c>
      <c r="N44" s="67">
        <v>494.8</v>
      </c>
      <c r="O44" s="67">
        <v>432.9</v>
      </c>
      <c r="P44" s="67">
        <v>460.4</v>
      </c>
      <c r="Q44" s="67">
        <v>495</v>
      </c>
      <c r="R44" s="67">
        <v>608</v>
      </c>
      <c r="S44" s="67">
        <v>521</v>
      </c>
      <c r="T44" s="67">
        <v>564</v>
      </c>
      <c r="U44" s="67">
        <v>559</v>
      </c>
      <c r="V44" s="67">
        <v>658</v>
      </c>
      <c r="W44" s="67">
        <v>624</v>
      </c>
      <c r="X44" s="67">
        <v>729</v>
      </c>
      <c r="Y44" s="67">
        <v>835</v>
      </c>
      <c r="Z44" s="67">
        <v>1003</v>
      </c>
      <c r="AA44" s="67">
        <v>803</v>
      </c>
      <c r="AB44" s="67">
        <v>777</v>
      </c>
      <c r="AC44" s="67">
        <v>699</v>
      </c>
      <c r="AD44" s="67">
        <v>785</v>
      </c>
      <c r="AE44" s="67">
        <v>661</v>
      </c>
      <c r="AF44" s="67">
        <v>779</v>
      </c>
      <c r="AG44" s="67">
        <v>700</v>
      </c>
      <c r="AH44" s="67">
        <v>770</v>
      </c>
      <c r="AI44" s="67">
        <v>605</v>
      </c>
      <c r="AJ44" s="67">
        <v>657</v>
      </c>
      <c r="AK44" s="67">
        <v>613</v>
      </c>
      <c r="AL44" s="67">
        <v>864</v>
      </c>
      <c r="AM44" s="67">
        <v>617</v>
      </c>
      <c r="AN44" s="67">
        <v>642</v>
      </c>
      <c r="AO44" s="67">
        <v>689</v>
      </c>
      <c r="AP44" s="67">
        <v>825</v>
      </c>
      <c r="AQ44" s="67">
        <v>703</v>
      </c>
      <c r="AR44" s="67">
        <v>808</v>
      </c>
      <c r="AS44" s="67"/>
      <c r="AT44" s="67">
        <f>+AP44</f>
        <v>825</v>
      </c>
      <c r="AU44" s="67"/>
      <c r="AV44" s="67">
        <v>826</v>
      </c>
      <c r="AW44" s="67"/>
      <c r="AX44" s="67"/>
      <c r="AY44" s="67"/>
      <c r="AZ44" s="67"/>
      <c r="BA44" s="67"/>
      <c r="BB44" s="67"/>
      <c r="BC44" s="67"/>
      <c r="BD44" s="67">
        <v>979</v>
      </c>
      <c r="BE44" s="67"/>
      <c r="BF44" s="67"/>
      <c r="BG44" s="67"/>
      <c r="BH44" s="67"/>
      <c r="BI44" s="67"/>
      <c r="BJ44" s="67"/>
      <c r="BK44" s="67"/>
      <c r="BL44" s="67"/>
      <c r="BM44" s="67"/>
      <c r="BN44" s="67"/>
      <c r="BO44" s="67">
        <v>769</v>
      </c>
      <c r="BP44" s="67"/>
      <c r="BQ44" s="67"/>
      <c r="BR44" s="67"/>
      <c r="BS44" s="67">
        <v>760</v>
      </c>
      <c r="BT44" s="67"/>
      <c r="BU44" s="67"/>
      <c r="BV44" s="67">
        <v>1162</v>
      </c>
      <c r="BW44" s="67">
        <v>859</v>
      </c>
      <c r="BX44" s="67">
        <v>906</v>
      </c>
      <c r="BY44" s="67"/>
      <c r="BZ44" s="67">
        <v>1285</v>
      </c>
      <c r="CA44" s="67">
        <v>927</v>
      </c>
      <c r="CB44" s="67">
        <v>936</v>
      </c>
      <c r="CC44" s="67">
        <v>1037</v>
      </c>
      <c r="CD44" s="67">
        <v>1185</v>
      </c>
      <c r="CE44" s="67">
        <v>944</v>
      </c>
      <c r="CF44" s="67">
        <v>1036</v>
      </c>
      <c r="CG44" s="67">
        <v>997</v>
      </c>
      <c r="CH44" s="67">
        <v>1319</v>
      </c>
      <c r="CI44" s="117">
        <v>934</v>
      </c>
      <c r="CJ44" s="117">
        <v>1020</v>
      </c>
      <c r="CK44" s="117">
        <v>1096</v>
      </c>
      <c r="CL44" s="117">
        <v>1291</v>
      </c>
      <c r="CM44" s="117">
        <v>1044</v>
      </c>
      <c r="CN44" s="117">
        <v>1092</v>
      </c>
      <c r="CO44" s="117">
        <v>1070</v>
      </c>
      <c r="CP44" s="117">
        <v>1494</v>
      </c>
      <c r="CQ44" s="117">
        <v>1317</v>
      </c>
      <c r="CR44" s="117">
        <v>1423</v>
      </c>
      <c r="CS44" s="117">
        <v>1440</v>
      </c>
      <c r="CT44" s="117">
        <v>1698</v>
      </c>
      <c r="CU44" s="117">
        <f>+CQ44</f>
        <v>1317</v>
      </c>
      <c r="CV44" s="117">
        <f t="shared" ref="CV44:CV45" si="155">+CR44</f>
        <v>1423</v>
      </c>
      <c r="CW44" s="117">
        <f t="shared" ref="CW44:CW45" si="156">+CS44</f>
        <v>1440</v>
      </c>
      <c r="CX44" s="117">
        <f t="shared" ref="CX44:CX45" si="157">+CT44</f>
        <v>1698</v>
      </c>
      <c r="CY44" s="117"/>
      <c r="CZ44" s="72"/>
      <c r="DA44" s="67">
        <v>845</v>
      </c>
      <c r="DB44" s="67">
        <v>865</v>
      </c>
      <c r="DC44" s="67">
        <v>1117</v>
      </c>
      <c r="DD44" s="67">
        <v>1621</v>
      </c>
      <c r="DE44" s="67">
        <f>SUM(O44:R44)</f>
        <v>1996.3</v>
      </c>
      <c r="DF44" s="67">
        <f>SUM(S44:V44)</f>
        <v>2302</v>
      </c>
      <c r="DG44" s="67">
        <f>SUM(W44:Z44)</f>
        <v>3191</v>
      </c>
      <c r="DH44" s="67">
        <f>SUM(AA44:AD44)</f>
        <v>3064</v>
      </c>
      <c r="DI44" s="67">
        <f>SUM(AE44:AH44)</f>
        <v>2910</v>
      </c>
      <c r="DJ44" s="67">
        <f>SUM(AI44:AL44)</f>
        <v>2739</v>
      </c>
      <c r="DK44" s="67">
        <f>SUM(AM44:AP44)</f>
        <v>2773</v>
      </c>
      <c r="DL44" s="67">
        <f>SUM(AQ44:AT44)</f>
        <v>2336</v>
      </c>
      <c r="DM44" s="67"/>
      <c r="DN44" s="67"/>
      <c r="DO44" s="67"/>
      <c r="DP44" s="67"/>
      <c r="DQ44" s="67"/>
      <c r="DR44" s="67"/>
      <c r="DS44" s="67"/>
      <c r="DT44" s="67"/>
      <c r="DU44" s="67">
        <v>4085</v>
      </c>
      <c r="DV44" s="67">
        <v>4296</v>
      </c>
      <c r="DW44" s="67">
        <f t="shared" ref="DW44" si="158">SUM(CI44:CL44)</f>
        <v>4341</v>
      </c>
      <c r="DX44" s="67">
        <f t="shared" ref="DX44:DX45" si="159">SUM(CM44:CP44)</f>
        <v>4700</v>
      </c>
      <c r="DY44" s="67">
        <f t="shared" ref="DY44:DY45" si="160">SUM(CQ44:CT44)</f>
        <v>5878</v>
      </c>
      <c r="DZ44" s="67">
        <f t="shared" ref="DZ44:DZ45" si="161">SUM(CU44:CX44)</f>
        <v>5878</v>
      </c>
      <c r="EA44" s="72"/>
      <c r="EB44" s="72"/>
      <c r="EC44" s="72"/>
      <c r="ED44" s="72"/>
      <c r="EE44" s="72"/>
    </row>
    <row r="45" spans="2:140" s="15" customFormat="1">
      <c r="B45" s="15" t="s">
        <v>444</v>
      </c>
      <c r="C45" s="67">
        <v>245.8</v>
      </c>
      <c r="D45" s="67">
        <v>321</v>
      </c>
      <c r="E45" s="67">
        <v>377</v>
      </c>
      <c r="F45" s="67"/>
      <c r="G45" s="67">
        <f>245.8-1.7</f>
        <v>244.10000000000002</v>
      </c>
      <c r="H45" s="67">
        <f>320.5-1.7</f>
        <v>318.8</v>
      </c>
      <c r="I45" s="67">
        <f>376.9-3.4</f>
        <v>373.5</v>
      </c>
      <c r="J45" s="67">
        <f>496-5.8</f>
        <v>490.2</v>
      </c>
      <c r="K45" s="67">
        <f>385.3-9.6</f>
        <v>375.7</v>
      </c>
      <c r="L45" s="67">
        <v>437.5</v>
      </c>
      <c r="M45" s="67">
        <f>479.3-10.9</f>
        <v>468.40000000000003</v>
      </c>
      <c r="N45" s="67">
        <f>621.8-10</f>
        <v>611.79999999999995</v>
      </c>
      <c r="O45" s="67">
        <v>513</v>
      </c>
      <c r="P45" s="67">
        <v>586.70000000000005</v>
      </c>
      <c r="Q45" s="67">
        <v>635</v>
      </c>
      <c r="R45" s="67">
        <v>813</v>
      </c>
      <c r="S45" s="67">
        <v>577</v>
      </c>
      <c r="T45" s="67">
        <v>646</v>
      </c>
      <c r="U45" s="67">
        <v>656</v>
      </c>
      <c r="V45" s="67">
        <v>913</v>
      </c>
      <c r="W45" s="67">
        <v>652</v>
      </c>
      <c r="X45" s="67">
        <v>799</v>
      </c>
      <c r="Y45" s="67">
        <v>782</v>
      </c>
      <c r="Z45" s="67">
        <v>1001</v>
      </c>
      <c r="AA45" s="67">
        <v>748</v>
      </c>
      <c r="AB45" s="67">
        <v>840</v>
      </c>
      <c r="AC45" s="67">
        <v>804</v>
      </c>
      <c r="AD45" s="67">
        <v>990</v>
      </c>
      <c r="AE45" s="67">
        <v>862</v>
      </c>
      <c r="AF45" s="67">
        <v>894</v>
      </c>
      <c r="AG45" s="67">
        <v>890</v>
      </c>
      <c r="AH45" s="67">
        <v>1062</v>
      </c>
      <c r="AI45" s="67">
        <v>774</v>
      </c>
      <c r="AJ45" s="67">
        <v>891</v>
      </c>
      <c r="AK45" s="67">
        <v>913</v>
      </c>
      <c r="AL45" s="67">
        <v>1159</v>
      </c>
      <c r="AM45" s="67">
        <v>873</v>
      </c>
      <c r="AN45" s="67">
        <v>968</v>
      </c>
      <c r="AO45" s="67">
        <v>942</v>
      </c>
      <c r="AP45" s="67">
        <v>1142</v>
      </c>
      <c r="AQ45" s="67">
        <v>1011</v>
      </c>
      <c r="AR45" s="67">
        <v>1111</v>
      </c>
      <c r="AS45" s="67">
        <f>+AO45</f>
        <v>942</v>
      </c>
      <c r="AT45" s="67">
        <f>+AP45</f>
        <v>1142</v>
      </c>
      <c r="AU45" s="67"/>
      <c r="AV45" s="67">
        <v>1228</v>
      </c>
      <c r="AW45" s="67"/>
      <c r="AX45" s="67"/>
      <c r="AY45" s="67"/>
      <c r="AZ45" s="67"/>
      <c r="BA45" s="67"/>
      <c r="BB45" s="67"/>
      <c r="BC45" s="67"/>
      <c r="BD45" s="67">
        <v>1093</v>
      </c>
      <c r="BE45" s="67"/>
      <c r="BF45" s="67"/>
      <c r="BG45" s="67"/>
      <c r="BH45" s="67"/>
      <c r="BI45" s="67"/>
      <c r="BJ45" s="67"/>
      <c r="BK45" s="67"/>
      <c r="BL45" s="67"/>
      <c r="BM45" s="67"/>
      <c r="BN45" s="67"/>
      <c r="BO45" s="67">
        <v>1064</v>
      </c>
      <c r="BP45" s="67"/>
      <c r="BQ45" s="67"/>
      <c r="BR45" s="67"/>
      <c r="BS45" s="67">
        <v>1127</v>
      </c>
      <c r="BT45" s="67"/>
      <c r="BU45" s="67"/>
      <c r="BV45" s="67">
        <v>1532</v>
      </c>
      <c r="BW45" s="67">
        <v>1149</v>
      </c>
      <c r="BX45" s="67">
        <v>1256</v>
      </c>
      <c r="BY45" s="67"/>
      <c r="BZ45" s="67">
        <v>1501</v>
      </c>
      <c r="CA45" s="67">
        <v>1287</v>
      </c>
      <c r="CB45" s="67">
        <v>1265</v>
      </c>
      <c r="CC45" s="67">
        <v>1329</v>
      </c>
      <c r="CD45" s="67">
        <v>1762</v>
      </c>
      <c r="CE45" s="67">
        <v>1226</v>
      </c>
      <c r="CF45" s="67">
        <v>1345</v>
      </c>
      <c r="CG45" s="67">
        <v>1260</v>
      </c>
      <c r="CH45" s="67">
        <v>1434</v>
      </c>
      <c r="CI45" s="117">
        <v>1213</v>
      </c>
      <c r="CJ45" s="117">
        <v>1313</v>
      </c>
      <c r="CK45" s="117">
        <v>1276</v>
      </c>
      <c r="CL45" s="117">
        <v>1468</v>
      </c>
      <c r="CM45" s="117">
        <v>1224</v>
      </c>
      <c r="CN45" s="117">
        <v>1237</v>
      </c>
      <c r="CO45" s="117">
        <v>1293</v>
      </c>
      <c r="CP45" s="117">
        <v>1764</v>
      </c>
      <c r="CQ45" s="117">
        <v>1712</v>
      </c>
      <c r="CR45" s="117">
        <v>1686</v>
      </c>
      <c r="CS45" s="117">
        <v>1565</v>
      </c>
      <c r="CT45" s="117">
        <v>1819</v>
      </c>
      <c r="CU45" s="117">
        <f t="shared" ref="CU45" si="162">+CQ45</f>
        <v>1712</v>
      </c>
      <c r="CV45" s="117">
        <f t="shared" si="155"/>
        <v>1686</v>
      </c>
      <c r="CW45" s="117">
        <f t="shared" si="156"/>
        <v>1565</v>
      </c>
      <c r="CX45" s="117">
        <f t="shared" si="157"/>
        <v>1819</v>
      </c>
      <c r="CY45" s="117"/>
      <c r="CZ45" s="72"/>
      <c r="DA45" s="67">
        <v>851</v>
      </c>
      <c r="DB45" s="67">
        <v>974</v>
      </c>
      <c r="DC45" s="67">
        <v>1449</v>
      </c>
      <c r="DD45" s="67">
        <v>1893</v>
      </c>
      <c r="DE45" s="67">
        <f>SUM(O45:R45)</f>
        <v>2547.6999999999998</v>
      </c>
      <c r="DF45" s="67">
        <f>SUM(S45:V45)</f>
        <v>2792</v>
      </c>
      <c r="DG45" s="67">
        <f>SUM(W45:Z45)</f>
        <v>3234</v>
      </c>
      <c r="DH45" s="67">
        <f>SUM(AA45:AD45)</f>
        <v>3382</v>
      </c>
      <c r="DI45" s="67">
        <f>SUM(AE45:AH45)</f>
        <v>3708</v>
      </c>
      <c r="DJ45" s="67">
        <f>SUM(AI45:AL45)</f>
        <v>3737</v>
      </c>
      <c r="DK45" s="67">
        <f>SUM(AM45:AP45)</f>
        <v>3925</v>
      </c>
      <c r="DL45" s="67">
        <f>SUM(AQ45:AT45)</f>
        <v>4206</v>
      </c>
      <c r="DM45" s="67">
        <f>DM57*DM41</f>
        <v>2900.3686999999995</v>
      </c>
      <c r="DN45" s="67">
        <f>DN57*DN41</f>
        <v>3164.0801009999996</v>
      </c>
      <c r="DO45" s="67">
        <f>DO57*DO41</f>
        <v>3129.2775089399997</v>
      </c>
      <c r="DP45" s="67">
        <f>DP41*DP57</f>
        <v>3063.9906436725</v>
      </c>
      <c r="DQ45" s="67">
        <f>+DP45</f>
        <v>3063.9906436725</v>
      </c>
      <c r="DR45" s="67">
        <f>+DQ45</f>
        <v>3063.9906436725</v>
      </c>
      <c r="DS45" s="67"/>
      <c r="DT45" s="67"/>
      <c r="DU45" s="67">
        <f>SUM(CA45:CD45)</f>
        <v>5643</v>
      </c>
      <c r="DV45" s="67">
        <f>SUM(CE45:CH45)</f>
        <v>5265</v>
      </c>
      <c r="DW45" s="67">
        <f>SUM(CI45:CL45)</f>
        <v>5270</v>
      </c>
      <c r="DX45" s="67">
        <f t="shared" si="159"/>
        <v>5518</v>
      </c>
      <c r="DY45" s="67">
        <f t="shared" si="160"/>
        <v>6782</v>
      </c>
      <c r="DZ45" s="67">
        <f t="shared" si="161"/>
        <v>6782</v>
      </c>
      <c r="EA45" s="67">
        <f t="shared" ref="EA45:EJ45" si="163">+DZ45*0.95</f>
        <v>6442.9</v>
      </c>
      <c r="EB45" s="67">
        <f t="shared" si="163"/>
        <v>6120.7549999999992</v>
      </c>
      <c r="EC45" s="67">
        <f t="shared" si="163"/>
        <v>5814.7172499999988</v>
      </c>
      <c r="ED45" s="67">
        <f t="shared" si="163"/>
        <v>5523.9813874999982</v>
      </c>
      <c r="EE45" s="67">
        <f t="shared" si="163"/>
        <v>5247.7823181249978</v>
      </c>
      <c r="EF45" s="67">
        <f t="shared" si="163"/>
        <v>4985.3932022187473</v>
      </c>
      <c r="EG45" s="67">
        <f t="shared" si="163"/>
        <v>4736.12354210781</v>
      </c>
      <c r="EH45" s="67">
        <f t="shared" si="163"/>
        <v>4499.3173650024191</v>
      </c>
      <c r="EI45" s="67">
        <f t="shared" si="163"/>
        <v>4274.3514967522979</v>
      </c>
      <c r="EJ45" s="67">
        <f t="shared" si="163"/>
        <v>4060.6339219146826</v>
      </c>
    </row>
    <row r="46" spans="2:140" s="15" customFormat="1">
      <c r="B46" s="15" t="s">
        <v>630</v>
      </c>
      <c r="C46" s="67">
        <f>C45+C44</f>
        <v>449.20000000000005</v>
      </c>
      <c r="D46" s="67">
        <f>D45+D44</f>
        <v>555</v>
      </c>
      <c r="E46" s="67">
        <f t="shared" ref="E46:Z46" si="164">E45+E44</f>
        <v>681</v>
      </c>
      <c r="F46" s="67"/>
      <c r="G46" s="67">
        <f t="shared" si="164"/>
        <v>447.5</v>
      </c>
      <c r="H46" s="67">
        <f t="shared" si="164"/>
        <v>552.4</v>
      </c>
      <c r="I46" s="67">
        <f t="shared" si="164"/>
        <v>677.6</v>
      </c>
      <c r="J46" s="67">
        <f t="shared" si="164"/>
        <v>847.59999999999991</v>
      </c>
      <c r="K46" s="67">
        <f t="shared" si="164"/>
        <v>717.3</v>
      </c>
      <c r="L46" s="67">
        <f t="shared" si="164"/>
        <v>822.1</v>
      </c>
      <c r="M46" s="67">
        <f t="shared" si="164"/>
        <v>868.40000000000009</v>
      </c>
      <c r="N46" s="67">
        <f t="shared" si="164"/>
        <v>1106.5999999999999</v>
      </c>
      <c r="O46" s="67">
        <f t="shared" si="164"/>
        <v>945.9</v>
      </c>
      <c r="P46" s="67">
        <f t="shared" si="164"/>
        <v>1047.0999999999999</v>
      </c>
      <c r="Q46" s="67">
        <f t="shared" si="164"/>
        <v>1130</v>
      </c>
      <c r="R46" s="67">
        <f t="shared" si="164"/>
        <v>1421</v>
      </c>
      <c r="S46" s="67">
        <f t="shared" si="164"/>
        <v>1098</v>
      </c>
      <c r="T46" s="67">
        <f t="shared" si="164"/>
        <v>1210</v>
      </c>
      <c r="U46" s="67">
        <f t="shared" si="164"/>
        <v>1215</v>
      </c>
      <c r="V46" s="67">
        <f t="shared" si="164"/>
        <v>1571</v>
      </c>
      <c r="W46" s="67">
        <f t="shared" si="164"/>
        <v>1276</v>
      </c>
      <c r="X46" s="67">
        <f t="shared" si="164"/>
        <v>1528</v>
      </c>
      <c r="Y46" s="67">
        <f t="shared" si="164"/>
        <v>1617</v>
      </c>
      <c r="Z46" s="67">
        <f t="shared" si="164"/>
        <v>2004</v>
      </c>
      <c r="AA46" s="67">
        <f t="shared" ref="AA46:AJ46" si="165">AA45+AA44</f>
        <v>1551</v>
      </c>
      <c r="AB46" s="67">
        <f t="shared" si="165"/>
        <v>1617</v>
      </c>
      <c r="AC46" s="67">
        <f t="shared" si="165"/>
        <v>1503</v>
      </c>
      <c r="AD46" s="67">
        <f t="shared" si="165"/>
        <v>1775</v>
      </c>
      <c r="AE46" s="67">
        <f t="shared" si="165"/>
        <v>1523</v>
      </c>
      <c r="AF46" s="67">
        <f>AF45+AF44</f>
        <v>1673</v>
      </c>
      <c r="AG46" s="67">
        <f t="shared" si="165"/>
        <v>1590</v>
      </c>
      <c r="AH46" s="67">
        <f t="shared" si="165"/>
        <v>1832</v>
      </c>
      <c r="AI46" s="67">
        <f t="shared" si="165"/>
        <v>1379</v>
      </c>
      <c r="AJ46" s="67">
        <f t="shared" si="165"/>
        <v>1548</v>
      </c>
      <c r="AK46" s="67">
        <f t="shared" ref="AK46:AT46" si="166">AK45+AK44</f>
        <v>1526</v>
      </c>
      <c r="AL46" s="67">
        <f t="shared" si="166"/>
        <v>2023</v>
      </c>
      <c r="AM46" s="67">
        <f t="shared" si="166"/>
        <v>1490</v>
      </c>
      <c r="AN46" s="67">
        <f t="shared" si="166"/>
        <v>1610</v>
      </c>
      <c r="AO46" s="67">
        <f t="shared" si="166"/>
        <v>1631</v>
      </c>
      <c r="AP46" s="67">
        <f t="shared" si="166"/>
        <v>1967</v>
      </c>
      <c r="AQ46" s="67">
        <f>AQ45+AQ44</f>
        <v>1714</v>
      </c>
      <c r="AR46" s="67">
        <f>AR45+AR44</f>
        <v>1919</v>
      </c>
      <c r="AS46" s="67">
        <f t="shared" si="166"/>
        <v>942</v>
      </c>
      <c r="AT46" s="67">
        <f t="shared" si="166"/>
        <v>1967</v>
      </c>
      <c r="AU46" s="67"/>
      <c r="AV46" s="67">
        <f>AV45+AV44</f>
        <v>2054</v>
      </c>
      <c r="AW46" s="67"/>
      <c r="AX46" s="67"/>
      <c r="AY46" s="67"/>
      <c r="AZ46" s="67"/>
      <c r="BA46" s="67"/>
      <c r="BB46" s="67"/>
      <c r="BC46" s="67"/>
      <c r="BD46" s="67">
        <f>+BD45+BD44</f>
        <v>2072</v>
      </c>
      <c r="BE46" s="67"/>
      <c r="BF46" s="67"/>
      <c r="BG46" s="67"/>
      <c r="BH46" s="67"/>
      <c r="BI46" s="67"/>
      <c r="BJ46" s="67"/>
      <c r="BK46" s="67"/>
      <c r="BL46" s="67"/>
      <c r="BM46" s="67"/>
      <c r="BN46" s="67"/>
      <c r="BO46" s="67">
        <f>+BO45+BO44</f>
        <v>1833</v>
      </c>
      <c r="BP46" s="67"/>
      <c r="BQ46" s="67"/>
      <c r="BR46" s="67"/>
      <c r="BS46" s="67">
        <f>+BS45+BS44</f>
        <v>1887</v>
      </c>
      <c r="BT46" s="67"/>
      <c r="BU46" s="67"/>
      <c r="BV46" s="67">
        <f t="shared" ref="BV46:BW46" si="167">BV44+BV45</f>
        <v>2694</v>
      </c>
      <c r="BW46" s="67">
        <f t="shared" si="167"/>
        <v>2008</v>
      </c>
      <c r="BX46" s="67">
        <f t="shared" ref="BX46:CB46" si="168">BX44+BX45</f>
        <v>2162</v>
      </c>
      <c r="BY46" s="67">
        <f t="shared" si="168"/>
        <v>0</v>
      </c>
      <c r="BZ46" s="67">
        <f t="shared" si="168"/>
        <v>2786</v>
      </c>
      <c r="CA46" s="67">
        <f t="shared" si="168"/>
        <v>2214</v>
      </c>
      <c r="CB46" s="67">
        <f t="shared" si="168"/>
        <v>2201</v>
      </c>
      <c r="CC46" s="67">
        <f t="shared" ref="CC46" si="169">CC44+CC45</f>
        <v>2366</v>
      </c>
      <c r="CD46" s="67">
        <f t="shared" ref="CD46" si="170">CD44+CD45</f>
        <v>2947</v>
      </c>
      <c r="CE46" s="67">
        <f t="shared" ref="CE46:CH46" si="171">CE44+CE45</f>
        <v>2170</v>
      </c>
      <c r="CF46" s="67">
        <f t="shared" si="171"/>
        <v>2381</v>
      </c>
      <c r="CG46" s="67">
        <f t="shared" si="171"/>
        <v>2257</v>
      </c>
      <c r="CH46" s="67">
        <f t="shared" si="171"/>
        <v>2753</v>
      </c>
      <c r="CI46" s="117">
        <f>CI44+CI45</f>
        <v>2147</v>
      </c>
      <c r="CJ46" s="117">
        <f>CJ44+CJ45</f>
        <v>2333</v>
      </c>
      <c r="CK46" s="117">
        <f t="shared" ref="CK46:CP46" si="172">CK44+CK45</f>
        <v>2372</v>
      </c>
      <c r="CL46" s="117">
        <f t="shared" si="172"/>
        <v>2759</v>
      </c>
      <c r="CM46" s="117">
        <f t="shared" si="172"/>
        <v>2268</v>
      </c>
      <c r="CN46" s="117">
        <f t="shared" si="172"/>
        <v>2329</v>
      </c>
      <c r="CO46" s="117">
        <f t="shared" si="172"/>
        <v>2363</v>
      </c>
      <c r="CP46" s="117">
        <f t="shared" si="172"/>
        <v>3258</v>
      </c>
      <c r="CQ46" s="117">
        <f t="shared" ref="CQ46:CT46" si="173">CQ44+CQ45</f>
        <v>3029</v>
      </c>
      <c r="CR46" s="117">
        <f t="shared" si="173"/>
        <v>3109</v>
      </c>
      <c r="CS46" s="117">
        <f t="shared" si="173"/>
        <v>3005</v>
      </c>
      <c r="CT46" s="117">
        <f t="shared" si="173"/>
        <v>3517</v>
      </c>
      <c r="CU46" s="117">
        <f t="shared" ref="CU46:CX46" si="174">CU44+CU45</f>
        <v>3029</v>
      </c>
      <c r="CV46" s="117">
        <f t="shared" si="174"/>
        <v>3109</v>
      </c>
      <c r="CW46" s="117">
        <f t="shared" si="174"/>
        <v>3005</v>
      </c>
      <c r="CX46" s="117">
        <f t="shared" si="174"/>
        <v>3517</v>
      </c>
      <c r="CY46" s="117"/>
      <c r="CZ46" s="72"/>
      <c r="DA46" s="67">
        <f t="shared" ref="DA46:DM46" si="175">DA45+DA44</f>
        <v>1696</v>
      </c>
      <c r="DB46" s="67">
        <f t="shared" si="175"/>
        <v>1839</v>
      </c>
      <c r="DC46" s="67">
        <f t="shared" si="175"/>
        <v>2566</v>
      </c>
      <c r="DD46" s="67">
        <f t="shared" si="175"/>
        <v>3514</v>
      </c>
      <c r="DE46" s="67">
        <f t="shared" si="175"/>
        <v>4544</v>
      </c>
      <c r="DF46" s="67">
        <f t="shared" si="175"/>
        <v>5094</v>
      </c>
      <c r="DG46" s="67">
        <f t="shared" si="175"/>
        <v>6425</v>
      </c>
      <c r="DH46" s="67">
        <f t="shared" si="175"/>
        <v>6446</v>
      </c>
      <c r="DI46" s="67">
        <f>DI45+DI44</f>
        <v>6618</v>
      </c>
      <c r="DJ46" s="67">
        <f>DJ45+DJ44</f>
        <v>6476</v>
      </c>
      <c r="DK46" s="67">
        <f>DK45+DK44</f>
        <v>6698</v>
      </c>
      <c r="DL46" s="67">
        <f>DL45+DL44</f>
        <v>6542</v>
      </c>
      <c r="DM46" s="67">
        <f t="shared" si="175"/>
        <v>2900.3686999999995</v>
      </c>
      <c r="DN46" s="67">
        <f t="shared" ref="DN46:DT46" si="176">DN45+DN44</f>
        <v>3164.0801009999996</v>
      </c>
      <c r="DO46" s="67">
        <f t="shared" si="176"/>
        <v>3129.2775089399997</v>
      </c>
      <c r="DP46" s="67">
        <f t="shared" si="176"/>
        <v>3063.9906436725</v>
      </c>
      <c r="DQ46" s="67">
        <f t="shared" si="176"/>
        <v>3063.9906436725</v>
      </c>
      <c r="DR46" s="67">
        <f t="shared" si="176"/>
        <v>3063.9906436725</v>
      </c>
      <c r="DS46" s="67">
        <f t="shared" si="176"/>
        <v>0</v>
      </c>
      <c r="DT46" s="67">
        <f t="shared" si="176"/>
        <v>0</v>
      </c>
      <c r="DU46" s="67">
        <f t="shared" ref="DU46:DV46" si="177">DU45+DU44</f>
        <v>9728</v>
      </c>
      <c r="DV46" s="67">
        <f t="shared" si="177"/>
        <v>9561</v>
      </c>
      <c r="DW46" s="67">
        <f t="shared" ref="DW46" si="178">DW45+DW44</f>
        <v>9611</v>
      </c>
      <c r="DX46" s="67">
        <f>DX45+DX44</f>
        <v>10218</v>
      </c>
      <c r="DY46" s="67">
        <f t="shared" ref="DY46:EJ46" si="179">DY45+DY44</f>
        <v>12660</v>
      </c>
      <c r="DZ46" s="67">
        <f t="shared" si="179"/>
        <v>12660</v>
      </c>
      <c r="EA46" s="67">
        <f t="shared" si="179"/>
        <v>6442.9</v>
      </c>
      <c r="EB46" s="67">
        <f t="shared" si="179"/>
        <v>6120.7549999999992</v>
      </c>
      <c r="EC46" s="67">
        <f t="shared" si="179"/>
        <v>5814.7172499999988</v>
      </c>
      <c r="ED46" s="67">
        <f t="shared" si="179"/>
        <v>5523.9813874999982</v>
      </c>
      <c r="EE46" s="67">
        <f t="shared" si="179"/>
        <v>5247.7823181249978</v>
      </c>
      <c r="EF46" s="67">
        <f t="shared" si="179"/>
        <v>4985.3932022187473</v>
      </c>
      <c r="EG46" s="67">
        <f t="shared" si="179"/>
        <v>4736.12354210781</v>
      </c>
      <c r="EH46" s="67">
        <f t="shared" si="179"/>
        <v>4499.3173650024191</v>
      </c>
      <c r="EI46" s="67">
        <f t="shared" si="179"/>
        <v>4274.3514967522979</v>
      </c>
      <c r="EJ46" s="67">
        <f t="shared" si="179"/>
        <v>4060.6339219146826</v>
      </c>
    </row>
    <row r="47" spans="2:140" s="15" customFormat="1">
      <c r="B47" s="15" t="s">
        <v>702</v>
      </c>
      <c r="C47" s="67">
        <f>C43-C46</f>
        <v>347.09999999999991</v>
      </c>
      <c r="D47" s="67">
        <f>D43-D46</f>
        <v>321</v>
      </c>
      <c r="E47" s="67">
        <f t="shared" ref="E47:Z47" si="180">E43-E46</f>
        <v>325</v>
      </c>
      <c r="F47" s="67"/>
      <c r="G47" s="67">
        <f t="shared" si="180"/>
        <v>457.40000000000009</v>
      </c>
      <c r="H47" s="67">
        <f t="shared" si="180"/>
        <v>564.6</v>
      </c>
      <c r="I47" s="67">
        <f t="shared" si="180"/>
        <v>620.99999999999989</v>
      </c>
      <c r="J47" s="67">
        <f t="shared" si="180"/>
        <v>665.20000000000027</v>
      </c>
      <c r="K47" s="67">
        <f t="shared" si="180"/>
        <v>765.60000000000014</v>
      </c>
      <c r="L47" s="67">
        <f t="shared" si="180"/>
        <v>894.79999999999984</v>
      </c>
      <c r="M47" s="67">
        <f t="shared" si="180"/>
        <v>1003.7999999999997</v>
      </c>
      <c r="N47" s="67">
        <f t="shared" si="180"/>
        <v>856.5</v>
      </c>
      <c r="O47" s="67">
        <f t="shared" si="180"/>
        <v>1025.4999999999995</v>
      </c>
      <c r="P47" s="67">
        <f t="shared" si="180"/>
        <v>1102.5</v>
      </c>
      <c r="Q47" s="67">
        <f t="shared" si="180"/>
        <v>1136</v>
      </c>
      <c r="R47" s="67">
        <f t="shared" si="180"/>
        <v>1012</v>
      </c>
      <c r="S47" s="67">
        <f t="shared" si="180"/>
        <v>1246</v>
      </c>
      <c r="T47" s="67">
        <f t="shared" si="180"/>
        <v>1432</v>
      </c>
      <c r="U47" s="67">
        <f t="shared" si="180"/>
        <v>1434</v>
      </c>
      <c r="V47" s="67">
        <f t="shared" si="180"/>
        <v>1189</v>
      </c>
      <c r="W47" s="67">
        <f t="shared" si="180"/>
        <v>1389</v>
      </c>
      <c r="X47" s="67">
        <f t="shared" si="180"/>
        <v>1584</v>
      </c>
      <c r="Y47" s="67">
        <f t="shared" si="180"/>
        <v>1510</v>
      </c>
      <c r="Z47" s="67">
        <f t="shared" si="180"/>
        <v>1280</v>
      </c>
      <c r="AA47" s="67">
        <f t="shared" ref="AA47:AJ47" si="181">AA43-AA46</f>
        <v>1577</v>
      </c>
      <c r="AB47" s="67">
        <f t="shared" si="181"/>
        <v>1565</v>
      </c>
      <c r="AC47" s="67">
        <f t="shared" si="181"/>
        <v>1523</v>
      </c>
      <c r="AD47" s="67">
        <f t="shared" si="181"/>
        <v>1405</v>
      </c>
      <c r="AE47" s="67">
        <f t="shared" si="181"/>
        <v>1548</v>
      </c>
      <c r="AF47" s="67">
        <f>AF43-AF46</f>
        <v>1579</v>
      </c>
      <c r="AG47" s="67">
        <f t="shared" si="181"/>
        <v>1695</v>
      </c>
      <c r="AH47" s="67">
        <f t="shared" si="181"/>
        <v>1370</v>
      </c>
      <c r="AI47" s="67">
        <f t="shared" si="181"/>
        <v>1455</v>
      </c>
      <c r="AJ47" s="67">
        <f t="shared" si="181"/>
        <v>1638</v>
      </c>
      <c r="AK47" s="67">
        <f t="shared" ref="AK47:AT47" si="182">AK43-AK46</f>
        <v>1744</v>
      </c>
      <c r="AL47" s="67">
        <f t="shared" si="182"/>
        <v>1251</v>
      </c>
      <c r="AM47" s="67">
        <f t="shared" si="182"/>
        <v>1598</v>
      </c>
      <c r="AN47" s="67">
        <f t="shared" si="182"/>
        <v>1645</v>
      </c>
      <c r="AO47" s="67">
        <f t="shared" si="182"/>
        <v>1601</v>
      </c>
      <c r="AP47" s="67">
        <f t="shared" si="182"/>
        <v>1306</v>
      </c>
      <c r="AQ47" s="67">
        <f>AQ43-AQ46</f>
        <v>1452</v>
      </c>
      <c r="AR47" s="67">
        <f>AR43-AR46</f>
        <v>1471</v>
      </c>
      <c r="AS47" s="67">
        <f t="shared" si="182"/>
        <v>2340.02</v>
      </c>
      <c r="AT47" s="67">
        <f t="shared" si="182"/>
        <v>1284.08</v>
      </c>
      <c r="AU47" s="67"/>
      <c r="AV47" s="67">
        <f>AV43-AV46</f>
        <v>1741</v>
      </c>
      <c r="AW47" s="67"/>
      <c r="AX47" s="67"/>
      <c r="AY47" s="67"/>
      <c r="AZ47" s="67"/>
      <c r="BA47" s="67"/>
      <c r="BB47" s="67"/>
      <c r="BC47" s="67"/>
      <c r="BD47" s="67">
        <f>+BD43-BD46</f>
        <v>2319</v>
      </c>
      <c r="BE47" s="67"/>
      <c r="BF47" s="67"/>
      <c r="BG47" s="67"/>
      <c r="BH47" s="67"/>
      <c r="BI47" s="67"/>
      <c r="BJ47" s="67"/>
      <c r="BK47" s="67"/>
      <c r="BL47" s="67"/>
      <c r="BM47" s="67"/>
      <c r="BN47" s="67"/>
      <c r="BO47" s="67">
        <f>+BO43-BO46</f>
        <v>2635</v>
      </c>
      <c r="BP47" s="67"/>
      <c r="BQ47" s="67"/>
      <c r="BR47" s="67"/>
      <c r="BS47" s="67">
        <f>+BS43-BS46</f>
        <v>2723</v>
      </c>
      <c r="BT47" s="67"/>
      <c r="BU47" s="67"/>
      <c r="BV47" s="67">
        <f t="shared" ref="BV47:BW47" si="183">BV43-BV46</f>
        <v>2717</v>
      </c>
      <c r="BW47" s="67">
        <f t="shared" si="183"/>
        <v>2770</v>
      </c>
      <c r="BX47" s="67">
        <f t="shared" ref="BX47:CB47" si="184">BX43-BX46</f>
        <v>2973</v>
      </c>
      <c r="BY47" s="67">
        <f t="shared" si="184"/>
        <v>5737</v>
      </c>
      <c r="BZ47" s="67">
        <f t="shared" si="184"/>
        <v>2621</v>
      </c>
      <c r="CA47" s="67">
        <f t="shared" si="184"/>
        <v>3176</v>
      </c>
      <c r="CB47" s="67">
        <f t="shared" si="184"/>
        <v>3247</v>
      </c>
      <c r="CC47" s="67">
        <f t="shared" ref="CC47" si="185">CC43-CC46</f>
        <v>3183</v>
      </c>
      <c r="CD47" s="67">
        <f t="shared" ref="CD47" si="186">CD43-CD46</f>
        <v>2728</v>
      </c>
      <c r="CE47" s="67">
        <f t="shared" ref="CE47:CH47" si="187">CE43-CE46</f>
        <v>2864</v>
      </c>
      <c r="CF47" s="67">
        <f t="shared" si="187"/>
        <v>3111</v>
      </c>
      <c r="CG47" s="67">
        <f t="shared" si="187"/>
        <v>3452</v>
      </c>
      <c r="CH47" s="67">
        <f t="shared" si="187"/>
        <v>2997</v>
      </c>
      <c r="CI47" s="117">
        <f>CI43-CI46</f>
        <v>3140</v>
      </c>
      <c r="CJ47" s="117">
        <f>CJ43-CJ46</f>
        <v>3335</v>
      </c>
      <c r="CK47" s="117">
        <f t="shared" ref="CK47:CP47" si="188">CK43-CK46</f>
        <v>3277</v>
      </c>
      <c r="CL47" s="117">
        <f>CL43-CL46</f>
        <v>3009</v>
      </c>
      <c r="CM47" s="117">
        <f t="shared" si="188"/>
        <v>2821</v>
      </c>
      <c r="CN47" s="117">
        <f t="shared" si="188"/>
        <v>3515</v>
      </c>
      <c r="CO47" s="117">
        <f t="shared" si="188"/>
        <v>3403</v>
      </c>
      <c r="CP47" s="117">
        <f t="shared" si="188"/>
        <v>3660</v>
      </c>
      <c r="CQ47" s="117">
        <f t="shared" ref="CQ47:CT47" si="189">CQ43-CQ46</f>
        <v>3078</v>
      </c>
      <c r="CR47" s="117">
        <f t="shared" si="189"/>
        <v>3873</v>
      </c>
      <c r="CS47" s="117">
        <f t="shared" si="189"/>
        <v>4044</v>
      </c>
      <c r="CT47" s="117">
        <f t="shared" si="189"/>
        <v>4033</v>
      </c>
      <c r="CU47" s="117">
        <f t="shared" ref="CU47:CX47" si="190">CU43-CU46</f>
        <v>3548.1689999999999</v>
      </c>
      <c r="CV47" s="117">
        <f t="shared" si="190"/>
        <v>4099.3010000000004</v>
      </c>
      <c r="CW47" s="117">
        <f t="shared" si="190"/>
        <v>4259.4089999999987</v>
      </c>
      <c r="CX47" s="117">
        <f t="shared" si="190"/>
        <v>3981.4689999999991</v>
      </c>
      <c r="CY47" s="117"/>
      <c r="CZ47" s="72"/>
      <c r="DA47" s="67">
        <f t="shared" ref="DA47:DF47" si="191">DA43-DA46</f>
        <v>1509.4</v>
      </c>
      <c r="DB47" s="67">
        <f t="shared" si="191"/>
        <v>1720.1</v>
      </c>
      <c r="DC47" s="67">
        <f t="shared" si="191"/>
        <v>2110.6000000000004</v>
      </c>
      <c r="DD47" s="67">
        <f t="shared" si="191"/>
        <v>3519.5</v>
      </c>
      <c r="DE47" s="67">
        <f t="shared" si="191"/>
        <v>4276</v>
      </c>
      <c r="DF47" s="67">
        <f t="shared" si="191"/>
        <v>5300.9429999999993</v>
      </c>
      <c r="DG47" s="67">
        <f t="shared" ref="DG47:DM47" si="192">DG43-DG46</f>
        <v>5763</v>
      </c>
      <c r="DH47" s="67">
        <f t="shared" si="192"/>
        <v>6070</v>
      </c>
      <c r="DI47" s="67">
        <f>DI43-DI46</f>
        <v>6192</v>
      </c>
      <c r="DJ47" s="67">
        <f>DJ43-DJ46</f>
        <v>6088</v>
      </c>
      <c r="DK47" s="67">
        <f>DK43-DK46</f>
        <v>6150</v>
      </c>
      <c r="DL47" s="67">
        <f>DL43-DL46</f>
        <v>6643.1999999999989</v>
      </c>
      <c r="DM47" s="67">
        <f t="shared" si="192"/>
        <v>9125.550299999999</v>
      </c>
      <c r="DN47" s="67">
        <f t="shared" ref="DN47:DT47" si="193">DN43-DN46</f>
        <v>9642.9107839999979</v>
      </c>
      <c r="DO47" s="67">
        <f t="shared" si="193"/>
        <v>8961.1128665099986</v>
      </c>
      <c r="DP47" s="67">
        <f t="shared" si="193"/>
        <v>8259.453039465001</v>
      </c>
      <c r="DQ47" s="67">
        <f t="shared" si="193"/>
        <v>8068.4130573056245</v>
      </c>
      <c r="DR47" s="67">
        <f t="shared" si="193"/>
        <v>-2445.9105190584373</v>
      </c>
      <c r="DS47" s="67">
        <f t="shared" si="193"/>
        <v>0</v>
      </c>
      <c r="DT47" s="67">
        <f t="shared" si="193"/>
        <v>0</v>
      </c>
      <c r="DU47" s="67">
        <f t="shared" ref="DU47:DV47" si="194">DU43-DU46</f>
        <v>12334</v>
      </c>
      <c r="DV47" s="67">
        <f t="shared" si="194"/>
        <v>12424</v>
      </c>
      <c r="DW47" s="67">
        <f t="shared" ref="DW47" si="195">DW43-DW46</f>
        <v>12761</v>
      </c>
      <c r="DX47" s="67">
        <f>DX43-DX46</f>
        <v>13399</v>
      </c>
      <c r="DY47" s="67">
        <f t="shared" ref="DY47:EJ47" si="196">DY43-DY46</f>
        <v>15750.399999999998</v>
      </c>
      <c r="DZ47" s="67">
        <f t="shared" si="196"/>
        <v>16576.259999999998</v>
      </c>
      <c r="EA47" s="67">
        <f t="shared" si="196"/>
        <v>22133.105499999998</v>
      </c>
      <c r="EB47" s="67">
        <f t="shared" si="196"/>
        <v>22478.408665000003</v>
      </c>
      <c r="EC47" s="67">
        <f t="shared" si="196"/>
        <v>22579.679748150003</v>
      </c>
      <c r="ED47" s="67">
        <f t="shared" si="196"/>
        <v>22722.914862781501</v>
      </c>
      <c r="EE47" s="67">
        <f t="shared" si="196"/>
        <v>23054.293953266319</v>
      </c>
      <c r="EF47" s="67">
        <f t="shared" si="196"/>
        <v>23638.076740679317</v>
      </c>
      <c r="EG47" s="67">
        <f t="shared" si="196"/>
        <v>24221.233285433649</v>
      </c>
      <c r="EH47" s="67">
        <f t="shared" si="196"/>
        <v>25128.039174309066</v>
      </c>
      <c r="EI47" s="67">
        <f t="shared" si="196"/>
        <v>26263.094189666997</v>
      </c>
      <c r="EJ47" s="67">
        <f t="shared" si="196"/>
        <v>20767.494690367894</v>
      </c>
    </row>
    <row r="48" spans="2:140" s="15" customFormat="1">
      <c r="B48" s="15" t="s">
        <v>448</v>
      </c>
      <c r="C48" s="67">
        <v>36.700000000000003</v>
      </c>
      <c r="D48" s="67">
        <v>32.799999999999997</v>
      </c>
      <c r="E48" s="67">
        <v>12.1</v>
      </c>
      <c r="F48" s="67"/>
      <c r="G48" s="67">
        <v>36.700000000000003</v>
      </c>
      <c r="H48" s="67">
        <v>32.799999999999997</v>
      </c>
      <c r="I48" s="67">
        <v>12.1</v>
      </c>
      <c r="J48" s="67">
        <v>18.399999999999999</v>
      </c>
      <c r="K48" s="67">
        <v>25.9</v>
      </c>
      <c r="L48" s="67">
        <v>31.6</v>
      </c>
      <c r="M48" s="67">
        <v>9.4</v>
      </c>
      <c r="N48" s="67">
        <v>15</v>
      </c>
      <c r="O48" s="67">
        <v>21.1</v>
      </c>
      <c r="P48" s="67">
        <v>10.1</v>
      </c>
      <c r="Q48" s="67">
        <v>15</v>
      </c>
      <c r="R48" s="67">
        <v>7</v>
      </c>
      <c r="S48" s="67">
        <v>10</v>
      </c>
      <c r="T48" s="67">
        <v>-14</v>
      </c>
      <c r="U48" s="67">
        <v>14</v>
      </c>
      <c r="V48" s="67">
        <v>10</v>
      </c>
      <c r="W48" s="67">
        <v>80</v>
      </c>
      <c r="X48" s="67">
        <v>21</v>
      </c>
      <c r="Y48" s="67">
        <v>39</v>
      </c>
      <c r="Z48" s="67">
        <v>40</v>
      </c>
      <c r="AA48" s="67">
        <v>45</v>
      </c>
      <c r="AB48" s="67">
        <v>7</v>
      </c>
      <c r="AC48" s="67">
        <v>-21</v>
      </c>
      <c r="AD48" s="67">
        <v>1</v>
      </c>
      <c r="AE48" s="67">
        <v>22</v>
      </c>
      <c r="AF48" s="67">
        <v>9</v>
      </c>
      <c r="AG48" s="67">
        <v>-3</v>
      </c>
      <c r="AH48" s="67">
        <v>18</v>
      </c>
      <c r="AI48" s="67">
        <v>-28</v>
      </c>
      <c r="AJ48" s="67">
        <f>-88+50</f>
        <v>-38</v>
      </c>
      <c r="AK48" s="67">
        <f>-76+74</f>
        <v>-2</v>
      </c>
      <c r="AL48" s="67">
        <f>-78+94</f>
        <v>16</v>
      </c>
      <c r="AM48" s="67">
        <f>-80+84</f>
        <v>4</v>
      </c>
      <c r="AN48" s="67">
        <f>-81+94</f>
        <v>13</v>
      </c>
      <c r="AO48" s="67">
        <f>-83+105</f>
        <v>22</v>
      </c>
      <c r="AP48" s="67">
        <v>-1</v>
      </c>
      <c r="AQ48" s="67">
        <f>148-91</f>
        <v>57</v>
      </c>
      <c r="AR48" s="67">
        <f>-90+129</f>
        <v>39</v>
      </c>
      <c r="AS48" s="67">
        <v>0</v>
      </c>
      <c r="AT48" s="67">
        <v>0</v>
      </c>
      <c r="AU48" s="67"/>
      <c r="AV48" s="67">
        <f>-79-256+124</f>
        <v>-211</v>
      </c>
      <c r="AW48" s="67"/>
      <c r="AX48" s="67"/>
      <c r="AY48" s="67"/>
      <c r="AZ48" s="67"/>
      <c r="BA48" s="67"/>
      <c r="BB48" s="67"/>
      <c r="BC48" s="67"/>
      <c r="BD48" s="67">
        <f>-282+138</f>
        <v>-144</v>
      </c>
      <c r="BE48" s="67"/>
      <c r="BF48" s="67"/>
      <c r="BG48" s="67"/>
      <c r="BH48" s="67"/>
      <c r="BI48" s="67"/>
      <c r="BJ48" s="67"/>
      <c r="BK48" s="67"/>
      <c r="BL48" s="67"/>
      <c r="BM48" s="67"/>
      <c r="BN48" s="67"/>
      <c r="BO48" s="67">
        <f>-326+195</f>
        <v>-131</v>
      </c>
      <c r="BP48" s="67"/>
      <c r="BQ48" s="67"/>
      <c r="BR48" s="67"/>
      <c r="BS48" s="67">
        <f>-338+231</f>
        <v>-107</v>
      </c>
      <c r="BT48" s="67"/>
      <c r="BU48" s="67"/>
      <c r="BV48" s="67">
        <f>-352+155</f>
        <v>-197</v>
      </c>
      <c r="BW48" s="67">
        <f>-343+185</f>
        <v>-158</v>
      </c>
      <c r="BX48" s="67">
        <f>-332-218</f>
        <v>-550</v>
      </c>
      <c r="BY48" s="67"/>
      <c r="BZ48" s="67">
        <f>-301+236</f>
        <v>-65</v>
      </c>
      <c r="CA48" s="67">
        <f>-346+11</f>
        <v>-335</v>
      </c>
      <c r="CB48" s="67">
        <v>-293</v>
      </c>
      <c r="CC48" s="67">
        <v>-302</v>
      </c>
      <c r="CD48" s="67">
        <v>-318</v>
      </c>
      <c r="CE48" s="67">
        <v>-285</v>
      </c>
      <c r="CF48" s="67">
        <f>-281+54</f>
        <v>-227</v>
      </c>
      <c r="CG48" s="67">
        <v>-296</v>
      </c>
      <c r="CH48" s="67">
        <v>-335</v>
      </c>
      <c r="CI48" s="117">
        <v>-295</v>
      </c>
      <c r="CJ48" s="117">
        <f>-328-82</f>
        <v>-410</v>
      </c>
      <c r="CK48" s="117">
        <f>-368+100</f>
        <v>-268</v>
      </c>
      <c r="CL48" s="117">
        <f>34-415-67-10</f>
        <v>-458</v>
      </c>
      <c r="CM48" s="117">
        <f>-148-420+205</f>
        <v>-363</v>
      </c>
      <c r="CN48" s="117">
        <f>-419+82</f>
        <v>-337</v>
      </c>
      <c r="CO48" s="117">
        <f>-427+202</f>
        <v>-225</v>
      </c>
      <c r="CP48" s="117">
        <f>-802+167</f>
        <v>-635</v>
      </c>
      <c r="CQ48" s="117">
        <f>-105-824+275</f>
        <v>-654</v>
      </c>
      <c r="CR48" s="117">
        <f>11-808</f>
        <v>-797</v>
      </c>
      <c r="CS48" s="117">
        <v>-776</v>
      </c>
      <c r="CT48" s="117">
        <f>-747-61+93</f>
        <v>-715</v>
      </c>
      <c r="CU48" s="117">
        <f>+CQ48</f>
        <v>-654</v>
      </c>
      <c r="CV48" s="117">
        <f t="shared" ref="CV48:CX48" si="197">+CR48</f>
        <v>-797</v>
      </c>
      <c r="CW48" s="117">
        <f t="shared" si="197"/>
        <v>-776</v>
      </c>
      <c r="CX48" s="117">
        <f t="shared" si="197"/>
        <v>-715</v>
      </c>
      <c r="CY48" s="117"/>
      <c r="CZ48" s="72"/>
      <c r="DA48" s="72"/>
      <c r="DB48" s="72"/>
      <c r="DC48" s="72"/>
      <c r="DD48" s="67">
        <v>82</v>
      </c>
      <c r="DE48" s="67">
        <f>SUM(O48:R48)</f>
        <v>53.2</v>
      </c>
      <c r="DF48" s="67">
        <f>SUM(S48:V48)</f>
        <v>20</v>
      </c>
      <c r="DG48" s="67">
        <v>180</v>
      </c>
      <c r="DH48" s="67">
        <v>150</v>
      </c>
      <c r="DI48" s="67">
        <f>SUM(AE48:AH48)</f>
        <v>46</v>
      </c>
      <c r="DJ48" s="67">
        <f>DI78*0.08</f>
        <v>-23.6</v>
      </c>
      <c r="DK48" s="67">
        <f>SUM(AM48:AP48)</f>
        <v>38</v>
      </c>
      <c r="DL48" s="67">
        <v>0</v>
      </c>
      <c r="DM48" s="67">
        <f t="shared" ref="DM48:DR48" si="198">DL78*$EM$54</f>
        <v>147.76685999999998</v>
      </c>
      <c r="DN48" s="67">
        <f t="shared" si="198"/>
        <v>221.02606556399996</v>
      </c>
      <c r="DO48" s="67">
        <f t="shared" si="198"/>
        <v>298.9511666755555</v>
      </c>
      <c r="DP48" s="67">
        <f t="shared" si="198"/>
        <v>372.10567253772143</v>
      </c>
      <c r="DQ48" s="67">
        <f t="shared" si="198"/>
        <v>440.29498636254294</v>
      </c>
      <c r="DR48" s="67">
        <f t="shared" si="198"/>
        <v>507.5137799075215</v>
      </c>
      <c r="DS48" s="67"/>
      <c r="DT48" s="67"/>
      <c r="DU48" s="67">
        <v>-1262</v>
      </c>
      <c r="DV48" s="67">
        <v>-1197</v>
      </c>
      <c r="DW48" s="67">
        <f t="shared" ref="DW48:DW50" si="199">SUM(CI48:CL48)</f>
        <v>-1431</v>
      </c>
      <c r="DX48" s="67">
        <f t="shared" ref="DX48:DX50" si="200">SUM(CM48:CP48)</f>
        <v>-1560</v>
      </c>
      <c r="DY48" s="67">
        <f t="shared" ref="DY48" si="201">SUM(CQ48:CT48)</f>
        <v>-2942</v>
      </c>
      <c r="DZ48" s="67">
        <f t="shared" ref="DZ48" si="202">SUM(CU48:CX48)</f>
        <v>-2942</v>
      </c>
      <c r="EA48" s="67">
        <f>+DZ78*$EM$54</f>
        <v>0</v>
      </c>
      <c r="EB48" s="67">
        <f t="shared" ref="EB48:EJ48" si="203">+EA78*$EM$54</f>
        <v>177.06484399999997</v>
      </c>
      <c r="EC48" s="67">
        <f t="shared" si="203"/>
        <v>358.30863207200002</v>
      </c>
      <c r="ED48" s="67">
        <f t="shared" si="203"/>
        <v>541.8125391137761</v>
      </c>
      <c r="EE48" s="67">
        <f t="shared" si="203"/>
        <v>727.93035832893827</v>
      </c>
      <c r="EF48" s="67">
        <f t="shared" si="203"/>
        <v>918.18815282170033</v>
      </c>
      <c r="EG48" s="67">
        <f t="shared" si="203"/>
        <v>1114.6382719697085</v>
      </c>
      <c r="EH48" s="67">
        <f t="shared" si="203"/>
        <v>1317.3252444289353</v>
      </c>
      <c r="EI48" s="67">
        <f t="shared" si="203"/>
        <v>1528.8881597788393</v>
      </c>
      <c r="EJ48" s="67">
        <f t="shared" si="203"/>
        <v>1751.224018574406</v>
      </c>
    </row>
    <row r="49" spans="2:210" s="15" customFormat="1">
      <c r="B49" s="15" t="s">
        <v>102</v>
      </c>
      <c r="C49" s="67">
        <f>C47+C48</f>
        <v>383.7999999999999</v>
      </c>
      <c r="D49" s="67">
        <f>D47+D48</f>
        <v>353.8</v>
      </c>
      <c r="E49" s="67">
        <f>SUM(E47:E48)</f>
        <v>337.1</v>
      </c>
      <c r="F49" s="67"/>
      <c r="G49" s="67">
        <f>G47+G48+1.7</f>
        <v>495.80000000000007</v>
      </c>
      <c r="H49" s="67">
        <f>SUM(H47:H48)+5.3</f>
        <v>602.69999999999993</v>
      </c>
      <c r="I49" s="67">
        <f t="shared" ref="I49:Z49" si="204">SUM(I47:I48)</f>
        <v>633.09999999999991</v>
      </c>
      <c r="J49" s="67">
        <f t="shared" si="204"/>
        <v>683.60000000000025</v>
      </c>
      <c r="K49" s="67">
        <f>K47+K48+5.2</f>
        <v>796.70000000000016</v>
      </c>
      <c r="L49" s="67">
        <f>SUM(L47:L48)+5.3</f>
        <v>931.69999999999982</v>
      </c>
      <c r="M49" s="67">
        <f t="shared" si="204"/>
        <v>1013.1999999999997</v>
      </c>
      <c r="N49" s="67">
        <f t="shared" si="204"/>
        <v>871.5</v>
      </c>
      <c r="O49" s="67">
        <f>SUM(O47:O48)+5.3</f>
        <v>1051.8999999999994</v>
      </c>
      <c r="P49" s="67">
        <f>SUM(P47:P48)+5.3</f>
        <v>1117.8999999999999</v>
      </c>
      <c r="Q49" s="67">
        <f t="shared" si="204"/>
        <v>1151</v>
      </c>
      <c r="R49" s="67">
        <f t="shared" si="204"/>
        <v>1019</v>
      </c>
      <c r="S49" s="67">
        <f t="shared" si="204"/>
        <v>1256</v>
      </c>
      <c r="T49" s="67">
        <f t="shared" si="204"/>
        <v>1418</v>
      </c>
      <c r="U49" s="67">
        <f t="shared" si="204"/>
        <v>1448</v>
      </c>
      <c r="V49" s="67">
        <f t="shared" si="204"/>
        <v>1199</v>
      </c>
      <c r="W49" s="67">
        <f t="shared" si="204"/>
        <v>1469</v>
      </c>
      <c r="X49" s="67">
        <f t="shared" si="204"/>
        <v>1605</v>
      </c>
      <c r="Y49" s="67">
        <f t="shared" si="204"/>
        <v>1549</v>
      </c>
      <c r="Z49" s="67">
        <f t="shared" si="204"/>
        <v>1320</v>
      </c>
      <c r="AA49" s="67">
        <f t="shared" ref="AA49:AJ49" si="205">SUM(AA47:AA48)</f>
        <v>1622</v>
      </c>
      <c r="AB49" s="67">
        <f t="shared" si="205"/>
        <v>1572</v>
      </c>
      <c r="AC49" s="67">
        <f t="shared" si="205"/>
        <v>1502</v>
      </c>
      <c r="AD49" s="67">
        <f t="shared" si="205"/>
        <v>1406</v>
      </c>
      <c r="AE49" s="67">
        <f t="shared" si="205"/>
        <v>1570</v>
      </c>
      <c r="AF49" s="67">
        <f t="shared" si="205"/>
        <v>1588</v>
      </c>
      <c r="AG49" s="67">
        <f t="shared" si="205"/>
        <v>1692</v>
      </c>
      <c r="AH49" s="67">
        <f t="shared" si="205"/>
        <v>1388</v>
      </c>
      <c r="AI49" s="67">
        <f t="shared" si="205"/>
        <v>1427</v>
      </c>
      <c r="AJ49" s="67">
        <f t="shared" si="205"/>
        <v>1600</v>
      </c>
      <c r="AK49" s="67">
        <f t="shared" ref="AK49:AT49" si="206">SUM(AK47:AK48)</f>
        <v>1742</v>
      </c>
      <c r="AL49" s="67">
        <f t="shared" si="206"/>
        <v>1267</v>
      </c>
      <c r="AM49" s="67">
        <f t="shared" si="206"/>
        <v>1602</v>
      </c>
      <c r="AN49" s="67">
        <f t="shared" si="206"/>
        <v>1658</v>
      </c>
      <c r="AO49" s="67">
        <f t="shared" si="206"/>
        <v>1623</v>
      </c>
      <c r="AP49" s="67">
        <f t="shared" si="206"/>
        <v>1305</v>
      </c>
      <c r="AQ49" s="67">
        <f t="shared" si="206"/>
        <v>1509</v>
      </c>
      <c r="AR49" s="67">
        <f t="shared" si="206"/>
        <v>1510</v>
      </c>
      <c r="AS49" s="67">
        <f t="shared" si="206"/>
        <v>2340.02</v>
      </c>
      <c r="AT49" s="67">
        <f t="shared" si="206"/>
        <v>1284.08</v>
      </c>
      <c r="AU49" s="67"/>
      <c r="AV49" s="67">
        <f>SUM(AV47:AV48)</f>
        <v>1530</v>
      </c>
      <c r="AW49" s="67"/>
      <c r="AX49" s="67"/>
      <c r="AY49" s="67"/>
      <c r="AZ49" s="67"/>
      <c r="BA49" s="67"/>
      <c r="BB49" s="67"/>
      <c r="BC49" s="67"/>
      <c r="BD49" s="67">
        <f>+BD48+BD47</f>
        <v>2175</v>
      </c>
      <c r="BE49" s="67"/>
      <c r="BF49" s="67"/>
      <c r="BG49" s="67"/>
      <c r="BH49" s="67"/>
      <c r="BI49" s="67"/>
      <c r="BJ49" s="67"/>
      <c r="BK49" s="67"/>
      <c r="BL49" s="67"/>
      <c r="BM49" s="67"/>
      <c r="BN49" s="67"/>
      <c r="BO49" s="67">
        <f>+BO47+BO48</f>
        <v>2504</v>
      </c>
      <c r="BP49" s="67"/>
      <c r="BQ49" s="67"/>
      <c r="BR49" s="67"/>
      <c r="BS49" s="67">
        <f>+BS47+BS48</f>
        <v>2616</v>
      </c>
      <c r="BT49" s="67"/>
      <c r="BU49" s="67"/>
      <c r="BV49" s="67">
        <f>+BV47+BV48</f>
        <v>2520</v>
      </c>
      <c r="BW49" s="67">
        <f t="shared" ref="BW49:CE49" si="207">BW47+BW48</f>
        <v>2612</v>
      </c>
      <c r="BX49" s="67">
        <f t="shared" si="207"/>
        <v>2423</v>
      </c>
      <c r="BY49" s="67">
        <f t="shared" si="207"/>
        <v>5737</v>
      </c>
      <c r="BZ49" s="67">
        <f t="shared" si="207"/>
        <v>2556</v>
      </c>
      <c r="CA49" s="67">
        <f t="shared" si="207"/>
        <v>2841</v>
      </c>
      <c r="CB49" s="67">
        <f t="shared" si="207"/>
        <v>2954</v>
      </c>
      <c r="CC49" s="67">
        <f t="shared" si="207"/>
        <v>2881</v>
      </c>
      <c r="CD49" s="67">
        <f t="shared" si="207"/>
        <v>2410</v>
      </c>
      <c r="CE49" s="67">
        <f t="shared" si="207"/>
        <v>2579</v>
      </c>
      <c r="CF49" s="67">
        <f t="shared" ref="CF49:CX49" si="208">CF47+CF48</f>
        <v>2884</v>
      </c>
      <c r="CG49" s="67">
        <f t="shared" si="208"/>
        <v>3156</v>
      </c>
      <c r="CH49" s="67">
        <f t="shared" si="208"/>
        <v>2662</v>
      </c>
      <c r="CI49" s="117">
        <f t="shared" si="208"/>
        <v>2845</v>
      </c>
      <c r="CJ49" s="117">
        <f t="shared" si="208"/>
        <v>2925</v>
      </c>
      <c r="CK49" s="117">
        <f t="shared" si="208"/>
        <v>3009</v>
      </c>
      <c r="CL49" s="117">
        <f t="shared" si="208"/>
        <v>2551</v>
      </c>
      <c r="CM49" s="117">
        <f t="shared" si="208"/>
        <v>2458</v>
      </c>
      <c r="CN49" s="117">
        <f t="shared" si="208"/>
        <v>3178</v>
      </c>
      <c r="CO49" s="117">
        <f t="shared" si="208"/>
        <v>3178</v>
      </c>
      <c r="CP49" s="117">
        <f t="shared" si="208"/>
        <v>3025</v>
      </c>
      <c r="CQ49" s="117">
        <f t="shared" si="208"/>
        <v>2424</v>
      </c>
      <c r="CR49" s="117">
        <f t="shared" si="208"/>
        <v>3076</v>
      </c>
      <c r="CS49" s="117">
        <f t="shared" si="208"/>
        <v>3268</v>
      </c>
      <c r="CT49" s="117">
        <f t="shared" si="208"/>
        <v>3318</v>
      </c>
      <c r="CU49" s="117">
        <f t="shared" si="208"/>
        <v>2894.1689999999999</v>
      </c>
      <c r="CV49" s="117">
        <f t="shared" si="208"/>
        <v>3302.3010000000004</v>
      </c>
      <c r="CW49" s="117">
        <f t="shared" si="208"/>
        <v>3483.4089999999987</v>
      </c>
      <c r="CX49" s="117">
        <f t="shared" si="208"/>
        <v>3266.4689999999991</v>
      </c>
      <c r="CY49" s="117"/>
      <c r="CZ49" s="72"/>
      <c r="DA49" s="72"/>
      <c r="DB49" s="72"/>
      <c r="DC49" s="72"/>
      <c r="DD49" s="67">
        <f>DD47+DD48</f>
        <v>3601.5</v>
      </c>
      <c r="DE49" s="67">
        <f>DE47+DE48</f>
        <v>4329.2</v>
      </c>
      <c r="DF49" s="67">
        <f>DF47+DF48</f>
        <v>5320.9429999999993</v>
      </c>
      <c r="DG49" s="67">
        <f>DG47+DG48</f>
        <v>5943</v>
      </c>
      <c r="DH49" s="67">
        <f>DH47+DH48</f>
        <v>6220</v>
      </c>
      <c r="DI49" s="67">
        <f t="shared" ref="DI49:DP49" si="209">DI47+DI48</f>
        <v>6238</v>
      </c>
      <c r="DJ49" s="67">
        <f t="shared" si="209"/>
        <v>6064.4</v>
      </c>
      <c r="DK49" s="67">
        <f t="shared" si="209"/>
        <v>6188</v>
      </c>
      <c r="DL49" s="67">
        <f t="shared" si="209"/>
        <v>6643.1999999999989</v>
      </c>
      <c r="DM49" s="67">
        <f t="shared" si="209"/>
        <v>9273.3171599999987</v>
      </c>
      <c r="DN49" s="67">
        <f t="shared" si="209"/>
        <v>9863.9368495639974</v>
      </c>
      <c r="DO49" s="67">
        <f t="shared" si="209"/>
        <v>9260.0640331855539</v>
      </c>
      <c r="DP49" s="67">
        <f t="shared" si="209"/>
        <v>8631.558712002723</v>
      </c>
      <c r="DQ49" s="67">
        <f>DQ47+DQ48</f>
        <v>8508.7080436681681</v>
      </c>
      <c r="DR49" s="67">
        <f>DR47+DR48</f>
        <v>-1938.3967391509159</v>
      </c>
      <c r="DS49" s="67">
        <f>DS47+DS48</f>
        <v>0</v>
      </c>
      <c r="DT49" s="67">
        <f>DT47+DT48</f>
        <v>0</v>
      </c>
      <c r="DU49" s="67">
        <f t="shared" ref="DU49:EJ49" si="210">DU47+DU48</f>
        <v>11072</v>
      </c>
      <c r="DV49" s="67">
        <f t="shared" si="210"/>
        <v>11227</v>
      </c>
      <c r="DW49" s="67">
        <f t="shared" si="210"/>
        <v>11330</v>
      </c>
      <c r="DX49" s="67">
        <f>DX47+DX48</f>
        <v>11839</v>
      </c>
      <c r="DY49" s="67">
        <f t="shared" si="210"/>
        <v>12808.399999999998</v>
      </c>
      <c r="DZ49" s="67">
        <f t="shared" si="210"/>
        <v>13634.259999999998</v>
      </c>
      <c r="EA49" s="67">
        <f t="shared" si="210"/>
        <v>22133.105499999998</v>
      </c>
      <c r="EB49" s="67">
        <f t="shared" si="210"/>
        <v>22655.473509000003</v>
      </c>
      <c r="EC49" s="67">
        <f t="shared" si="210"/>
        <v>22937.988380222003</v>
      </c>
      <c r="ED49" s="67">
        <f t="shared" si="210"/>
        <v>23264.727401895278</v>
      </c>
      <c r="EE49" s="67">
        <f t="shared" si="210"/>
        <v>23782.224311595255</v>
      </c>
      <c r="EF49" s="67">
        <f t="shared" si="210"/>
        <v>24556.264893501018</v>
      </c>
      <c r="EG49" s="67">
        <f t="shared" si="210"/>
        <v>25335.871557403356</v>
      </c>
      <c r="EH49" s="67">
        <f t="shared" si="210"/>
        <v>26445.364418738001</v>
      </c>
      <c r="EI49" s="67">
        <f t="shared" si="210"/>
        <v>27791.982349445836</v>
      </c>
      <c r="EJ49" s="67">
        <f t="shared" si="210"/>
        <v>22518.718708942299</v>
      </c>
    </row>
    <row r="50" spans="2:210" s="15" customFormat="1">
      <c r="B50" s="15" t="s">
        <v>103</v>
      </c>
      <c r="C50" s="67">
        <v>153.19999999999999</v>
      </c>
      <c r="D50" s="67">
        <v>185.2</v>
      </c>
      <c r="E50" s="67">
        <v>196.3</v>
      </c>
      <c r="F50" s="67"/>
      <c r="G50" s="67">
        <v>153.19999999999999</v>
      </c>
      <c r="H50" s="67">
        <v>185.2</v>
      </c>
      <c r="I50" s="67">
        <v>196.3</v>
      </c>
      <c r="J50" s="67">
        <v>211.9</v>
      </c>
      <c r="K50" s="67">
        <v>233.5</v>
      </c>
      <c r="L50" s="67">
        <v>273.3</v>
      </c>
      <c r="M50" s="67">
        <v>298.89999999999998</v>
      </c>
      <c r="N50" s="67">
        <v>256.7</v>
      </c>
      <c r="O50" s="67">
        <v>295</v>
      </c>
      <c r="P50" s="67">
        <v>304</v>
      </c>
      <c r="Q50" s="67">
        <v>312.2</v>
      </c>
      <c r="R50" s="67">
        <v>263.8</v>
      </c>
      <c r="S50" s="67">
        <v>332</v>
      </c>
      <c r="T50" s="67">
        <v>314</v>
      </c>
      <c r="U50" s="67">
        <v>381</v>
      </c>
      <c r="V50" s="67">
        <v>271</v>
      </c>
      <c r="W50" s="67">
        <v>368</v>
      </c>
      <c r="X50" s="67">
        <v>370</v>
      </c>
      <c r="Y50" s="67">
        <v>325</v>
      </c>
      <c r="Z50" s="67">
        <v>260</v>
      </c>
      <c r="AA50" s="67">
        <v>352</v>
      </c>
      <c r="AB50" s="67">
        <v>307</v>
      </c>
      <c r="AC50" s="67">
        <v>321</v>
      </c>
      <c r="AD50" s="67">
        <v>318</v>
      </c>
      <c r="AE50" s="67">
        <v>352</v>
      </c>
      <c r="AF50" s="67">
        <v>353</v>
      </c>
      <c r="AG50" s="67">
        <v>384</v>
      </c>
      <c r="AH50" s="67">
        <v>264</v>
      </c>
      <c r="AI50" s="67">
        <v>307</v>
      </c>
      <c r="AJ50" s="67">
        <v>289</v>
      </c>
      <c r="AK50" s="67">
        <v>224</v>
      </c>
      <c r="AL50" s="67">
        <v>202</v>
      </c>
      <c r="AM50" s="67">
        <v>320</v>
      </c>
      <c r="AN50" s="67">
        <v>332</v>
      </c>
      <c r="AO50" s="67">
        <v>310</v>
      </c>
      <c r="AP50" s="67">
        <v>202</v>
      </c>
      <c r="AQ50" s="67">
        <v>251</v>
      </c>
      <c r="AR50" s="67">
        <v>229</v>
      </c>
      <c r="AS50" s="67">
        <f>+AS49*0.2</f>
        <v>468.00400000000002</v>
      </c>
      <c r="AT50" s="67">
        <f>+AT49*0.2</f>
        <v>256.81599999999997</v>
      </c>
      <c r="AU50" s="67"/>
      <c r="AV50" s="67">
        <v>191</v>
      </c>
      <c r="AW50" s="67"/>
      <c r="AX50" s="67"/>
      <c r="AY50" s="67"/>
      <c r="AZ50" s="67"/>
      <c r="BA50" s="67"/>
      <c r="BB50" s="67"/>
      <c r="BC50" s="67"/>
      <c r="BD50" s="67">
        <v>352</v>
      </c>
      <c r="BE50" s="67"/>
      <c r="BF50" s="67"/>
      <c r="BG50" s="67"/>
      <c r="BH50" s="67"/>
      <c r="BI50" s="67"/>
      <c r="BJ50" s="67"/>
      <c r="BK50" s="67"/>
      <c r="BL50" s="67"/>
      <c r="BM50" s="67"/>
      <c r="BN50" s="67"/>
      <c r="BO50" s="67">
        <v>389</v>
      </c>
      <c r="BP50" s="67"/>
      <c r="BQ50" s="67"/>
      <c r="BR50" s="67"/>
      <c r="BS50" s="67">
        <v>308</v>
      </c>
      <c r="BT50" s="67"/>
      <c r="BU50" s="67"/>
      <c r="BV50" s="67">
        <v>257</v>
      </c>
      <c r="BW50" s="67">
        <v>382</v>
      </c>
      <c r="BX50" s="67">
        <v>385</v>
      </c>
      <c r="BY50" s="67"/>
      <c r="BZ50" s="67">
        <v>280</v>
      </c>
      <c r="CA50" s="67">
        <v>365</v>
      </c>
      <c r="CB50" s="67">
        <v>227</v>
      </c>
      <c r="CC50" s="67">
        <v>185</v>
      </c>
      <c r="CD50" s="67">
        <v>262</v>
      </c>
      <c r="CE50" s="67">
        <v>211</v>
      </c>
      <c r="CF50" s="67">
        <v>362</v>
      </c>
      <c r="CG50" s="67">
        <v>271</v>
      </c>
      <c r="CH50" s="67">
        <v>232</v>
      </c>
      <c r="CI50" s="117">
        <v>199</v>
      </c>
      <c r="CJ50" s="117">
        <v>430</v>
      </c>
      <c r="CK50" s="117">
        <v>249</v>
      </c>
      <c r="CL50" s="117">
        <v>340</v>
      </c>
      <c r="CM50" s="117">
        <v>465</v>
      </c>
      <c r="CN50" s="117">
        <v>525</v>
      </c>
      <c r="CO50" s="117">
        <v>511</v>
      </c>
      <c r="CP50" s="117">
        <v>482</v>
      </c>
      <c r="CQ50" s="117">
        <v>389</v>
      </c>
      <c r="CR50" s="117">
        <v>472</v>
      </c>
      <c r="CS50" s="117">
        <v>271</v>
      </c>
      <c r="CT50" s="118">
        <f>155+345</f>
        <v>500</v>
      </c>
      <c r="CU50" s="117">
        <f>+CU49*0.1</f>
        <v>289.4169</v>
      </c>
      <c r="CV50" s="117">
        <f t="shared" ref="CV50:CX50" si="211">+CV49*0.1</f>
        <v>330.23010000000005</v>
      </c>
      <c r="CW50" s="117">
        <f t="shared" si="211"/>
        <v>348.34089999999992</v>
      </c>
      <c r="CX50" s="117">
        <f t="shared" si="211"/>
        <v>326.64689999999996</v>
      </c>
      <c r="CY50" s="117"/>
      <c r="CZ50" s="72"/>
      <c r="DA50" s="72"/>
      <c r="DB50" s="72"/>
      <c r="DC50" s="72"/>
      <c r="DD50" s="67">
        <v>1063</v>
      </c>
      <c r="DE50" s="67">
        <f>SUM(O50:R50)</f>
        <v>1175</v>
      </c>
      <c r="DF50" s="67">
        <f>SUM(S50:V50)</f>
        <v>1298</v>
      </c>
      <c r="DG50" s="67">
        <f>SUM(W50:Z50)</f>
        <v>1323</v>
      </c>
      <c r="DH50" s="67">
        <f>DH49*DH60</f>
        <v>1368.4</v>
      </c>
      <c r="DI50" s="67">
        <f>SUM(AE50:AH50)</f>
        <v>1353</v>
      </c>
      <c r="DJ50" s="67">
        <f>DJ49*DJ60</f>
        <v>1364.49</v>
      </c>
      <c r="DK50" s="67">
        <f>SUM(AM50:AP50)</f>
        <v>1164</v>
      </c>
      <c r="DL50" s="67">
        <f t="shared" ref="DL50:DT50" si="212">DL49*DL60</f>
        <v>1295.4239999999998</v>
      </c>
      <c r="DM50" s="67">
        <f t="shared" si="212"/>
        <v>1947.3966035999997</v>
      </c>
      <c r="DN50" s="67">
        <f t="shared" si="212"/>
        <v>2071.4267384084392</v>
      </c>
      <c r="DO50" s="67">
        <f t="shared" si="212"/>
        <v>1944.6134469689662</v>
      </c>
      <c r="DP50" s="67">
        <f t="shared" si="212"/>
        <v>1812.6273295205717</v>
      </c>
      <c r="DQ50" s="67">
        <f t="shared" si="212"/>
        <v>1786.8286891703153</v>
      </c>
      <c r="DR50" s="67">
        <f t="shared" si="212"/>
        <v>-407.06331522169233</v>
      </c>
      <c r="DS50" s="67">
        <f t="shared" si="212"/>
        <v>0</v>
      </c>
      <c r="DT50" s="67">
        <f t="shared" si="212"/>
        <v>0</v>
      </c>
      <c r="DU50" s="67">
        <v>869</v>
      </c>
      <c r="DV50" s="67">
        <v>808</v>
      </c>
      <c r="DW50" s="67">
        <f t="shared" si="199"/>
        <v>1218</v>
      </c>
      <c r="DX50" s="67">
        <f t="shared" si="200"/>
        <v>1983</v>
      </c>
      <c r="DY50" s="67">
        <f t="shared" ref="DY50" si="213">SUM(CQ50:CT50)</f>
        <v>1632</v>
      </c>
      <c r="DZ50" s="67">
        <f t="shared" ref="DZ50" si="214">SUM(CU50:CX50)</f>
        <v>1294.6347999999998</v>
      </c>
      <c r="EA50" s="67">
        <f t="shared" ref="EA50:EJ50" si="215">+EA49*0.2</f>
        <v>4426.6210999999994</v>
      </c>
      <c r="EB50" s="67">
        <f t="shared" si="215"/>
        <v>4531.0947018000006</v>
      </c>
      <c r="EC50" s="67">
        <f t="shared" si="215"/>
        <v>4587.5976760444009</v>
      </c>
      <c r="ED50" s="67">
        <f t="shared" si="215"/>
        <v>4652.9454803790559</v>
      </c>
      <c r="EE50" s="67">
        <f t="shared" si="215"/>
        <v>4756.444862319051</v>
      </c>
      <c r="EF50" s="67">
        <f t="shared" si="215"/>
        <v>4911.252978700204</v>
      </c>
      <c r="EG50" s="67">
        <f t="shared" si="215"/>
        <v>5067.1743114806713</v>
      </c>
      <c r="EH50" s="67">
        <f t="shared" si="215"/>
        <v>5289.0728837476008</v>
      </c>
      <c r="EI50" s="67">
        <f t="shared" si="215"/>
        <v>5558.3964698891677</v>
      </c>
      <c r="EJ50" s="67">
        <f t="shared" si="215"/>
        <v>4503.7437417884603</v>
      </c>
    </row>
    <row r="51" spans="2:210" s="15" customFormat="1">
      <c r="B51" s="37" t="s">
        <v>1091</v>
      </c>
      <c r="C51" s="67">
        <f>C49-C50</f>
        <v>230.59999999999991</v>
      </c>
      <c r="D51" s="67">
        <f>D49-D50</f>
        <v>168.60000000000002</v>
      </c>
      <c r="E51" s="67">
        <f>E49-E50</f>
        <v>140.80000000000001</v>
      </c>
      <c r="F51" s="67"/>
      <c r="G51" s="67">
        <f t="shared" ref="G51:N51" si="216">G49-G50</f>
        <v>342.60000000000008</v>
      </c>
      <c r="H51" s="67">
        <f t="shared" si="216"/>
        <v>417.49999999999994</v>
      </c>
      <c r="I51" s="67">
        <f t="shared" si="216"/>
        <v>436.7999999999999</v>
      </c>
      <c r="J51" s="67">
        <f t="shared" si="216"/>
        <v>471.70000000000027</v>
      </c>
      <c r="K51" s="67">
        <f t="shared" si="216"/>
        <v>563.20000000000016</v>
      </c>
      <c r="L51" s="67">
        <f t="shared" si="216"/>
        <v>658.39999999999986</v>
      </c>
      <c r="M51" s="67">
        <f t="shared" si="216"/>
        <v>714.29999999999973</v>
      </c>
      <c r="N51" s="67">
        <f t="shared" si="216"/>
        <v>614.79999999999995</v>
      </c>
      <c r="O51" s="67">
        <f t="shared" ref="O51:V51" si="217">O49-O50</f>
        <v>756.89999999999941</v>
      </c>
      <c r="P51" s="67">
        <f t="shared" si="217"/>
        <v>813.89999999999986</v>
      </c>
      <c r="Q51" s="67">
        <f t="shared" si="217"/>
        <v>838.8</v>
      </c>
      <c r="R51" s="67">
        <f t="shared" si="217"/>
        <v>755.2</v>
      </c>
      <c r="S51" s="67">
        <f>S49-S50</f>
        <v>924</v>
      </c>
      <c r="T51" s="67">
        <f t="shared" si="217"/>
        <v>1104</v>
      </c>
      <c r="U51" s="67">
        <f t="shared" si="217"/>
        <v>1067</v>
      </c>
      <c r="V51" s="67">
        <f t="shared" si="217"/>
        <v>928</v>
      </c>
      <c r="W51" s="67">
        <f t="shared" ref="W51:AD51" si="218">W49-W50</f>
        <v>1101</v>
      </c>
      <c r="X51" s="67">
        <f t="shared" si="218"/>
        <v>1235</v>
      </c>
      <c r="Y51" s="67">
        <f t="shared" si="218"/>
        <v>1224</v>
      </c>
      <c r="Z51" s="67">
        <f t="shared" si="218"/>
        <v>1060</v>
      </c>
      <c r="AA51" s="67">
        <f t="shared" si="218"/>
        <v>1270</v>
      </c>
      <c r="AB51" s="67">
        <f t="shared" si="218"/>
        <v>1265</v>
      </c>
      <c r="AC51" s="67">
        <f t="shared" si="218"/>
        <v>1181</v>
      </c>
      <c r="AD51" s="67">
        <f t="shared" si="218"/>
        <v>1088</v>
      </c>
      <c r="AE51" s="67">
        <f t="shared" ref="AE51:AL51" si="219">AE49-AE50</f>
        <v>1218</v>
      </c>
      <c r="AF51" s="67">
        <f t="shared" si="219"/>
        <v>1235</v>
      </c>
      <c r="AG51" s="67">
        <f t="shared" si="219"/>
        <v>1308</v>
      </c>
      <c r="AH51" s="67">
        <f t="shared" si="219"/>
        <v>1124</v>
      </c>
      <c r="AI51" s="67">
        <f t="shared" si="219"/>
        <v>1120</v>
      </c>
      <c r="AJ51" s="67">
        <f t="shared" si="219"/>
        <v>1311</v>
      </c>
      <c r="AK51" s="67">
        <f t="shared" si="219"/>
        <v>1518</v>
      </c>
      <c r="AL51" s="67">
        <f t="shared" si="219"/>
        <v>1065</v>
      </c>
      <c r="AM51" s="67">
        <f t="shared" ref="AM51:AT51" si="220">AM49-AM50</f>
        <v>1282</v>
      </c>
      <c r="AN51" s="67">
        <f t="shared" si="220"/>
        <v>1326</v>
      </c>
      <c r="AO51" s="67">
        <f t="shared" si="220"/>
        <v>1313</v>
      </c>
      <c r="AP51" s="67">
        <f t="shared" si="220"/>
        <v>1103</v>
      </c>
      <c r="AQ51" s="67">
        <f t="shared" si="220"/>
        <v>1258</v>
      </c>
      <c r="AR51" s="67">
        <f t="shared" si="220"/>
        <v>1281</v>
      </c>
      <c r="AS51" s="67">
        <f>AS49-AS50</f>
        <v>1872.0160000000001</v>
      </c>
      <c r="AT51" s="67">
        <f t="shared" si="220"/>
        <v>1027.2639999999999</v>
      </c>
      <c r="AU51" s="67"/>
      <c r="AV51" s="67">
        <f>AV49-AV50</f>
        <v>1339</v>
      </c>
      <c r="AW51" s="67"/>
      <c r="AX51" s="67"/>
      <c r="AY51" s="67"/>
      <c r="AZ51" s="67"/>
      <c r="BA51" s="67"/>
      <c r="BB51" s="67"/>
      <c r="BC51" s="67"/>
      <c r="BD51" s="67">
        <f>+BD49-BD50</f>
        <v>1823</v>
      </c>
      <c r="BE51" s="67"/>
      <c r="BF51" s="67"/>
      <c r="BG51" s="67"/>
      <c r="BH51" s="67"/>
      <c r="BI51" s="67"/>
      <c r="BJ51" s="67"/>
      <c r="BK51" s="67"/>
      <c r="BL51" s="67"/>
      <c r="BM51" s="67"/>
      <c r="BN51" s="67"/>
      <c r="BO51" s="67">
        <f>+BO49-BO50</f>
        <v>2115</v>
      </c>
      <c r="BP51" s="67"/>
      <c r="BQ51" s="67"/>
      <c r="BR51" s="67"/>
      <c r="BS51" s="67">
        <f>+BS49-BS50</f>
        <v>2308</v>
      </c>
      <c r="BT51" s="67"/>
      <c r="BU51" s="67"/>
      <c r="BV51" s="67">
        <f>+BV49-BV50</f>
        <v>2263</v>
      </c>
      <c r="BW51" s="67">
        <f t="shared" ref="BW51:CB51" si="221">BW49-BW50</f>
        <v>2230</v>
      </c>
      <c r="BX51" s="67">
        <f t="shared" si="221"/>
        <v>2038</v>
      </c>
      <c r="BY51" s="67">
        <f t="shared" si="221"/>
        <v>5737</v>
      </c>
      <c r="BZ51" s="67">
        <f t="shared" si="221"/>
        <v>2276</v>
      </c>
      <c r="CA51" s="67">
        <f t="shared" si="221"/>
        <v>2476</v>
      </c>
      <c r="CB51" s="67">
        <f t="shared" si="221"/>
        <v>2727</v>
      </c>
      <c r="CC51" s="67">
        <f t="shared" ref="CC51:CD51" si="222">CC49-CC50</f>
        <v>2696</v>
      </c>
      <c r="CD51" s="67">
        <f t="shared" si="222"/>
        <v>2148</v>
      </c>
      <c r="CE51" s="67">
        <f>CE49-CE50</f>
        <v>2368</v>
      </c>
      <c r="CF51" s="67">
        <f t="shared" ref="CF51:CX51" si="223">CF49-CF50</f>
        <v>2522</v>
      </c>
      <c r="CG51" s="67">
        <f t="shared" si="223"/>
        <v>2885</v>
      </c>
      <c r="CH51" s="67">
        <f t="shared" si="223"/>
        <v>2430</v>
      </c>
      <c r="CI51" s="117">
        <f t="shared" si="223"/>
        <v>2646</v>
      </c>
      <c r="CJ51" s="117">
        <f t="shared" si="223"/>
        <v>2495</v>
      </c>
      <c r="CK51" s="117">
        <f t="shared" si="223"/>
        <v>2760</v>
      </c>
      <c r="CL51" s="117">
        <f t="shared" si="223"/>
        <v>2211</v>
      </c>
      <c r="CM51" s="117">
        <f t="shared" si="223"/>
        <v>1993</v>
      </c>
      <c r="CN51" s="117">
        <f t="shared" si="223"/>
        <v>2653</v>
      </c>
      <c r="CO51" s="117">
        <f t="shared" si="223"/>
        <v>2667</v>
      </c>
      <c r="CP51" s="117">
        <f t="shared" si="223"/>
        <v>2543</v>
      </c>
      <c r="CQ51" s="117">
        <f t="shared" si="223"/>
        <v>2035</v>
      </c>
      <c r="CR51" s="117">
        <f t="shared" si="223"/>
        <v>2604</v>
      </c>
      <c r="CS51" s="117">
        <f t="shared" si="223"/>
        <v>2997</v>
      </c>
      <c r="CT51" s="117">
        <f t="shared" si="223"/>
        <v>2818</v>
      </c>
      <c r="CU51" s="117">
        <f t="shared" si="223"/>
        <v>2604.7520999999997</v>
      </c>
      <c r="CV51" s="117">
        <f t="shared" si="223"/>
        <v>2972.0709000000002</v>
      </c>
      <c r="CW51" s="117">
        <f t="shared" si="223"/>
        <v>3135.0680999999986</v>
      </c>
      <c r="CX51" s="117">
        <f t="shared" si="223"/>
        <v>2939.8220999999994</v>
      </c>
      <c r="CY51" s="117"/>
      <c r="CZ51" s="72"/>
      <c r="DA51" s="72"/>
      <c r="DB51" s="72"/>
      <c r="DC51" s="72"/>
      <c r="DD51" s="67">
        <v>2560</v>
      </c>
      <c r="DE51" s="67">
        <v>3169</v>
      </c>
      <c r="DF51" s="67">
        <f t="shared" ref="DF51:DM51" si="224">DF49-DF50</f>
        <v>4022.9429999999993</v>
      </c>
      <c r="DG51" s="67">
        <f t="shared" si="224"/>
        <v>4620</v>
      </c>
      <c r="DH51" s="67">
        <f t="shared" si="224"/>
        <v>4851.6000000000004</v>
      </c>
      <c r="DI51" s="67">
        <f>DI49-DI50</f>
        <v>4885</v>
      </c>
      <c r="DJ51" s="67">
        <f>DJ49-DJ50</f>
        <v>4699.91</v>
      </c>
      <c r="DK51" s="67">
        <f>DK49-DK50</f>
        <v>5024</v>
      </c>
      <c r="DL51" s="67">
        <f>DL49-DL50</f>
        <v>5347.7759999999989</v>
      </c>
      <c r="DM51" s="67">
        <f t="shared" si="224"/>
        <v>7325.9205563999985</v>
      </c>
      <c r="DN51" s="67">
        <f t="shared" ref="DN51:DT51" si="225">DN49-DN50</f>
        <v>7792.5101111555578</v>
      </c>
      <c r="DO51" s="67">
        <f t="shared" si="225"/>
        <v>7315.4505862165879</v>
      </c>
      <c r="DP51" s="67">
        <f t="shared" si="225"/>
        <v>6818.9313824821511</v>
      </c>
      <c r="DQ51" s="67">
        <f t="shared" si="225"/>
        <v>6721.8793544978525</v>
      </c>
      <c r="DR51" s="67">
        <f t="shared" si="225"/>
        <v>-1531.3334239292235</v>
      </c>
      <c r="DS51" s="67">
        <f t="shared" si="225"/>
        <v>0</v>
      </c>
      <c r="DT51" s="67">
        <f t="shared" si="225"/>
        <v>0</v>
      </c>
      <c r="DU51" s="67">
        <f>DU49-DU50</f>
        <v>10203</v>
      </c>
      <c r="DV51" s="67">
        <f>DV49-DV50</f>
        <v>10419</v>
      </c>
      <c r="DW51" s="67">
        <f>DW49-DW50</f>
        <v>10112</v>
      </c>
      <c r="DX51" s="67">
        <f>DX49-DX50</f>
        <v>9856</v>
      </c>
      <c r="DY51" s="67">
        <f t="shared" ref="DY51:EJ51" si="226">DY49-DY50</f>
        <v>11176.399999999998</v>
      </c>
      <c r="DZ51" s="67">
        <f t="shared" si="226"/>
        <v>12339.625199999999</v>
      </c>
      <c r="EA51" s="67">
        <f t="shared" si="226"/>
        <v>17706.484399999998</v>
      </c>
      <c r="EB51" s="67">
        <f t="shared" si="226"/>
        <v>18124.378807200002</v>
      </c>
      <c r="EC51" s="67">
        <f t="shared" si="226"/>
        <v>18350.390704177604</v>
      </c>
      <c r="ED51" s="67">
        <f t="shared" si="226"/>
        <v>18611.781921516224</v>
      </c>
      <c r="EE51" s="67">
        <f t="shared" si="226"/>
        <v>19025.779449276204</v>
      </c>
      <c r="EF51" s="67">
        <f t="shared" si="226"/>
        <v>19645.011914800816</v>
      </c>
      <c r="EG51" s="67">
        <f t="shared" si="226"/>
        <v>20268.697245922685</v>
      </c>
      <c r="EH51" s="67">
        <f t="shared" si="226"/>
        <v>21156.2915349904</v>
      </c>
      <c r="EI51" s="67">
        <f t="shared" si="226"/>
        <v>22233.585879556667</v>
      </c>
      <c r="EJ51" s="67">
        <f t="shared" si="226"/>
        <v>18014.974967153837</v>
      </c>
      <c r="EK51" s="18">
        <f>+EJ51*(1+$EM$55)</f>
        <v>17654.675467810761</v>
      </c>
      <c r="EL51" s="18">
        <f t="shared" ref="EL51:GW51" si="227">+EK51*(1+$EM$55)</f>
        <v>17301.581958454546</v>
      </c>
      <c r="EM51" s="18">
        <f t="shared" si="227"/>
        <v>16955.550319285456</v>
      </c>
      <c r="EN51" s="18">
        <f t="shared" si="227"/>
        <v>16616.439312899747</v>
      </c>
      <c r="EO51" s="18">
        <f t="shared" si="227"/>
        <v>16284.110526641753</v>
      </c>
      <c r="EP51" s="18">
        <f t="shared" si="227"/>
        <v>15958.428316108917</v>
      </c>
      <c r="EQ51" s="18">
        <f t="shared" si="227"/>
        <v>15639.259749786739</v>
      </c>
      <c r="ER51" s="18">
        <f t="shared" si="227"/>
        <v>15326.474554791004</v>
      </c>
      <c r="ES51" s="18">
        <f t="shared" si="227"/>
        <v>15019.945063695184</v>
      </c>
      <c r="ET51" s="18">
        <f t="shared" si="227"/>
        <v>14719.54616242128</v>
      </c>
      <c r="EU51" s="18">
        <f t="shared" si="227"/>
        <v>14425.155239172855</v>
      </c>
      <c r="EV51" s="18">
        <f t="shared" si="227"/>
        <v>14136.652134389396</v>
      </c>
      <c r="EW51" s="18">
        <f t="shared" si="227"/>
        <v>13853.919091701608</v>
      </c>
      <c r="EX51" s="18">
        <f t="shared" si="227"/>
        <v>13576.840709867574</v>
      </c>
      <c r="EY51" s="18">
        <f t="shared" si="227"/>
        <v>13305.303895670222</v>
      </c>
      <c r="EZ51" s="18">
        <f t="shared" si="227"/>
        <v>13039.197817756818</v>
      </c>
      <c r="FA51" s="18">
        <f t="shared" si="227"/>
        <v>12778.413861401681</v>
      </c>
      <c r="FB51" s="18">
        <f t="shared" si="227"/>
        <v>12522.845584173647</v>
      </c>
      <c r="FC51" s="18">
        <f t="shared" si="227"/>
        <v>12272.388672490173</v>
      </c>
      <c r="FD51" s="18">
        <f t="shared" si="227"/>
        <v>12026.94089904037</v>
      </c>
      <c r="FE51" s="18">
        <f t="shared" si="227"/>
        <v>11786.402081059563</v>
      </c>
      <c r="FF51" s="18">
        <f t="shared" si="227"/>
        <v>11550.674039438372</v>
      </c>
      <c r="FG51" s="18">
        <f t="shared" si="227"/>
        <v>11319.660558649604</v>
      </c>
      <c r="FH51" s="18">
        <f t="shared" si="227"/>
        <v>11093.267347476612</v>
      </c>
      <c r="FI51" s="18">
        <f t="shared" si="227"/>
        <v>10871.40200052708</v>
      </c>
      <c r="FJ51" s="18">
        <f t="shared" si="227"/>
        <v>10653.973960516538</v>
      </c>
      <c r="FK51" s="18">
        <f t="shared" si="227"/>
        <v>10440.894481306206</v>
      </c>
      <c r="FL51" s="18">
        <f t="shared" si="227"/>
        <v>10232.076591680081</v>
      </c>
      <c r="FM51" s="18">
        <f t="shared" si="227"/>
        <v>10027.435059846479</v>
      </c>
      <c r="FN51" s="18">
        <f t="shared" si="227"/>
        <v>9826.8863586495499</v>
      </c>
      <c r="FO51" s="18">
        <f t="shared" si="227"/>
        <v>9630.3486314765596</v>
      </c>
      <c r="FP51" s="18">
        <f t="shared" si="227"/>
        <v>9437.7416588470278</v>
      </c>
      <c r="FQ51" s="18">
        <f t="shared" si="227"/>
        <v>9248.9868256700865</v>
      </c>
      <c r="FR51" s="18">
        <f t="shared" si="227"/>
        <v>9064.0070891566847</v>
      </c>
      <c r="FS51" s="18">
        <f t="shared" si="227"/>
        <v>8882.7269473735505</v>
      </c>
      <c r="FT51" s="18">
        <f t="shared" si="227"/>
        <v>8705.0724084260801</v>
      </c>
      <c r="FU51" s="18">
        <f t="shared" si="227"/>
        <v>8530.9709602575585</v>
      </c>
      <c r="FV51" s="18">
        <f t="shared" si="227"/>
        <v>8360.3515410524069</v>
      </c>
      <c r="FW51" s="18">
        <f t="shared" si="227"/>
        <v>8193.1445102313592</v>
      </c>
      <c r="FX51" s="18">
        <f t="shared" si="227"/>
        <v>8029.2816200267316</v>
      </c>
      <c r="FY51" s="18">
        <f t="shared" si="227"/>
        <v>7868.6959876261972</v>
      </c>
      <c r="FZ51" s="18">
        <f t="shared" si="227"/>
        <v>7711.3220678736734</v>
      </c>
      <c r="GA51" s="18">
        <f t="shared" si="227"/>
        <v>7557.0956265161994</v>
      </c>
      <c r="GB51" s="18">
        <f t="shared" si="227"/>
        <v>7405.9537139858758</v>
      </c>
      <c r="GC51" s="18">
        <f t="shared" si="227"/>
        <v>7257.8346397061578</v>
      </c>
      <c r="GD51" s="18">
        <f t="shared" si="227"/>
        <v>7112.6779469120347</v>
      </c>
      <c r="GE51" s="18">
        <f t="shared" si="227"/>
        <v>6970.4243879737942</v>
      </c>
      <c r="GF51" s="18">
        <f t="shared" si="227"/>
        <v>6831.0159002143182</v>
      </c>
      <c r="GG51" s="18">
        <f t="shared" si="227"/>
        <v>6694.3955822100315</v>
      </c>
      <c r="GH51" s="18">
        <f t="shared" si="227"/>
        <v>6560.5076705658312</v>
      </c>
      <c r="GI51" s="18">
        <f t="shared" si="227"/>
        <v>6429.297517154514</v>
      </c>
      <c r="GJ51" s="18">
        <f t="shared" si="227"/>
        <v>6300.7115668114238</v>
      </c>
      <c r="GK51" s="18">
        <f t="shared" si="227"/>
        <v>6174.6973354751954</v>
      </c>
      <c r="GL51" s="18">
        <f t="shared" si="227"/>
        <v>6051.2033887656917</v>
      </c>
      <c r="GM51" s="18">
        <f t="shared" si="227"/>
        <v>5930.1793209903781</v>
      </c>
      <c r="GN51" s="18">
        <f t="shared" si="227"/>
        <v>5811.5757345705706</v>
      </c>
      <c r="GO51" s="18">
        <f t="shared" si="227"/>
        <v>5695.344219879159</v>
      </c>
      <c r="GP51" s="18">
        <f t="shared" si="227"/>
        <v>5581.4373354815762</v>
      </c>
      <c r="GQ51" s="18">
        <f t="shared" si="227"/>
        <v>5469.8085887719444</v>
      </c>
      <c r="GR51" s="18">
        <f t="shared" si="227"/>
        <v>5360.4124169965053</v>
      </c>
      <c r="GS51" s="18">
        <f t="shared" si="227"/>
        <v>5253.2041686565753</v>
      </c>
      <c r="GT51" s="18">
        <f t="shared" si="227"/>
        <v>5148.140085283444</v>
      </c>
      <c r="GU51" s="18">
        <f t="shared" si="227"/>
        <v>5045.1772835777747</v>
      </c>
      <c r="GV51" s="18">
        <f t="shared" si="227"/>
        <v>4944.2737379062191</v>
      </c>
      <c r="GW51" s="18">
        <f t="shared" si="227"/>
        <v>4845.3882631480947</v>
      </c>
      <c r="GX51" s="18">
        <f t="shared" ref="GX51:HB51" si="228">+GW51*(1+$EM$55)</f>
        <v>4748.4804978851325</v>
      </c>
      <c r="GY51" s="18">
        <f t="shared" si="228"/>
        <v>4653.5108879274294</v>
      </c>
      <c r="GZ51" s="18">
        <f t="shared" si="228"/>
        <v>4560.4406701688804</v>
      </c>
      <c r="HA51" s="18">
        <f t="shared" si="228"/>
        <v>4469.2318567655029</v>
      </c>
      <c r="HB51" s="18">
        <f t="shared" si="228"/>
        <v>4379.8472196301927</v>
      </c>
    </row>
    <row r="52" spans="2:210" s="61" customFormat="1" ht="13">
      <c r="B52" s="91" t="s">
        <v>447</v>
      </c>
      <c r="C52" s="76">
        <f>C51/C53</f>
        <v>0.21241709653647745</v>
      </c>
      <c r="D52" s="76">
        <f>D51/D53</f>
        <v>0.15344011649071718</v>
      </c>
      <c r="E52" s="76">
        <f>E51/E53</f>
        <v>0.12981744421906696</v>
      </c>
      <c r="F52" s="76"/>
      <c r="G52" s="76">
        <f t="shared" ref="G52:AN52" si="229">G51/G53</f>
        <v>0.31558585114222559</v>
      </c>
      <c r="H52" s="76">
        <f t="shared" si="229"/>
        <v>0.37995995631598101</v>
      </c>
      <c r="I52" s="76">
        <f t="shared" si="229"/>
        <v>0.3353036002149381</v>
      </c>
      <c r="J52" s="76">
        <f t="shared" si="229"/>
        <v>0.35008163871159287</v>
      </c>
      <c r="K52" s="76">
        <f t="shared" si="229"/>
        <v>0.41721609008074684</v>
      </c>
      <c r="L52" s="76">
        <f t="shared" si="229"/>
        <v>0.48878990348923523</v>
      </c>
      <c r="M52" s="76">
        <f t="shared" si="229"/>
        <v>0.52989614243323424</v>
      </c>
      <c r="N52" s="76">
        <f t="shared" si="229"/>
        <v>0.45880597014925367</v>
      </c>
      <c r="O52" s="76">
        <f t="shared" si="229"/>
        <v>0.56803001876172565</v>
      </c>
      <c r="P52" s="76">
        <f t="shared" si="229"/>
        <v>0.61766714730211725</v>
      </c>
      <c r="Q52" s="76">
        <f t="shared" si="229"/>
        <v>0.63545454545454538</v>
      </c>
      <c r="R52" s="76">
        <f t="shared" si="229"/>
        <v>0.57648854961832063</v>
      </c>
      <c r="S52" s="76">
        <f t="shared" si="229"/>
        <v>0.71627906976744182</v>
      </c>
      <c r="T52" s="76">
        <f t="shared" si="229"/>
        <v>0.88319999999999999</v>
      </c>
      <c r="U52" s="76">
        <f t="shared" si="229"/>
        <v>0.85428342674139313</v>
      </c>
      <c r="V52" s="76">
        <f t="shared" si="229"/>
        <v>0.74658085277554309</v>
      </c>
      <c r="W52" s="76">
        <f t="shared" si="229"/>
        <v>0.90691927512355852</v>
      </c>
      <c r="X52" s="76">
        <f t="shared" si="229"/>
        <v>1.0457239627434378</v>
      </c>
      <c r="Y52" s="76">
        <f t="shared" si="229"/>
        <v>1.0425894378194207</v>
      </c>
      <c r="Z52" s="76">
        <f t="shared" si="229"/>
        <v>0.90212765957446805</v>
      </c>
      <c r="AA52" s="76">
        <f t="shared" si="229"/>
        <v>1.0836177474402731</v>
      </c>
      <c r="AB52" s="76">
        <f t="shared" si="229"/>
        <v>1.1174911660777385</v>
      </c>
      <c r="AC52" s="76">
        <f t="shared" si="229"/>
        <v>1.0844811753902663</v>
      </c>
      <c r="AD52" s="76">
        <f t="shared" si="229"/>
        <v>0.997250229147571</v>
      </c>
      <c r="AE52" s="76">
        <f t="shared" si="229"/>
        <v>1.1164069660861595</v>
      </c>
      <c r="AF52" s="76">
        <f t="shared" si="229"/>
        <v>1.1435185185185186</v>
      </c>
      <c r="AG52" s="76">
        <f t="shared" si="229"/>
        <v>1.2304797742238947</v>
      </c>
      <c r="AH52" s="76">
        <f t="shared" si="229"/>
        <v>1.05937794533459</v>
      </c>
      <c r="AI52" s="76">
        <f t="shared" si="229"/>
        <v>1.0800385728061717</v>
      </c>
      <c r="AJ52" s="76">
        <f t="shared" si="229"/>
        <v>1.2903543307086613</v>
      </c>
      <c r="AK52" s="76">
        <f t="shared" si="229"/>
        <v>1.4867776689520078</v>
      </c>
      <c r="AL52" s="76">
        <f t="shared" si="229"/>
        <v>1.0523715415019763</v>
      </c>
      <c r="AM52" s="76">
        <f t="shared" si="229"/>
        <v>1.2975708502024292</v>
      </c>
      <c r="AN52" s="76">
        <f t="shared" si="229"/>
        <v>1.3755186721991701</v>
      </c>
      <c r="AO52" s="76">
        <f t="shared" ref="AO52:AT52" si="230">AO51/AO53</f>
        <v>1.3648648648648649</v>
      </c>
      <c r="AP52" s="76">
        <f t="shared" si="230"/>
        <v>1.1659619450317125</v>
      </c>
      <c r="AQ52" s="76">
        <f t="shared" si="230"/>
        <v>1.3382978723404255</v>
      </c>
      <c r="AR52" s="76">
        <f t="shared" si="230"/>
        <v>1.3715203426124196</v>
      </c>
      <c r="AS52" s="76">
        <f>AS51/AS53</f>
        <v>2.0042997858672376</v>
      </c>
      <c r="AT52" s="76">
        <f t="shared" si="230"/>
        <v>1.0998543897216273</v>
      </c>
      <c r="AU52" s="76"/>
      <c r="AV52" s="76">
        <f>AV51/AV53</f>
        <v>1.7057324840764332</v>
      </c>
      <c r="AW52" s="76"/>
      <c r="AX52" s="76"/>
      <c r="AY52" s="76"/>
      <c r="AZ52" s="76"/>
      <c r="BA52" s="76"/>
      <c r="BB52" s="76"/>
      <c r="BC52" s="76"/>
      <c r="BD52" s="76">
        <f>+BD51/BD53</f>
        <v>2.3736979166666665</v>
      </c>
      <c r="BE52" s="76"/>
      <c r="BF52" s="76"/>
      <c r="BG52" s="76"/>
      <c r="BH52" s="76"/>
      <c r="BI52" s="76"/>
      <c r="BJ52" s="76"/>
      <c r="BK52" s="76"/>
      <c r="BL52" s="76"/>
      <c r="BM52" s="76"/>
      <c r="BN52" s="76"/>
      <c r="BO52" s="76">
        <f>+BO51/BO53</f>
        <v>2.8542510121457489</v>
      </c>
      <c r="BP52" s="76"/>
      <c r="BQ52" s="76"/>
      <c r="BR52" s="76"/>
      <c r="BS52" s="76">
        <f>+BS51/BS53</f>
        <v>3.2461322081575248</v>
      </c>
      <c r="BT52" s="76"/>
      <c r="BU52" s="76"/>
      <c r="BV52" s="76">
        <f>+BV51/BV53</f>
        <v>3.5359375000000002</v>
      </c>
      <c r="BW52" s="96">
        <f t="shared" ref="BW52:CB52" si="231">BW51/BW53</f>
        <v>3.5623003194888181</v>
      </c>
      <c r="BX52" s="96">
        <f t="shared" si="231"/>
        <v>3.3409836065573773</v>
      </c>
      <c r="BY52" s="96" t="e">
        <f t="shared" si="231"/>
        <v>#DIV/0!</v>
      </c>
      <c r="BZ52" s="96">
        <f t="shared" si="231"/>
        <v>3.8060200668896322</v>
      </c>
      <c r="CA52" s="96">
        <f t="shared" si="231"/>
        <v>4.1683501683501687</v>
      </c>
      <c r="CB52" s="96">
        <f t="shared" si="231"/>
        <v>4.6064189189189193</v>
      </c>
      <c r="CC52" s="96">
        <f t="shared" ref="CC52:CD52" si="232">CC51/CC53</f>
        <v>4.5772495755517824</v>
      </c>
      <c r="CD52" s="96">
        <f t="shared" si="232"/>
        <v>3.6717948717948716</v>
      </c>
      <c r="CE52" s="96">
        <f>CE51/CE53</f>
        <v>4.0757314974182446</v>
      </c>
      <c r="CF52" s="96">
        <f t="shared" ref="CF52:CT52" si="233">CF51/CF53</f>
        <v>4.3784722222222223</v>
      </c>
      <c r="CG52" s="96">
        <f t="shared" si="233"/>
        <v>5.0614035087719298</v>
      </c>
      <c r="CH52" s="96">
        <f t="shared" si="233"/>
        <v>4.3008849557522124</v>
      </c>
      <c r="CI52" s="120">
        <f t="shared" si="233"/>
        <v>4.8021778584392019</v>
      </c>
      <c r="CJ52" s="120">
        <f t="shared" si="233"/>
        <v>4.6461824953445063</v>
      </c>
      <c r="CK52" s="120">
        <f t="shared" si="233"/>
        <v>5.1301115241635689</v>
      </c>
      <c r="CL52" s="120">
        <f t="shared" si="233"/>
        <v>4.1020408163265305</v>
      </c>
      <c r="CM52" s="120">
        <f t="shared" si="233"/>
        <v>3.7044609665427508</v>
      </c>
      <c r="CN52" s="120">
        <f t="shared" si="233"/>
        <v>4.9404096834264433</v>
      </c>
      <c r="CO52" s="120">
        <f t="shared" si="233"/>
        <v>4.9572490706319705</v>
      </c>
      <c r="CP52" s="120">
        <f t="shared" si="233"/>
        <v>4.7451209413492954</v>
      </c>
      <c r="CQ52" s="120">
        <f t="shared" si="233"/>
        <v>3.7966417910447761</v>
      </c>
      <c r="CR52" s="120">
        <f t="shared" si="233"/>
        <v>4.8133086876155264</v>
      </c>
      <c r="CS52" s="120">
        <f t="shared" si="233"/>
        <v>5.5295202952029516</v>
      </c>
      <c r="CT52" s="120">
        <f t="shared" si="233"/>
        <v>5.1992619926199266</v>
      </c>
      <c r="CU52" s="120"/>
      <c r="CV52" s="120"/>
      <c r="CW52" s="120"/>
      <c r="CX52" s="129"/>
      <c r="CY52" s="129"/>
      <c r="CZ52" s="77"/>
      <c r="DA52" s="76"/>
      <c r="DB52" s="76"/>
      <c r="DC52" s="76"/>
      <c r="DD52" s="76">
        <f t="shared" ref="DD52:EJ52" si="234">DD51/DD53</f>
        <v>1.9019316493313521</v>
      </c>
      <c r="DE52" s="76">
        <f t="shared" si="234"/>
        <v>2.4007575757575759</v>
      </c>
      <c r="DF52" s="76">
        <f t="shared" si="234"/>
        <v>3.1978879173290933</v>
      </c>
      <c r="DG52" s="76">
        <f t="shared" si="234"/>
        <v>3.8954468802698146</v>
      </c>
      <c r="DH52" s="76">
        <f t="shared" si="234"/>
        <v>4.327921498661909</v>
      </c>
      <c r="DI52" s="76">
        <f t="shared" si="234"/>
        <v>4.5494761350407451</v>
      </c>
      <c r="DJ52" s="76">
        <f t="shared" si="234"/>
        <v>4.4182467685076379</v>
      </c>
      <c r="DK52" s="76">
        <f>DK51/DK53</f>
        <v>5.2062176165803109</v>
      </c>
      <c r="DL52" s="76">
        <f>DL51/DL53</f>
        <v>5.7164895777658993</v>
      </c>
      <c r="DM52" s="76">
        <f t="shared" si="234"/>
        <v>7.9156353931928676</v>
      </c>
      <c r="DN52" s="76">
        <f t="shared" si="234"/>
        <v>8.5117532617755955</v>
      </c>
      <c r="DO52" s="76">
        <f t="shared" si="234"/>
        <v>8.0789073287869559</v>
      </c>
      <c r="DP52" s="76">
        <f t="shared" si="234"/>
        <v>7.5305702733099409</v>
      </c>
      <c r="DQ52" s="76">
        <f t="shared" si="234"/>
        <v>7.4233896791804002</v>
      </c>
      <c r="DR52" s="76">
        <f t="shared" si="234"/>
        <v>-1.6911467961670055</v>
      </c>
      <c r="DS52" s="76">
        <f t="shared" si="234"/>
        <v>0</v>
      </c>
      <c r="DT52" s="76" t="e">
        <f t="shared" si="234"/>
        <v>#DIV/0!</v>
      </c>
      <c r="DU52" s="76">
        <f t="shared" si="234"/>
        <v>17.293220338983051</v>
      </c>
      <c r="DV52" s="76">
        <f t="shared" si="234"/>
        <v>18.183246073298431</v>
      </c>
      <c r="DW52" s="76">
        <f t="shared" si="234"/>
        <v>18.682678983833718</v>
      </c>
      <c r="DX52" s="76">
        <f t="shared" si="234"/>
        <v>18.319702602230482</v>
      </c>
      <c r="DY52" s="76">
        <f t="shared" si="234"/>
        <v>20.773977695167282</v>
      </c>
      <c r="DZ52" s="76">
        <f t="shared" si="234"/>
        <v>22.936106319702599</v>
      </c>
      <c r="EA52" s="76">
        <f t="shared" si="234"/>
        <v>32.911681040892191</v>
      </c>
      <c r="EB52" s="76">
        <f t="shared" si="234"/>
        <v>33.688436444609671</v>
      </c>
      <c r="EC52" s="76">
        <f t="shared" si="234"/>
        <v>34.108532907393318</v>
      </c>
      <c r="ED52" s="76">
        <f t="shared" si="234"/>
        <v>34.594390188691868</v>
      </c>
      <c r="EE52" s="76">
        <f t="shared" si="234"/>
        <v>35.363902322074729</v>
      </c>
      <c r="EF52" s="76">
        <f t="shared" si="234"/>
        <v>36.514892034945753</v>
      </c>
      <c r="EG52" s="76">
        <f t="shared" si="234"/>
        <v>37.674158449670422</v>
      </c>
      <c r="EH52" s="76">
        <f t="shared" si="234"/>
        <v>39.323961960948701</v>
      </c>
      <c r="EI52" s="76">
        <f t="shared" si="234"/>
        <v>41.326367805867413</v>
      </c>
      <c r="EJ52" s="76">
        <f t="shared" si="234"/>
        <v>33.485083582070331</v>
      </c>
    </row>
    <row r="53" spans="2:210" s="26" customFormat="1">
      <c r="B53" s="26" t="s">
        <v>446</v>
      </c>
      <c r="C53" s="67">
        <v>1085.5999999999999</v>
      </c>
      <c r="D53" s="67">
        <v>1098.8</v>
      </c>
      <c r="E53" s="67">
        <v>1084.5999999999999</v>
      </c>
      <c r="F53" s="67"/>
      <c r="G53" s="67">
        <v>1085.5999999999999</v>
      </c>
      <c r="H53" s="67">
        <v>1098.8</v>
      </c>
      <c r="I53" s="67">
        <v>1302.7</v>
      </c>
      <c r="J53" s="67">
        <v>1347.4</v>
      </c>
      <c r="K53" s="67">
        <v>1349.9</v>
      </c>
      <c r="L53" s="67">
        <v>1347</v>
      </c>
      <c r="M53" s="67">
        <v>1348</v>
      </c>
      <c r="N53" s="67">
        <v>1340</v>
      </c>
      <c r="O53" s="67">
        <v>1332.5</v>
      </c>
      <c r="P53" s="67">
        <v>1317.7</v>
      </c>
      <c r="Q53" s="67">
        <v>1320</v>
      </c>
      <c r="R53" s="67">
        <v>1310</v>
      </c>
      <c r="S53" s="67">
        <v>1290</v>
      </c>
      <c r="T53" s="67">
        <v>1250</v>
      </c>
      <c r="U53" s="67">
        <v>1249</v>
      </c>
      <c r="V53" s="67">
        <v>1243</v>
      </c>
      <c r="W53" s="67">
        <v>1214</v>
      </c>
      <c r="X53" s="67">
        <v>1181</v>
      </c>
      <c r="Y53" s="67">
        <v>1174</v>
      </c>
      <c r="Z53" s="67">
        <v>1175</v>
      </c>
      <c r="AA53" s="67">
        <v>1172</v>
      </c>
      <c r="AB53" s="67">
        <v>1132</v>
      </c>
      <c r="AC53" s="67">
        <v>1089</v>
      </c>
      <c r="AD53" s="67">
        <v>1091</v>
      </c>
      <c r="AE53" s="67">
        <v>1091</v>
      </c>
      <c r="AF53" s="67">
        <v>1080</v>
      </c>
      <c r="AG53" s="67">
        <v>1063</v>
      </c>
      <c r="AH53" s="67">
        <v>1061</v>
      </c>
      <c r="AI53" s="67">
        <v>1037</v>
      </c>
      <c r="AJ53" s="67">
        <v>1016</v>
      </c>
      <c r="AK53" s="67">
        <v>1021</v>
      </c>
      <c r="AL53" s="67">
        <v>1012</v>
      </c>
      <c r="AM53" s="67">
        <v>988</v>
      </c>
      <c r="AN53" s="67">
        <v>964</v>
      </c>
      <c r="AO53" s="67">
        <v>962</v>
      </c>
      <c r="AP53" s="67">
        <v>946</v>
      </c>
      <c r="AQ53" s="67">
        <v>940</v>
      </c>
      <c r="AR53" s="67">
        <v>934</v>
      </c>
      <c r="AS53" s="67">
        <f>+AR53</f>
        <v>934</v>
      </c>
      <c r="AT53" s="67">
        <f>+AS53</f>
        <v>934</v>
      </c>
      <c r="AU53" s="67"/>
      <c r="AV53" s="67">
        <v>785</v>
      </c>
      <c r="AW53" s="67"/>
      <c r="AX53" s="67"/>
      <c r="AY53" s="67"/>
      <c r="AZ53" s="67"/>
      <c r="BA53" s="67"/>
      <c r="BB53" s="67"/>
      <c r="BC53" s="67"/>
      <c r="BD53" s="67">
        <v>768</v>
      </c>
      <c r="BE53" s="67"/>
      <c r="BF53" s="67"/>
      <c r="BG53" s="67"/>
      <c r="BH53" s="67"/>
      <c r="BI53" s="67"/>
      <c r="BJ53" s="67"/>
      <c r="BK53" s="67"/>
      <c r="BL53" s="67"/>
      <c r="BM53" s="67"/>
      <c r="BN53" s="67"/>
      <c r="BO53" s="67">
        <v>741</v>
      </c>
      <c r="BP53" s="67"/>
      <c r="BQ53" s="67"/>
      <c r="BR53" s="67"/>
      <c r="BS53" s="67">
        <v>711</v>
      </c>
      <c r="BT53" s="67"/>
      <c r="BU53" s="67"/>
      <c r="BV53" s="67">
        <v>640</v>
      </c>
      <c r="BW53" s="67">
        <v>626</v>
      </c>
      <c r="BX53" s="67">
        <v>610</v>
      </c>
      <c r="BY53" s="67"/>
      <c r="BZ53" s="67">
        <v>598</v>
      </c>
      <c r="CA53" s="67">
        <v>594</v>
      </c>
      <c r="CB53" s="67">
        <v>592</v>
      </c>
      <c r="CC53" s="67">
        <v>589</v>
      </c>
      <c r="CD53" s="67">
        <v>585</v>
      </c>
      <c r="CE53" s="67">
        <v>581</v>
      </c>
      <c r="CF53" s="67">
        <v>576</v>
      </c>
      <c r="CG53" s="67">
        <v>570</v>
      </c>
      <c r="CH53" s="67">
        <v>565</v>
      </c>
      <c r="CI53" s="117">
        <v>551</v>
      </c>
      <c r="CJ53" s="117">
        <v>537</v>
      </c>
      <c r="CK53" s="117">
        <v>538</v>
      </c>
      <c r="CL53" s="117">
        <v>539</v>
      </c>
      <c r="CM53" s="117">
        <v>538</v>
      </c>
      <c r="CN53" s="117">
        <v>537</v>
      </c>
      <c r="CO53" s="117">
        <v>538</v>
      </c>
      <c r="CP53" s="117">
        <v>535.91890100000001</v>
      </c>
      <c r="CQ53" s="117">
        <v>536</v>
      </c>
      <c r="CR53" s="117">
        <v>541</v>
      </c>
      <c r="CS53" s="117">
        <v>542</v>
      </c>
      <c r="CT53" s="117">
        <v>542</v>
      </c>
      <c r="CU53" s="117"/>
      <c r="CV53" s="117"/>
      <c r="CW53" s="117"/>
      <c r="CX53" s="117"/>
      <c r="CY53" s="117"/>
      <c r="CZ53" s="67"/>
      <c r="DA53" s="67"/>
      <c r="DB53" s="67"/>
      <c r="DC53" s="67"/>
      <c r="DD53" s="67">
        <v>1346</v>
      </c>
      <c r="DE53" s="67">
        <v>1320</v>
      </c>
      <c r="DF53" s="67">
        <f>AVERAGE(S53:V53)</f>
        <v>1258</v>
      </c>
      <c r="DG53" s="67">
        <f>AVERAGE(W53:Z53)</f>
        <v>1186</v>
      </c>
      <c r="DH53" s="67">
        <f>AVERAGE(AA53:AD53)</f>
        <v>1121</v>
      </c>
      <c r="DI53" s="67">
        <f>AVERAGE(AE53:AH53)</f>
        <v>1073.75</v>
      </c>
      <c r="DJ53" s="67">
        <f t="shared" ref="DJ53:DO53" si="235">DI53-10</f>
        <v>1063.75</v>
      </c>
      <c r="DK53" s="67">
        <f>AVERAGE(AM53:AP53)</f>
        <v>965</v>
      </c>
      <c r="DL53" s="67">
        <f>AVERAGE(AQ53:AT53)</f>
        <v>935.5</v>
      </c>
      <c r="DM53" s="67">
        <f t="shared" si="235"/>
        <v>925.5</v>
      </c>
      <c r="DN53" s="67">
        <f t="shared" si="235"/>
        <v>915.5</v>
      </c>
      <c r="DO53" s="67">
        <f t="shared" si="235"/>
        <v>905.5</v>
      </c>
      <c r="DP53" s="67">
        <f>DO53</f>
        <v>905.5</v>
      </c>
      <c r="DQ53" s="67">
        <f>+DP53</f>
        <v>905.5</v>
      </c>
      <c r="DR53" s="67">
        <f>+DQ53</f>
        <v>905.5</v>
      </c>
      <c r="DS53" s="67">
        <f>+DR53</f>
        <v>905.5</v>
      </c>
      <c r="DT53" s="67"/>
      <c r="DU53" s="67">
        <v>590</v>
      </c>
      <c r="DV53" s="67">
        <v>573</v>
      </c>
      <c r="DW53" s="67">
        <f>AVERAGE(CI53:CL53)</f>
        <v>541.25</v>
      </c>
      <c r="DX53" s="67">
        <v>538</v>
      </c>
      <c r="DY53" s="67">
        <f>+DX53</f>
        <v>538</v>
      </c>
      <c r="DZ53" s="67">
        <f t="shared" ref="DZ53:EJ53" si="236">+DY53</f>
        <v>538</v>
      </c>
      <c r="EA53" s="67">
        <f t="shared" si="236"/>
        <v>538</v>
      </c>
      <c r="EB53" s="67">
        <f t="shared" si="236"/>
        <v>538</v>
      </c>
      <c r="EC53" s="67">
        <f t="shared" si="236"/>
        <v>538</v>
      </c>
      <c r="ED53" s="67">
        <f t="shared" si="236"/>
        <v>538</v>
      </c>
      <c r="EE53" s="67">
        <f t="shared" si="236"/>
        <v>538</v>
      </c>
      <c r="EF53" s="67">
        <f t="shared" si="236"/>
        <v>538</v>
      </c>
      <c r="EG53" s="67">
        <f t="shared" si="236"/>
        <v>538</v>
      </c>
      <c r="EH53" s="67">
        <f t="shared" si="236"/>
        <v>538</v>
      </c>
      <c r="EI53" s="67">
        <f t="shared" si="236"/>
        <v>538</v>
      </c>
      <c r="EJ53" s="67">
        <f t="shared" si="236"/>
        <v>538</v>
      </c>
    </row>
    <row r="54" spans="2:210">
      <c r="CI54" s="114"/>
      <c r="CJ54" s="114"/>
      <c r="CK54" s="114"/>
      <c r="CL54" s="114"/>
      <c r="DB54" s="70"/>
      <c r="DC54" s="70"/>
      <c r="DD54" s="70"/>
      <c r="DE54" s="70"/>
      <c r="DF54" s="70"/>
      <c r="DG54" s="70"/>
      <c r="DH54" s="70"/>
      <c r="DI54" s="70"/>
      <c r="DJ54" s="70"/>
      <c r="DK54" s="70"/>
      <c r="DL54" s="70"/>
      <c r="DM54" s="78"/>
      <c r="DN54" s="70"/>
      <c r="DO54" s="70"/>
      <c r="DP54" s="70"/>
      <c r="EL54" s="70" t="s">
        <v>1121</v>
      </c>
      <c r="EM54" s="62">
        <v>0.01</v>
      </c>
    </row>
    <row r="55" spans="2:210" s="19" customFormat="1" ht="13">
      <c r="B55" s="38" t="s">
        <v>101</v>
      </c>
      <c r="C55" s="79"/>
      <c r="D55" s="79"/>
      <c r="E55" s="79"/>
      <c r="F55" s="79"/>
      <c r="G55" s="79"/>
      <c r="H55" s="79"/>
      <c r="I55" s="79"/>
      <c r="J55" s="79"/>
      <c r="K55" s="79">
        <f t="shared" ref="K55:AR55" si="237">K43/K41</f>
        <v>0.84193493442343725</v>
      </c>
      <c r="L55" s="79">
        <f t="shared" si="237"/>
        <v>0.8411640781931311</v>
      </c>
      <c r="M55" s="79">
        <f t="shared" si="237"/>
        <v>0.84783986957703106</v>
      </c>
      <c r="N55" s="79">
        <f t="shared" si="237"/>
        <v>0.8365720617062985</v>
      </c>
      <c r="O55" s="79">
        <f t="shared" si="237"/>
        <v>0.84143582739340128</v>
      </c>
      <c r="P55" s="79">
        <f t="shared" si="237"/>
        <v>0.83169542675849262</v>
      </c>
      <c r="Q55" s="79">
        <f t="shared" si="237"/>
        <v>0.83523774419461849</v>
      </c>
      <c r="R55" s="79">
        <f t="shared" si="237"/>
        <v>0.83636988655895494</v>
      </c>
      <c r="S55" s="79">
        <f t="shared" si="237"/>
        <v>0.82739145781856693</v>
      </c>
      <c r="T55" s="79">
        <f t="shared" si="237"/>
        <v>0.83291298865069352</v>
      </c>
      <c r="U55" s="79">
        <f t="shared" si="237"/>
        <v>0.83988585922637915</v>
      </c>
      <c r="V55" s="79">
        <f t="shared" si="237"/>
        <v>0.84377866095995113</v>
      </c>
      <c r="W55" s="79">
        <f t="shared" si="237"/>
        <v>0.82841156356854218</v>
      </c>
      <c r="X55" s="79">
        <f t="shared" si="237"/>
        <v>0.86348501664816868</v>
      </c>
      <c r="Y55" s="79">
        <f t="shared" si="237"/>
        <v>0.86572535991140642</v>
      </c>
      <c r="Z55" s="79">
        <f t="shared" si="237"/>
        <v>0.85632333767926994</v>
      </c>
      <c r="AA55" s="79">
        <f t="shared" si="237"/>
        <v>0.84838622186059132</v>
      </c>
      <c r="AB55" s="79">
        <f t="shared" si="237"/>
        <v>0.85354077253218885</v>
      </c>
      <c r="AC55" s="79">
        <f t="shared" si="237"/>
        <v>0.83799501523123787</v>
      </c>
      <c r="AD55" s="79">
        <f t="shared" si="237"/>
        <v>0.84913217623497994</v>
      </c>
      <c r="AE55" s="79">
        <f t="shared" si="237"/>
        <v>0.84998616108497094</v>
      </c>
      <c r="AF55" s="79">
        <f t="shared" si="237"/>
        <v>0.8639744952178533</v>
      </c>
      <c r="AG55" s="79">
        <f t="shared" si="237"/>
        <v>0.847741935483871</v>
      </c>
      <c r="AH55" s="79">
        <f t="shared" si="237"/>
        <v>0.8536390295921088</v>
      </c>
      <c r="AI55" s="79">
        <f t="shared" si="237"/>
        <v>0.85671100362756958</v>
      </c>
      <c r="AJ55" s="79">
        <f t="shared" si="237"/>
        <v>0.858066253703205</v>
      </c>
      <c r="AK55" s="79">
        <f t="shared" si="237"/>
        <v>0.85781741867785943</v>
      </c>
      <c r="AL55" s="79">
        <f t="shared" si="237"/>
        <v>0.85954318718823841</v>
      </c>
      <c r="AM55" s="79">
        <f t="shared" si="237"/>
        <v>0.85968819599109136</v>
      </c>
      <c r="AN55" s="79">
        <f t="shared" si="237"/>
        <v>0.85567823343848581</v>
      </c>
      <c r="AO55" s="79">
        <f t="shared" si="237"/>
        <v>0.84696016771488469</v>
      </c>
      <c r="AP55" s="79">
        <f t="shared" si="237"/>
        <v>0.85212184326998175</v>
      </c>
      <c r="AQ55" s="93">
        <f t="shared" si="237"/>
        <v>0.85429033998920667</v>
      </c>
      <c r="AR55" s="93">
        <f t="shared" si="237"/>
        <v>0.85627683758524875</v>
      </c>
      <c r="AS55" s="79">
        <v>0.85</v>
      </c>
      <c r="AT55" s="79">
        <v>0.85</v>
      </c>
      <c r="AU55" s="79"/>
      <c r="AV55" s="93">
        <f>AV43/AV41</f>
        <v>0.84766584766584763</v>
      </c>
      <c r="AW55" s="79"/>
      <c r="AX55" s="79"/>
      <c r="AY55" s="79"/>
      <c r="AZ55" s="79"/>
      <c r="BA55" s="79"/>
      <c r="BB55" s="79"/>
      <c r="BC55" s="79"/>
      <c r="BD55" s="79"/>
      <c r="BE55" s="79"/>
      <c r="BF55" s="79"/>
      <c r="BG55" s="79"/>
      <c r="BH55" s="79"/>
      <c r="BI55" s="79"/>
      <c r="BJ55" s="79"/>
      <c r="BK55" s="79"/>
      <c r="BL55" s="79"/>
      <c r="BM55" s="79"/>
      <c r="BN55" s="79"/>
      <c r="BO55" s="79">
        <f t="shared" ref="BO55" si="238">BO43/BO41</f>
        <v>0.81771595900439242</v>
      </c>
      <c r="BP55" s="79"/>
      <c r="BQ55" s="79"/>
      <c r="BR55" s="79"/>
      <c r="BS55" s="79">
        <f t="shared" ref="BS55" si="239">BS43/BS41</f>
        <v>0.8300324090745409</v>
      </c>
      <c r="BT55" s="79"/>
      <c r="BU55" s="79"/>
      <c r="BV55" s="79">
        <f t="shared" ref="BV55" si="240">BV43/BV41</f>
        <v>0.86853932584269666</v>
      </c>
      <c r="BW55" s="79">
        <f t="shared" ref="BW55" si="241">BW43/BW41</f>
        <v>0.85981644772359189</v>
      </c>
      <c r="BX55" s="79">
        <f t="shared" ref="BX55" si="242">BX43/BX41</f>
        <v>0.87463805143927775</v>
      </c>
      <c r="BY55" s="79"/>
      <c r="BZ55" s="79">
        <f t="shared" ref="BZ55:CA55" si="243">BZ43/BZ41</f>
        <v>0.87251896078747782</v>
      </c>
      <c r="CA55" s="79">
        <f t="shared" si="243"/>
        <v>0.87485797760103878</v>
      </c>
      <c r="CB55" s="79">
        <f t="shared" ref="CB55:CC55" si="244">CB43/CB41</f>
        <v>0.87786013535288432</v>
      </c>
      <c r="CC55" s="79">
        <f t="shared" si="244"/>
        <v>0.86392651408998911</v>
      </c>
      <c r="CD55" s="79">
        <f t="shared" ref="CD55:CH55" si="245">CD43/CD41</f>
        <v>0.8554416641543563</v>
      </c>
      <c r="CE55" s="79">
        <f t="shared" si="245"/>
        <v>0.85307574987290291</v>
      </c>
      <c r="CF55" s="79">
        <f t="shared" si="245"/>
        <v>0.841556849524977</v>
      </c>
      <c r="CG55" s="79">
        <f t="shared" si="245"/>
        <v>0.8513271696987772</v>
      </c>
      <c r="CH55" s="79">
        <f t="shared" si="245"/>
        <v>0.83990651475314049</v>
      </c>
      <c r="CI55" s="121">
        <f>CI43/CI41</f>
        <v>0.8475472907983328</v>
      </c>
      <c r="CJ55" s="121">
        <f t="shared" ref="CJ55:CP55" si="246">CJ43/CJ41</f>
        <v>0.85956930542917809</v>
      </c>
      <c r="CK55" s="121">
        <f t="shared" si="246"/>
        <v>0.84921828021647627</v>
      </c>
      <c r="CL55" s="121">
        <f t="shared" si="246"/>
        <v>0.84339815762538384</v>
      </c>
      <c r="CM55" s="121">
        <f t="shared" si="246"/>
        <v>0.83357903357903362</v>
      </c>
      <c r="CN55" s="121">
        <f t="shared" si="246"/>
        <v>0.83653020326367022</v>
      </c>
      <c r="CO55" s="121">
        <f t="shared" si="246"/>
        <v>0.83528900478053025</v>
      </c>
      <c r="CP55" s="121">
        <f t="shared" si="246"/>
        <v>0.84407027818448022</v>
      </c>
      <c r="CQ55" s="121">
        <f t="shared" ref="CQ55:CS55" si="247">CQ43/CQ41</f>
        <v>0.82006176984020407</v>
      </c>
      <c r="CR55" s="121">
        <f t="shared" si="247"/>
        <v>0.83237958989031946</v>
      </c>
      <c r="CS55" s="121">
        <f t="shared" si="247"/>
        <v>0.82900152887216272</v>
      </c>
      <c r="CT55" s="121">
        <f t="shared" ref="CT55:CX55" si="248">CT43/CT41</f>
        <v>0.83094871230464451</v>
      </c>
      <c r="CU55" s="121">
        <f t="shared" si="248"/>
        <v>0.83</v>
      </c>
      <c r="CV55" s="121">
        <f t="shared" si="248"/>
        <v>0.83</v>
      </c>
      <c r="CW55" s="121">
        <f t="shared" si="248"/>
        <v>0.83</v>
      </c>
      <c r="CX55" s="121">
        <f t="shared" si="248"/>
        <v>0.83</v>
      </c>
      <c r="CY55" s="121"/>
      <c r="CZ55" s="80"/>
      <c r="DA55" s="79"/>
      <c r="DB55" s="79"/>
      <c r="DC55" s="79"/>
      <c r="DD55" s="79"/>
      <c r="DE55" s="79">
        <f>DE43/DE41</f>
        <v>0.83599090608713233</v>
      </c>
      <c r="DF55" s="79">
        <f>DF43/DF41</f>
        <v>0.83627860016090094</v>
      </c>
      <c r="DG55" s="79">
        <f>DG43/DG41</f>
        <v>0.85421923184749093</v>
      </c>
      <c r="DH55" s="79">
        <f>DH43/DH41</f>
        <v>0.84733599620878752</v>
      </c>
      <c r="DI55" s="79">
        <f>DI43/DI41</f>
        <v>0.85382923415316936</v>
      </c>
      <c r="DJ55" s="79">
        <v>0.85499999999999998</v>
      </c>
      <c r="DK55" s="79">
        <v>0.85</v>
      </c>
      <c r="DL55" s="79">
        <v>0.85</v>
      </c>
      <c r="DM55" s="79">
        <v>0.85</v>
      </c>
      <c r="DN55" s="79">
        <v>0.85</v>
      </c>
      <c r="DO55" s="79">
        <v>0.85</v>
      </c>
      <c r="DP55" s="79">
        <v>0.85</v>
      </c>
      <c r="DQ55" s="79">
        <v>0.85</v>
      </c>
      <c r="DR55" s="79">
        <v>0.85</v>
      </c>
      <c r="DS55" s="79">
        <v>0.85</v>
      </c>
      <c r="DT55" s="79"/>
      <c r="DU55" s="79">
        <f t="shared" ref="DU55:DY55" si="249">DU43/DU41</f>
        <v>0.86776274386406549</v>
      </c>
      <c r="DV55" s="79">
        <f t="shared" si="249"/>
        <v>0.84626044112552445</v>
      </c>
      <c r="DW55" s="79">
        <f t="shared" si="249"/>
        <v>0.84990312654332711</v>
      </c>
      <c r="DX55" s="79">
        <f t="shared" si="249"/>
        <v>0.83777935438098616</v>
      </c>
      <c r="DY55" s="79">
        <f t="shared" si="249"/>
        <v>0.85</v>
      </c>
      <c r="DZ55" s="79">
        <f>DZ43/DZ41</f>
        <v>0.85</v>
      </c>
      <c r="EA55" s="79">
        <f t="shared" ref="EA55:EJ55" si="250">EA43/EA41</f>
        <v>0.85</v>
      </c>
      <c r="EB55" s="79">
        <f t="shared" si="250"/>
        <v>0.85</v>
      </c>
      <c r="EC55" s="79">
        <f t="shared" si="250"/>
        <v>0.85</v>
      </c>
      <c r="ED55" s="79">
        <f t="shared" si="250"/>
        <v>0.85</v>
      </c>
      <c r="EE55" s="79">
        <f t="shared" si="250"/>
        <v>0.85</v>
      </c>
      <c r="EF55" s="79">
        <f t="shared" si="250"/>
        <v>0.85</v>
      </c>
      <c r="EG55" s="79">
        <f t="shared" si="250"/>
        <v>0.85</v>
      </c>
      <c r="EH55" s="79">
        <f t="shared" si="250"/>
        <v>0.85</v>
      </c>
      <c r="EI55" s="79">
        <f t="shared" si="250"/>
        <v>0.85</v>
      </c>
      <c r="EJ55" s="79">
        <f t="shared" si="250"/>
        <v>0.85</v>
      </c>
      <c r="EL55" s="71" t="s">
        <v>793</v>
      </c>
      <c r="EM55" s="62">
        <v>-0.02</v>
      </c>
    </row>
    <row r="56" spans="2:210" s="30" customFormat="1" ht="13">
      <c r="B56" s="30" t="s">
        <v>282</v>
      </c>
      <c r="C56" s="81"/>
      <c r="D56" s="82"/>
      <c r="E56" s="82"/>
      <c r="F56" s="82"/>
      <c r="G56" s="82"/>
      <c r="H56" s="82"/>
      <c r="I56" s="82"/>
      <c r="J56" s="82"/>
      <c r="K56" s="79">
        <f t="shared" ref="K56:AT56" si="251">K44/K41</f>
        <v>0.19394765230227676</v>
      </c>
      <c r="L56" s="79">
        <f t="shared" si="251"/>
        <v>0.18842780853461372</v>
      </c>
      <c r="M56" s="79">
        <f t="shared" si="251"/>
        <v>0.18114301240829636</v>
      </c>
      <c r="N56" s="79">
        <f t="shared" si="251"/>
        <v>0.21085826301883578</v>
      </c>
      <c r="O56" s="79">
        <f t="shared" si="251"/>
        <v>0.18477101028639722</v>
      </c>
      <c r="P56" s="79">
        <f t="shared" si="251"/>
        <v>0.17813201269055173</v>
      </c>
      <c r="Q56" s="79">
        <f t="shared" si="251"/>
        <v>0.18245484703280501</v>
      </c>
      <c r="R56" s="79">
        <f t="shared" si="251"/>
        <v>0.20900653145410794</v>
      </c>
      <c r="S56" s="79">
        <f t="shared" si="251"/>
        <v>0.18390398870455349</v>
      </c>
      <c r="T56" s="79">
        <f t="shared" si="251"/>
        <v>0.17780580075662042</v>
      </c>
      <c r="U56" s="79">
        <f t="shared" si="251"/>
        <v>0.17723525681674066</v>
      </c>
      <c r="V56" s="79">
        <f t="shared" si="251"/>
        <v>0.20116172424335066</v>
      </c>
      <c r="W56" s="79">
        <f t="shared" si="251"/>
        <v>0.19396953683556109</v>
      </c>
      <c r="X56" s="79">
        <f t="shared" si="251"/>
        <v>0.20227524972253053</v>
      </c>
      <c r="Y56" s="79">
        <f t="shared" si="251"/>
        <v>0.23117386489479513</v>
      </c>
      <c r="Z56" s="79">
        <f t="shared" si="251"/>
        <v>0.26153846153846155</v>
      </c>
      <c r="AA56" s="79">
        <f t="shared" si="251"/>
        <v>0.21779224301600217</v>
      </c>
      <c r="AB56" s="79">
        <f t="shared" si="251"/>
        <v>0.20842274678111589</v>
      </c>
      <c r="AC56" s="79">
        <f t="shared" si="251"/>
        <v>0.19357518692882858</v>
      </c>
      <c r="AD56" s="79">
        <f t="shared" si="251"/>
        <v>0.20961281708945259</v>
      </c>
      <c r="AE56" s="79">
        <f t="shared" si="251"/>
        <v>0.18295045668419596</v>
      </c>
      <c r="AF56" s="79">
        <f t="shared" si="251"/>
        <v>0.20696068012752392</v>
      </c>
      <c r="AG56" s="79">
        <f t="shared" si="251"/>
        <v>0.18064516129032257</v>
      </c>
      <c r="AH56" s="79">
        <f t="shared" si="251"/>
        <v>0.20527859237536658</v>
      </c>
      <c r="AI56" s="79">
        <f t="shared" si="251"/>
        <v>0.18288996372430472</v>
      </c>
      <c r="AJ56" s="79">
        <f t="shared" si="251"/>
        <v>0.17694586587664962</v>
      </c>
      <c r="AK56" s="79">
        <f t="shared" si="251"/>
        <v>0.16080797481636935</v>
      </c>
      <c r="AL56" s="79">
        <f t="shared" si="251"/>
        <v>0.22683118928852716</v>
      </c>
      <c r="AM56" s="79">
        <f t="shared" si="251"/>
        <v>0.1717706013363029</v>
      </c>
      <c r="AN56" s="79">
        <f t="shared" si="251"/>
        <v>0.16876971608832808</v>
      </c>
      <c r="AO56" s="79">
        <f t="shared" si="251"/>
        <v>0.18055555555555555</v>
      </c>
      <c r="AP56" s="79">
        <f t="shared" si="251"/>
        <v>0.21478781567300181</v>
      </c>
      <c r="AQ56" s="93">
        <f t="shared" si="251"/>
        <v>0.18969239071775498</v>
      </c>
      <c r="AR56" s="93">
        <f t="shared" si="251"/>
        <v>0.20409194240969941</v>
      </c>
      <c r="AS56" s="79">
        <f t="shared" si="251"/>
        <v>0</v>
      </c>
      <c r="AT56" s="79">
        <f t="shared" si="251"/>
        <v>0.21569755281321898</v>
      </c>
      <c r="AU56" s="79"/>
      <c r="AV56" s="93">
        <f>AV44/AV41</f>
        <v>0.18449854813491176</v>
      </c>
      <c r="AW56" s="79"/>
      <c r="AX56" s="79"/>
      <c r="AY56" s="79"/>
      <c r="AZ56" s="79"/>
      <c r="BA56" s="79"/>
      <c r="BB56" s="79"/>
      <c r="BC56" s="79"/>
      <c r="BD56" s="79"/>
      <c r="BE56" s="79"/>
      <c r="BF56" s="79"/>
      <c r="BG56" s="79"/>
      <c r="BH56" s="79"/>
      <c r="BI56" s="79"/>
      <c r="BJ56" s="79"/>
      <c r="BK56" s="79"/>
      <c r="BL56" s="79"/>
      <c r="BM56" s="79"/>
      <c r="BN56" s="79"/>
      <c r="BO56" s="79">
        <f t="shared" ref="BO56" si="252">BO44/BO41</f>
        <v>0.14073938506588579</v>
      </c>
      <c r="BP56" s="79"/>
      <c r="BQ56" s="79"/>
      <c r="BR56" s="79"/>
      <c r="BS56" s="79">
        <f t="shared" ref="BS56" si="253">BS44/BS41</f>
        <v>0.13683831472812388</v>
      </c>
      <c r="BT56" s="79"/>
      <c r="BU56" s="79"/>
      <c r="BV56" s="79">
        <f t="shared" ref="BV56" si="254">BV44/BV41</f>
        <v>0.18651685393258427</v>
      </c>
      <c r="BW56" s="79">
        <f t="shared" ref="BW56" si="255">BW44/BW41</f>
        <v>0.15457980924959511</v>
      </c>
      <c r="BX56" s="79">
        <f t="shared" ref="BX56" si="256">BX44/BX41</f>
        <v>0.1543178334184977</v>
      </c>
      <c r="BY56" s="79"/>
      <c r="BZ56" s="79">
        <f t="shared" ref="BZ56:CA56" si="257">BZ44/BZ41</f>
        <v>0.20735839922543167</v>
      </c>
      <c r="CA56" s="79">
        <f t="shared" si="257"/>
        <v>0.1504625872423308</v>
      </c>
      <c r="CB56" s="79">
        <f t="shared" ref="CB56:CC56" si="258">CB44/CB41</f>
        <v>0.15082178536899774</v>
      </c>
      <c r="CC56" s="79">
        <f t="shared" si="258"/>
        <v>0.16145103534174063</v>
      </c>
      <c r="CD56" s="79">
        <f t="shared" ref="CD56:CH56" si="259">CD44/CD41</f>
        <v>0.17862526379258367</v>
      </c>
      <c r="CE56" s="79">
        <f t="shared" si="259"/>
        <v>0.15997288595153364</v>
      </c>
      <c r="CF56" s="79">
        <f t="shared" si="259"/>
        <v>0.15874961691694758</v>
      </c>
      <c r="CG56" s="79">
        <f t="shared" si="259"/>
        <v>0.14867283030122277</v>
      </c>
      <c r="CH56" s="79">
        <f t="shared" si="259"/>
        <v>0.19266725094945955</v>
      </c>
      <c r="CI56" s="121">
        <f>CI44/CI41</f>
        <v>0.14972747675537032</v>
      </c>
      <c r="CJ56" s="121">
        <f t="shared" ref="CJ56:CP56" si="260">CJ44/CJ41</f>
        <v>0.15468607825295724</v>
      </c>
      <c r="CK56" s="121">
        <f t="shared" si="260"/>
        <v>0.16476247745039085</v>
      </c>
      <c r="CL56" s="121">
        <f t="shared" si="260"/>
        <v>0.18877028805380905</v>
      </c>
      <c r="CM56" s="121">
        <f t="shared" si="260"/>
        <v>0.17100737100737101</v>
      </c>
      <c r="CN56" s="121">
        <f t="shared" si="260"/>
        <v>0.15631262525050099</v>
      </c>
      <c r="CO56" s="121">
        <f t="shared" si="260"/>
        <v>0.15500507025930754</v>
      </c>
      <c r="CP56" s="121">
        <f t="shared" si="260"/>
        <v>0.1822840409956076</v>
      </c>
      <c r="CQ56" s="121">
        <f t="shared" ref="CQ56:CS56" si="261">CQ44/CQ41</f>
        <v>0.17684973814959043</v>
      </c>
      <c r="CR56" s="121">
        <f t="shared" si="261"/>
        <v>0.16964711492608489</v>
      </c>
      <c r="CS56" s="121">
        <f t="shared" si="261"/>
        <v>0.16935199341408916</v>
      </c>
      <c r="CT56" s="121">
        <f t="shared" ref="CT56:CX56" si="262">CT44/CT41</f>
        <v>0.18688091569447501</v>
      </c>
      <c r="CU56" s="121">
        <f t="shared" si="262"/>
        <v>0.16619764521787414</v>
      </c>
      <c r="CV56" s="121">
        <f t="shared" si="262"/>
        <v>0.16385137080152451</v>
      </c>
      <c r="CW56" s="121">
        <f t="shared" si="262"/>
        <v>0.16452818116380838</v>
      </c>
      <c r="CX56" s="121">
        <f t="shared" si="262"/>
        <v>0.18795036693490366</v>
      </c>
      <c r="CY56" s="121"/>
      <c r="CZ56" s="82"/>
      <c r="DA56" s="79"/>
      <c r="DB56" s="79"/>
      <c r="DC56" s="79"/>
      <c r="DD56" s="79"/>
      <c r="DE56" s="79">
        <f>DE44/DE41</f>
        <v>0.18921639975303198</v>
      </c>
      <c r="DF56" s="79">
        <f>DF44/DF41</f>
        <v>0.18519710378117457</v>
      </c>
      <c r="DG56" s="79">
        <f>DG44/DG41</f>
        <v>0.22364732268012336</v>
      </c>
      <c r="DH56" s="79">
        <f>DH44/DH41</f>
        <v>0.20743348453049895</v>
      </c>
      <c r="DI56" s="79">
        <f>DI44/DI41</f>
        <v>0.1939612077584483</v>
      </c>
      <c r="DJ56" s="79">
        <v>0.19</v>
      </c>
      <c r="DK56" s="79">
        <f>DJ56-1%</f>
        <v>0.18</v>
      </c>
      <c r="DL56" s="79">
        <f t="shared" ref="DL56:DS56" si="263">DK56-0.5%</f>
        <v>0.17499999999999999</v>
      </c>
      <c r="DM56" s="79">
        <f t="shared" si="263"/>
        <v>0.16999999999999998</v>
      </c>
      <c r="DN56" s="79">
        <f t="shared" si="263"/>
        <v>0.16499999999999998</v>
      </c>
      <c r="DO56" s="79">
        <f t="shared" si="263"/>
        <v>0.15999999999999998</v>
      </c>
      <c r="DP56" s="79">
        <f t="shared" si="263"/>
        <v>0.15499999999999997</v>
      </c>
      <c r="DQ56" s="79">
        <f t="shared" si="263"/>
        <v>0.14999999999999997</v>
      </c>
      <c r="DR56" s="79">
        <f t="shared" si="263"/>
        <v>0.14499999999999996</v>
      </c>
      <c r="DS56" s="79">
        <f t="shared" si="263"/>
        <v>0.13999999999999996</v>
      </c>
      <c r="DT56" s="79"/>
      <c r="DU56" s="79">
        <f t="shared" ref="DU56:DW56" si="264">+DU44/DU41</f>
        <v>0.16067495280050345</v>
      </c>
      <c r="DV56" s="79">
        <f t="shared" si="264"/>
        <v>0.16536433273028214</v>
      </c>
      <c r="DW56" s="79">
        <f t="shared" si="264"/>
        <v>0.16491281388899443</v>
      </c>
      <c r="DX56" s="79">
        <f>+DX44/DX41</f>
        <v>0.1667257892869812</v>
      </c>
      <c r="DY56" s="79">
        <f>+DY44/DY41</f>
        <v>0.17586165629487793</v>
      </c>
      <c r="DZ56" s="79">
        <f>DZ44/DZ41</f>
        <v>0.1708939515519427</v>
      </c>
      <c r="EA56" s="79">
        <f t="shared" ref="EA56:EJ56" si="265">EA44/EA41</f>
        <v>0</v>
      </c>
      <c r="EB56" s="79">
        <f t="shared" si="265"/>
        <v>0</v>
      </c>
      <c r="EC56" s="79">
        <f t="shared" si="265"/>
        <v>0</v>
      </c>
      <c r="ED56" s="79">
        <f t="shared" si="265"/>
        <v>0</v>
      </c>
      <c r="EE56" s="79">
        <f t="shared" si="265"/>
        <v>0</v>
      </c>
      <c r="EF56" s="79">
        <f t="shared" si="265"/>
        <v>0</v>
      </c>
      <c r="EG56" s="79">
        <f t="shared" si="265"/>
        <v>0</v>
      </c>
      <c r="EH56" s="79">
        <f t="shared" si="265"/>
        <v>0</v>
      </c>
      <c r="EI56" s="79">
        <f t="shared" si="265"/>
        <v>0</v>
      </c>
      <c r="EJ56" s="79">
        <f t="shared" si="265"/>
        <v>0</v>
      </c>
      <c r="EL56" s="71" t="s">
        <v>794</v>
      </c>
      <c r="EM56" s="62">
        <v>0.08</v>
      </c>
    </row>
    <row r="57" spans="2:210" s="30" customFormat="1" ht="13">
      <c r="B57" s="30" t="s">
        <v>283</v>
      </c>
      <c r="C57" s="82"/>
      <c r="D57" s="82"/>
      <c r="E57" s="82"/>
      <c r="F57" s="82"/>
      <c r="G57" s="82"/>
      <c r="H57" s="82"/>
      <c r="I57" s="82"/>
      <c r="J57" s="82"/>
      <c r="K57" s="79">
        <f t="shared" ref="K57:AT57" si="266">K45/K41</f>
        <v>0.21330835178561289</v>
      </c>
      <c r="L57" s="79">
        <f t="shared" si="266"/>
        <v>0.21434520601636373</v>
      </c>
      <c r="M57" s="79">
        <f t="shared" si="266"/>
        <v>0.21211846753011507</v>
      </c>
      <c r="N57" s="79">
        <f t="shared" si="266"/>
        <v>0.26071763402369386</v>
      </c>
      <c r="O57" s="79">
        <f t="shared" si="266"/>
        <v>0.2189594092790986</v>
      </c>
      <c r="P57" s="79">
        <f t="shared" si="266"/>
        <v>0.22699837499032735</v>
      </c>
      <c r="Q57" s="79">
        <f t="shared" si="266"/>
        <v>0.23405823811279028</v>
      </c>
      <c r="R57" s="79">
        <f t="shared" si="266"/>
        <v>0.27947748367136471</v>
      </c>
      <c r="S57" s="79">
        <f t="shared" si="266"/>
        <v>0.20367102012001412</v>
      </c>
      <c r="T57" s="79">
        <f t="shared" si="266"/>
        <v>0.20365699873896595</v>
      </c>
      <c r="U57" s="79">
        <f t="shared" si="266"/>
        <v>0.20798985415345592</v>
      </c>
      <c r="V57" s="79">
        <f t="shared" si="266"/>
        <v>0.27911953531030265</v>
      </c>
      <c r="W57" s="79">
        <f t="shared" si="266"/>
        <v>0.20267329810382345</v>
      </c>
      <c r="X57" s="79">
        <f t="shared" si="266"/>
        <v>0.22169811320754718</v>
      </c>
      <c r="Y57" s="79">
        <f t="shared" si="266"/>
        <v>0.21650055370985605</v>
      </c>
      <c r="Z57" s="79">
        <f t="shared" si="266"/>
        <v>0.26101694915254237</v>
      </c>
      <c r="AA57" s="79">
        <f t="shared" si="266"/>
        <v>0.2028749660970979</v>
      </c>
      <c r="AB57" s="79">
        <f t="shared" si="266"/>
        <v>0.22532188841201717</v>
      </c>
      <c r="AC57" s="79">
        <f t="shared" si="266"/>
        <v>0.22265300470783717</v>
      </c>
      <c r="AD57" s="79">
        <f t="shared" si="266"/>
        <v>0.2643524699599466</v>
      </c>
      <c r="AE57" s="79">
        <f t="shared" si="266"/>
        <v>0.23858289510102407</v>
      </c>
      <c r="AF57" s="79">
        <f t="shared" si="266"/>
        <v>0.23751328374070138</v>
      </c>
      <c r="AG57" s="79">
        <f t="shared" si="266"/>
        <v>0.22967741935483871</v>
      </c>
      <c r="AH57" s="79">
        <f t="shared" si="266"/>
        <v>0.28312450013329776</v>
      </c>
      <c r="AI57" s="79">
        <f t="shared" si="266"/>
        <v>0.23397823458282951</v>
      </c>
      <c r="AJ57" s="79">
        <f t="shared" si="266"/>
        <v>0.23996768112038783</v>
      </c>
      <c r="AK57" s="79">
        <f t="shared" si="266"/>
        <v>0.2395068205666317</v>
      </c>
      <c r="AL57" s="79">
        <f t="shared" si="266"/>
        <v>0.30427933840903126</v>
      </c>
      <c r="AM57" s="79">
        <f t="shared" si="266"/>
        <v>0.2430400890868597</v>
      </c>
      <c r="AN57" s="79">
        <f t="shared" si="266"/>
        <v>0.25446898002103052</v>
      </c>
      <c r="AO57" s="79">
        <f t="shared" si="266"/>
        <v>0.24685534591194969</v>
      </c>
      <c r="AP57" s="79">
        <f t="shared" si="266"/>
        <v>0.29731840666493103</v>
      </c>
      <c r="AQ57" s="93">
        <f t="shared" si="266"/>
        <v>0.27280086346465193</v>
      </c>
      <c r="AR57" s="93">
        <f t="shared" si="266"/>
        <v>0.28062642081333672</v>
      </c>
      <c r="AS57" s="79">
        <f t="shared" si="266"/>
        <v>0.24396560654718741</v>
      </c>
      <c r="AT57" s="79">
        <f t="shared" si="266"/>
        <v>0.2985777034093286</v>
      </c>
      <c r="AU57" s="79"/>
      <c r="AV57" s="93">
        <f>AV45/AV41</f>
        <v>0.27429081974536518</v>
      </c>
      <c r="AW57" s="79"/>
      <c r="AX57" s="79"/>
      <c r="AY57" s="79"/>
      <c r="AZ57" s="79"/>
      <c r="BA57" s="79"/>
      <c r="BB57" s="79"/>
      <c r="BC57" s="79"/>
      <c r="BD57" s="79"/>
      <c r="BE57" s="79"/>
      <c r="BF57" s="79"/>
      <c r="BG57" s="79"/>
      <c r="BH57" s="79"/>
      <c r="BI57" s="79"/>
      <c r="BJ57" s="79"/>
      <c r="BK57" s="79"/>
      <c r="BL57" s="79"/>
      <c r="BM57" s="79"/>
      <c r="BN57" s="79"/>
      <c r="BO57" s="79">
        <f t="shared" ref="BO57" si="267">BO45/BO41</f>
        <v>0.19472913616398244</v>
      </c>
      <c r="BP57" s="79"/>
      <c r="BQ57" s="79"/>
      <c r="BR57" s="79"/>
      <c r="BS57" s="79">
        <f t="shared" ref="BS57" si="268">BS45/BS41</f>
        <v>0.20291681670867842</v>
      </c>
      <c r="BT57" s="79"/>
      <c r="BU57" s="79"/>
      <c r="BV57" s="79">
        <f t="shared" ref="BV57" si="269">BV45/BV41</f>
        <v>0.24590690208667737</v>
      </c>
      <c r="BW57" s="79">
        <f t="shared" ref="BW57" si="270">BW45/BW41</f>
        <v>0.20676624077739789</v>
      </c>
      <c r="BX57" s="79">
        <f t="shared" ref="BX57" si="271">BX45/BX41</f>
        <v>0.21393289047862374</v>
      </c>
      <c r="BY57" s="79"/>
      <c r="BZ57" s="79">
        <f t="shared" ref="BZ57:CA57" si="272">BZ45/BZ41</f>
        <v>0.24221397450379215</v>
      </c>
      <c r="CA57" s="79">
        <f t="shared" si="272"/>
        <v>0.20889465995779904</v>
      </c>
      <c r="CB57" s="79">
        <f t="shared" ref="CB57:CC57" si="273">CB45/CB41</f>
        <v>0.20383499838865615</v>
      </c>
      <c r="CC57" s="79">
        <f t="shared" si="273"/>
        <v>0.2069126576366184</v>
      </c>
      <c r="CD57" s="79">
        <f t="shared" ref="CD57:CH57" si="274">CD45/CD41</f>
        <v>0.26560144709074462</v>
      </c>
      <c r="CE57" s="79">
        <f t="shared" si="274"/>
        <v>0.20776139637349603</v>
      </c>
      <c r="CF57" s="79">
        <f t="shared" si="274"/>
        <v>0.20609868219429972</v>
      </c>
      <c r="CG57" s="79">
        <f t="shared" si="274"/>
        <v>0.18789144050104384</v>
      </c>
      <c r="CH57" s="79">
        <f t="shared" si="274"/>
        <v>0.20946538124452235</v>
      </c>
      <c r="CI57" s="121">
        <f>CI45/CI41</f>
        <v>0.19445335043283105</v>
      </c>
      <c r="CJ57" s="121">
        <f t="shared" ref="CJ57:CP57" si="275">CJ45/CJ41</f>
        <v>0.19912041249620868</v>
      </c>
      <c r="CK57" s="121">
        <f t="shared" si="275"/>
        <v>0.19182200841852073</v>
      </c>
      <c r="CL57" s="121">
        <f t="shared" si="275"/>
        <v>0.21465126480479602</v>
      </c>
      <c r="CM57" s="121">
        <f t="shared" si="275"/>
        <v>0.20049140049140049</v>
      </c>
      <c r="CN57" s="121">
        <f t="shared" si="275"/>
        <v>0.17706842255940453</v>
      </c>
      <c r="CO57" s="121">
        <f t="shared" si="275"/>
        <v>0.18730986527596696</v>
      </c>
      <c r="CP57" s="121">
        <f t="shared" si="275"/>
        <v>0.21522693997071743</v>
      </c>
      <c r="CQ57" s="121">
        <f t="shared" ref="CQ57:CS57" si="276">CQ45/CQ41</f>
        <v>0.22989123136833625</v>
      </c>
      <c r="CR57" s="121">
        <f t="shared" si="276"/>
        <v>0.20100143061516451</v>
      </c>
      <c r="CS57" s="121">
        <f t="shared" si="276"/>
        <v>0.18405268728683993</v>
      </c>
      <c r="CT57" s="121">
        <f t="shared" ref="CT57:CX57" si="277">CT45/CT41</f>
        <v>0.20019810697776799</v>
      </c>
      <c r="CU57" s="121">
        <f t="shared" si="277"/>
        <v>0.21604431937205809</v>
      </c>
      <c r="CV57" s="121">
        <f t="shared" si="277"/>
        <v>0.19413451241839094</v>
      </c>
      <c r="CW57" s="121">
        <f t="shared" si="277"/>
        <v>0.17881014133427786</v>
      </c>
      <c r="CX57" s="121">
        <f t="shared" si="277"/>
        <v>0.20134376764110115</v>
      </c>
      <c r="CY57" s="121"/>
      <c r="CZ57" s="82"/>
      <c r="DA57" s="79"/>
      <c r="DB57" s="79"/>
      <c r="DC57" s="79"/>
      <c r="DD57" s="79"/>
      <c r="DE57" s="79">
        <f>DE45/DE41</f>
        <v>0.2414800489158942</v>
      </c>
      <c r="DF57" s="79">
        <f>DF45/DF41</f>
        <v>0.2246178600160901</v>
      </c>
      <c r="DG57" s="79">
        <f>DG45/DG41</f>
        <v>0.2266610597140454</v>
      </c>
      <c r="DH57" s="79">
        <f>DH45/DH41</f>
        <v>0.2289621555751134</v>
      </c>
      <c r="DI57" s="79">
        <f>DI45/DI41</f>
        <v>0.2471505698860228</v>
      </c>
      <c r="DJ57" s="79">
        <v>0.24</v>
      </c>
      <c r="DK57" s="79">
        <v>0.19500000000000001</v>
      </c>
      <c r="DL57" s="79">
        <v>0.2</v>
      </c>
      <c r="DM57" s="79">
        <v>0.20499999999999999</v>
      </c>
      <c r="DN57" s="79">
        <v>0.21</v>
      </c>
      <c r="DO57" s="79">
        <v>0.22</v>
      </c>
      <c r="DP57" s="79">
        <v>0.23</v>
      </c>
      <c r="DQ57" s="79">
        <v>0.23</v>
      </c>
      <c r="DR57" s="79">
        <v>0.23</v>
      </c>
      <c r="DS57" s="79">
        <v>0.23</v>
      </c>
      <c r="DT57" s="79"/>
      <c r="DU57" s="79">
        <f t="shared" ref="DU57:DW57" si="278">DU45/DU41</f>
        <v>0.22195563247325362</v>
      </c>
      <c r="DV57" s="79">
        <f t="shared" si="278"/>
        <v>0.20266368990338351</v>
      </c>
      <c r="DW57" s="79">
        <f t="shared" si="278"/>
        <v>0.20020514379060136</v>
      </c>
      <c r="DX57" s="79">
        <f>DX45/DX41</f>
        <v>0.19574317133735367</v>
      </c>
      <c r="DY57" s="79">
        <f>DY45/DY41</f>
        <v>0.20290808999521301</v>
      </c>
      <c r="DZ57" s="79">
        <f>DZ45/DZ41</f>
        <v>0.19717638302573587</v>
      </c>
      <c r="EA57" s="79">
        <f t="shared" ref="EA57:EJ57" si="279">EA45/EA41</f>
        <v>0.19164557481625621</v>
      </c>
      <c r="EB57" s="79">
        <f t="shared" si="279"/>
        <v>0.1819158703709596</v>
      </c>
      <c r="EC57" s="79">
        <f t="shared" si="279"/>
        <v>0.1740663717148852</v>
      </c>
      <c r="ED57" s="79">
        <f t="shared" si="279"/>
        <v>0.16622655238903303</v>
      </c>
      <c r="EE57" s="79">
        <f t="shared" si="279"/>
        <v>0.15760734045209207</v>
      </c>
      <c r="EF57" s="79">
        <f t="shared" si="279"/>
        <v>0.14804579005758686</v>
      </c>
      <c r="EG57" s="79">
        <f t="shared" si="279"/>
        <v>0.1390218394160469</v>
      </c>
      <c r="EH57" s="79">
        <f t="shared" si="279"/>
        <v>0.12908406982504733</v>
      </c>
      <c r="EI57" s="79">
        <f t="shared" si="279"/>
        <v>0.11897520210261792</v>
      </c>
      <c r="EJ57" s="79">
        <f t="shared" si="279"/>
        <v>0.13901727703794758</v>
      </c>
      <c r="EL57" s="71" t="s">
        <v>795</v>
      </c>
      <c r="EM57" s="67">
        <f>NPV($EM$56,EA51:GT51)+Main!J5-Main!J6+DZ51</f>
        <v>170762.78155278065</v>
      </c>
    </row>
    <row r="58" spans="2:210" s="30" customFormat="1" ht="13">
      <c r="B58" s="30" t="s">
        <v>974</v>
      </c>
      <c r="C58" s="82"/>
      <c r="D58" s="82"/>
      <c r="E58" s="82"/>
      <c r="F58" s="82"/>
      <c r="G58" s="82"/>
      <c r="H58" s="82"/>
      <c r="I58" s="82"/>
      <c r="J58" s="82"/>
      <c r="K58" s="79">
        <f t="shared" ref="K58:AT58" si="280">K47/K41</f>
        <v>0.43467893033554772</v>
      </c>
      <c r="L58" s="79">
        <f t="shared" si="280"/>
        <v>0.43839106364215369</v>
      </c>
      <c r="M58" s="79">
        <f t="shared" si="280"/>
        <v>0.45457838963861963</v>
      </c>
      <c r="N58" s="79">
        <f t="shared" si="280"/>
        <v>0.36499616466376889</v>
      </c>
      <c r="O58" s="79">
        <f t="shared" si="280"/>
        <v>0.43770540782790546</v>
      </c>
      <c r="P58" s="79">
        <f t="shared" si="280"/>
        <v>0.42656503907761356</v>
      </c>
      <c r="Q58" s="79">
        <f t="shared" si="280"/>
        <v>0.41872465904902323</v>
      </c>
      <c r="R58" s="79">
        <f t="shared" si="280"/>
        <v>0.34788587143348232</v>
      </c>
      <c r="S58" s="79">
        <f t="shared" si="280"/>
        <v>0.4398164489939993</v>
      </c>
      <c r="T58" s="79">
        <f t="shared" si="280"/>
        <v>0.45145018915510721</v>
      </c>
      <c r="U58" s="79">
        <f t="shared" si="280"/>
        <v>0.45466074825618263</v>
      </c>
      <c r="V58" s="79">
        <f t="shared" si="280"/>
        <v>0.36349740140629777</v>
      </c>
      <c r="W58" s="79">
        <f t="shared" si="280"/>
        <v>0.43176872862915761</v>
      </c>
      <c r="X58" s="79">
        <f t="shared" si="280"/>
        <v>0.43951165371809103</v>
      </c>
      <c r="Y58" s="79">
        <f t="shared" si="280"/>
        <v>0.41805094130675524</v>
      </c>
      <c r="Z58" s="79">
        <f t="shared" si="280"/>
        <v>0.33376792698826596</v>
      </c>
      <c r="AA58" s="79">
        <f t="shared" si="280"/>
        <v>0.42771901274749119</v>
      </c>
      <c r="AB58" s="79">
        <f t="shared" si="280"/>
        <v>0.4197961373390558</v>
      </c>
      <c r="AC58" s="79">
        <f t="shared" si="280"/>
        <v>0.42176682359457213</v>
      </c>
      <c r="AD58" s="79">
        <f t="shared" si="280"/>
        <v>0.37516688918558078</v>
      </c>
      <c r="AE58" s="79">
        <f t="shared" si="280"/>
        <v>0.42845280929975088</v>
      </c>
      <c r="AF58" s="79">
        <f t="shared" si="280"/>
        <v>0.41950053134962806</v>
      </c>
      <c r="AG58" s="79">
        <f t="shared" si="280"/>
        <v>0.4374193548387097</v>
      </c>
      <c r="AH58" s="79">
        <f t="shared" si="280"/>
        <v>0.36523593708344443</v>
      </c>
      <c r="AI58" s="79">
        <f t="shared" si="280"/>
        <v>0.43984280532043529</v>
      </c>
      <c r="AJ58" s="79">
        <f t="shared" si="280"/>
        <v>0.44115270670616752</v>
      </c>
      <c r="AK58" s="79">
        <f t="shared" si="280"/>
        <v>0.45750262329485836</v>
      </c>
      <c r="AL58" s="79">
        <f t="shared" si="280"/>
        <v>0.32843265949067996</v>
      </c>
      <c r="AM58" s="79">
        <f t="shared" si="280"/>
        <v>0.44487750556792871</v>
      </c>
      <c r="AN58" s="79">
        <f t="shared" si="280"/>
        <v>0.43243953732912721</v>
      </c>
      <c r="AO58" s="79">
        <f t="shared" si="280"/>
        <v>0.41954926624737948</v>
      </c>
      <c r="AP58" s="79">
        <f t="shared" si="280"/>
        <v>0.34001562093204896</v>
      </c>
      <c r="AQ58" s="93">
        <f t="shared" si="280"/>
        <v>0.39179708580679978</v>
      </c>
      <c r="AR58" s="93">
        <f t="shared" si="280"/>
        <v>0.37155847436221268</v>
      </c>
      <c r="AS58" s="79">
        <f t="shared" si="280"/>
        <v>0.60603439345281263</v>
      </c>
      <c r="AT58" s="79">
        <f t="shared" si="280"/>
        <v>0.33572474377745237</v>
      </c>
      <c r="AU58" s="79"/>
      <c r="AV58" s="93">
        <f>AV47/AV41</f>
        <v>0.38887647978557072</v>
      </c>
      <c r="AW58" s="79"/>
      <c r="AX58" s="79"/>
      <c r="AY58" s="79"/>
      <c r="AZ58" s="79"/>
      <c r="BA58" s="79"/>
      <c r="BB58" s="79"/>
      <c r="BC58" s="79"/>
      <c r="BD58" s="79"/>
      <c r="BE58" s="79"/>
      <c r="BF58" s="79"/>
      <c r="BG58" s="79"/>
      <c r="BH58" s="79"/>
      <c r="BI58" s="79"/>
      <c r="BJ58" s="79"/>
      <c r="BK58" s="79"/>
      <c r="BL58" s="79"/>
      <c r="BM58" s="79"/>
      <c r="BN58" s="79"/>
      <c r="BO58" s="79">
        <f t="shared" ref="BO58" si="281">BO47/BO41</f>
        <v>0.48224743777452417</v>
      </c>
      <c r="BP58" s="79"/>
      <c r="BQ58" s="79"/>
      <c r="BR58" s="79"/>
      <c r="BS58" s="79">
        <f t="shared" ref="BS58" si="282">BS47/BS41</f>
        <v>0.49027727763773854</v>
      </c>
      <c r="BT58" s="79"/>
      <c r="BU58" s="79"/>
      <c r="BV58" s="79">
        <f t="shared" ref="BV58" si="283">BV47/BV41</f>
        <v>0.43611556982343497</v>
      </c>
      <c r="BW58" s="79">
        <f t="shared" ref="BW58" si="284">BW47/BW41</f>
        <v>0.4984703976965989</v>
      </c>
      <c r="BX58" s="79">
        <f t="shared" ref="BX58" si="285">BX47/BX41</f>
        <v>0.50638732754215632</v>
      </c>
      <c r="BY58" s="79"/>
      <c r="BZ58" s="79">
        <f t="shared" ref="BZ58:CA58" si="286">BZ47/BZ41</f>
        <v>0.422946587058254</v>
      </c>
      <c r="CA58" s="79">
        <f t="shared" si="286"/>
        <v>0.51550073040090894</v>
      </c>
      <c r="CB58" s="79">
        <f t="shared" ref="CB58:CC58" si="287">CB47/CB41</f>
        <v>0.52320335159523046</v>
      </c>
      <c r="CC58" s="79">
        <f t="shared" si="287"/>
        <v>0.49556282111163008</v>
      </c>
      <c r="CD58" s="79">
        <f t="shared" ref="CD58:CH58" si="288">CD47/CD41</f>
        <v>0.41121495327102803</v>
      </c>
      <c r="CE58" s="79">
        <f t="shared" si="288"/>
        <v>0.48534146754787322</v>
      </c>
      <c r="CF58" s="79">
        <f t="shared" si="288"/>
        <v>0.47670855041372967</v>
      </c>
      <c r="CG58" s="79">
        <f t="shared" si="288"/>
        <v>0.51476289889651061</v>
      </c>
      <c r="CH58" s="79">
        <f t="shared" si="288"/>
        <v>0.43777388255915861</v>
      </c>
      <c r="CI58" s="121">
        <f>CI47/CI41</f>
        <v>0.50336646361013149</v>
      </c>
      <c r="CJ58" s="121">
        <f t="shared" ref="CJ58:CP58" si="289">CJ47/CJ41</f>
        <v>0.50576281468001216</v>
      </c>
      <c r="CK58" s="121">
        <f t="shared" si="289"/>
        <v>0.49263379434756466</v>
      </c>
      <c r="CL58" s="121">
        <f t="shared" si="289"/>
        <v>0.43997660476677874</v>
      </c>
      <c r="CM58" s="121">
        <f t="shared" si="289"/>
        <v>0.46208026208026209</v>
      </c>
      <c r="CN58" s="121">
        <f t="shared" si="289"/>
        <v>0.50314915545376471</v>
      </c>
      <c r="CO58" s="121">
        <f t="shared" si="289"/>
        <v>0.49297406924525566</v>
      </c>
      <c r="CP58" s="121">
        <f t="shared" si="289"/>
        <v>0.44655929721815518</v>
      </c>
      <c r="CQ58" s="121">
        <f t="shared" ref="CQ58:CS58" si="290">CQ47/CQ41</f>
        <v>0.41332080032227742</v>
      </c>
      <c r="CR58" s="121">
        <f t="shared" si="290"/>
        <v>0.46173104434907009</v>
      </c>
      <c r="CS58" s="121">
        <f t="shared" si="290"/>
        <v>0.47559684817123365</v>
      </c>
      <c r="CT58" s="121">
        <f t="shared" ref="CT58:CX58" si="291">CT47/CT41</f>
        <v>0.44386968963240148</v>
      </c>
      <c r="CU58" s="121">
        <f t="shared" si="291"/>
        <v>0.44775803541006776</v>
      </c>
      <c r="CV58" s="121">
        <f t="shared" si="291"/>
        <v>0.47201411678008454</v>
      </c>
      <c r="CW58" s="121">
        <f t="shared" si="291"/>
        <v>0.48666167750191369</v>
      </c>
      <c r="CX58" s="121">
        <f t="shared" si="291"/>
        <v>0.44070586542399515</v>
      </c>
      <c r="CY58" s="121"/>
      <c r="CZ58" s="82"/>
      <c r="DA58" s="79"/>
      <c r="DB58" s="79"/>
      <c r="DC58" s="79"/>
      <c r="DD58" s="79"/>
      <c r="DE58" s="79">
        <f t="shared" ref="DE58:DT58" si="292">DE47/DE41</f>
        <v>0.40529445741820608</v>
      </c>
      <c r="DF58" s="79">
        <f t="shared" si="292"/>
        <v>0.42646363636363632</v>
      </c>
      <c r="DG58" s="79">
        <f t="shared" si="292"/>
        <v>0.40391084945332212</v>
      </c>
      <c r="DH58" s="79">
        <f t="shared" si="292"/>
        <v>0.41094035610317514</v>
      </c>
      <c r="DI58" s="79">
        <f t="shared" si="292"/>
        <v>0.41271745650869823</v>
      </c>
      <c r="DJ58" s="79">
        <f t="shared" si="292"/>
        <v>0.4157901925966398</v>
      </c>
      <c r="DK58" s="79">
        <f t="shared" si="292"/>
        <v>0.40855643393343521</v>
      </c>
      <c r="DL58" s="79">
        <f t="shared" si="292"/>
        <v>0.42826199071686427</v>
      </c>
      <c r="DM58" s="79">
        <f t="shared" si="292"/>
        <v>0.64500000000000002</v>
      </c>
      <c r="DN58" s="79">
        <f t="shared" si="292"/>
        <v>0.6399999999999999</v>
      </c>
      <c r="DO58" s="79">
        <f t="shared" si="292"/>
        <v>0.62999999999999989</v>
      </c>
      <c r="DP58" s="79">
        <f t="shared" si="292"/>
        <v>0.62000000000000011</v>
      </c>
      <c r="DQ58" s="79">
        <f t="shared" si="292"/>
        <v>0.61605303606688322</v>
      </c>
      <c r="DR58" s="79">
        <f t="shared" si="292"/>
        <v>-3.3636803035817429</v>
      </c>
      <c r="DS58" s="79" t="e">
        <f t="shared" si="292"/>
        <v>#DIV/0!</v>
      </c>
      <c r="DT58" s="79">
        <f t="shared" si="292"/>
        <v>0</v>
      </c>
      <c r="DU58" s="79">
        <f t="shared" ref="DU58:DX58" si="293">DU47/DU41</f>
        <v>0.48513215859030839</v>
      </c>
      <c r="DV58" s="79">
        <f t="shared" si="293"/>
        <v>0.47823241849185882</v>
      </c>
      <c r="DW58" s="79">
        <f t="shared" si="293"/>
        <v>0.48478516886373135</v>
      </c>
      <c r="DX58" s="79">
        <f t="shared" si="293"/>
        <v>0.47531039375665129</v>
      </c>
      <c r="DY58" s="79">
        <f t="shared" ref="DY58:DZ58" si="294">DY47/DY41</f>
        <v>0.47123025370990901</v>
      </c>
      <c r="DZ58" s="79">
        <f t="shared" si="294"/>
        <v>0.48192966542232141</v>
      </c>
      <c r="EA58" s="79">
        <f t="shared" ref="EA58:EJ58" si="295">EA47/EA41</f>
        <v>0.65835442518374365</v>
      </c>
      <c r="EB58" s="79">
        <f t="shared" si="295"/>
        <v>0.66808412962904029</v>
      </c>
      <c r="EC58" s="79">
        <f t="shared" si="295"/>
        <v>0.67593362828511472</v>
      </c>
      <c r="ED58" s="79">
        <f t="shared" si="295"/>
        <v>0.68377344761096692</v>
      </c>
      <c r="EE58" s="79">
        <f t="shared" si="295"/>
        <v>0.69239265954790785</v>
      </c>
      <c r="EF58" s="79">
        <f t="shared" si="295"/>
        <v>0.70195420994241309</v>
      </c>
      <c r="EG58" s="79">
        <f t="shared" si="295"/>
        <v>0.71097816058395302</v>
      </c>
      <c r="EH58" s="79">
        <f t="shared" si="295"/>
        <v>0.7209159301749527</v>
      </c>
      <c r="EI58" s="79">
        <f t="shared" si="295"/>
        <v>0.73102479789738206</v>
      </c>
      <c r="EJ58" s="79">
        <f t="shared" si="295"/>
        <v>0.71098272296205234</v>
      </c>
      <c r="EL58" s="82"/>
      <c r="EM58" s="63">
        <f>EM57/Main!J3</f>
        <v>315.06048256970598</v>
      </c>
    </row>
    <row r="59" spans="2:210" s="30" customFormat="1" ht="13">
      <c r="B59" s="30" t="s">
        <v>975</v>
      </c>
      <c r="C59" s="82"/>
      <c r="D59" s="82"/>
      <c r="E59" s="82"/>
      <c r="F59" s="82"/>
      <c r="G59" s="82"/>
      <c r="H59" s="82"/>
      <c r="I59" s="82"/>
      <c r="J59" s="82"/>
      <c r="K59" s="79">
        <f t="shared" ref="K59:AT59" si="296">K51/K41</f>
        <v>0.31976381082155236</v>
      </c>
      <c r="L59" s="79">
        <f t="shared" si="296"/>
        <v>0.32257116260839735</v>
      </c>
      <c r="M59" s="79">
        <f t="shared" si="296"/>
        <v>0.32347613440811512</v>
      </c>
      <c r="N59" s="79">
        <f t="shared" si="296"/>
        <v>0.26199607943407482</v>
      </c>
      <c r="O59" s="79">
        <f t="shared" si="296"/>
        <v>0.32306116351530134</v>
      </c>
      <c r="P59" s="79">
        <f t="shared" si="296"/>
        <v>0.31490366014083415</v>
      </c>
      <c r="Q59" s="79">
        <f t="shared" si="296"/>
        <v>0.30917803169922592</v>
      </c>
      <c r="R59" s="79">
        <f t="shared" si="296"/>
        <v>0.25960811275352358</v>
      </c>
      <c r="S59" s="79">
        <f t="shared" si="296"/>
        <v>0.32615601835510061</v>
      </c>
      <c r="T59" s="79">
        <f t="shared" si="296"/>
        <v>0.34804539722572508</v>
      </c>
      <c r="U59" s="79">
        <f t="shared" si="296"/>
        <v>0.3383005707038681</v>
      </c>
      <c r="V59" s="79">
        <f t="shared" si="296"/>
        <v>0.28370528890247632</v>
      </c>
      <c r="W59" s="79">
        <f t="shared" si="296"/>
        <v>0.34224432701274482</v>
      </c>
      <c r="X59" s="79">
        <f t="shared" si="296"/>
        <v>0.34267480577136517</v>
      </c>
      <c r="Y59" s="79">
        <f t="shared" si="296"/>
        <v>0.33887043189368771</v>
      </c>
      <c r="Z59" s="79">
        <f t="shared" si="296"/>
        <v>0.27640156453715775</v>
      </c>
      <c r="AA59" s="79">
        <f t="shared" si="296"/>
        <v>0.34445348521833469</v>
      </c>
      <c r="AB59" s="79">
        <f t="shared" si="296"/>
        <v>0.33932403433476394</v>
      </c>
      <c r="AC59" s="79">
        <f t="shared" si="296"/>
        <v>0.32705621711437277</v>
      </c>
      <c r="AD59" s="79">
        <f t="shared" si="296"/>
        <v>0.290520694259012</v>
      </c>
      <c r="AE59" s="79">
        <f t="shared" si="296"/>
        <v>0.33711597010794353</v>
      </c>
      <c r="AF59" s="79">
        <f t="shared" si="296"/>
        <v>0.32810839532412328</v>
      </c>
      <c r="AG59" s="79">
        <f t="shared" si="296"/>
        <v>0.33754838709677421</v>
      </c>
      <c r="AH59" s="79">
        <f t="shared" si="296"/>
        <v>0.29965342575313247</v>
      </c>
      <c r="AI59" s="79">
        <f t="shared" si="296"/>
        <v>0.3385731559854897</v>
      </c>
      <c r="AJ59" s="79">
        <f t="shared" si="296"/>
        <v>0.35308375976299489</v>
      </c>
      <c r="AK59" s="79">
        <f t="shared" si="296"/>
        <v>0.39821615949632738</v>
      </c>
      <c r="AL59" s="79">
        <f t="shared" si="296"/>
        <v>0.27960094512995537</v>
      </c>
      <c r="AM59" s="79">
        <f t="shared" si="296"/>
        <v>0.35690423162583518</v>
      </c>
      <c r="AN59" s="79">
        <f t="shared" si="296"/>
        <v>0.34858044164037855</v>
      </c>
      <c r="AO59" s="79">
        <f t="shared" si="296"/>
        <v>0.3440775681341719</v>
      </c>
      <c r="AP59" s="79">
        <f t="shared" si="296"/>
        <v>0.28716480083311635</v>
      </c>
      <c r="AQ59" s="93">
        <f t="shared" si="296"/>
        <v>0.33944954128440369</v>
      </c>
      <c r="AR59" s="93">
        <f t="shared" si="296"/>
        <v>0.32356655721141703</v>
      </c>
      <c r="AS59" s="79">
        <f t="shared" si="296"/>
        <v>0.48482751476225011</v>
      </c>
      <c r="AT59" s="79">
        <f t="shared" si="296"/>
        <v>0.26857979502196189</v>
      </c>
      <c r="AU59" s="79"/>
      <c r="AV59" s="93">
        <f>AV51/AV41</f>
        <v>0.29908420817511727</v>
      </c>
      <c r="AW59" s="79"/>
      <c r="AX59" s="79"/>
      <c r="AY59" s="79"/>
      <c r="AZ59" s="79"/>
      <c r="BA59" s="79"/>
      <c r="BB59" s="79"/>
      <c r="BC59" s="79"/>
      <c r="BD59" s="79"/>
      <c r="BE59" s="79"/>
      <c r="BF59" s="79"/>
      <c r="BG59" s="79"/>
      <c r="BH59" s="79"/>
      <c r="BI59" s="79"/>
      <c r="BJ59" s="79"/>
      <c r="BK59" s="79"/>
      <c r="BL59" s="79"/>
      <c r="BM59" s="79"/>
      <c r="BN59" s="79"/>
      <c r="BO59" s="79">
        <f t="shared" ref="BO59" si="297">BO51/BO41</f>
        <v>0.38707906295754024</v>
      </c>
      <c r="BP59" s="79"/>
      <c r="BQ59" s="79"/>
      <c r="BR59" s="79"/>
      <c r="BS59" s="79">
        <f t="shared" ref="BS59" si="298">BS51/BS41</f>
        <v>0.4155563557796183</v>
      </c>
      <c r="BT59" s="79"/>
      <c r="BU59" s="79"/>
      <c r="BV59" s="79">
        <f t="shared" ref="BV59" si="299">BV51/BV41</f>
        <v>0.36324237560192618</v>
      </c>
      <c r="BW59" s="79">
        <f t="shared" ref="BW59" si="300">BW51/BW41</f>
        <v>0.40129566312758685</v>
      </c>
      <c r="BX59" s="79">
        <f t="shared" ref="BX59" si="301">BX51/BX41</f>
        <v>0.34712996082439107</v>
      </c>
      <c r="BY59" s="79"/>
      <c r="BZ59" s="79">
        <f t="shared" ref="BZ59:CA59" si="302">BZ51/BZ41</f>
        <v>0.36727448765531706</v>
      </c>
      <c r="CA59" s="79">
        <f t="shared" si="302"/>
        <v>0.40188281123194286</v>
      </c>
      <c r="CB59" s="79">
        <f t="shared" ref="CB59:CC59" si="303">CB51/CB41</f>
        <v>0.43941347083467613</v>
      </c>
      <c r="CC59" s="79">
        <f t="shared" si="303"/>
        <v>0.41974155379106337</v>
      </c>
      <c r="CD59" s="79">
        <f t="shared" ref="CD59:CH59" si="304">CD51/CD41</f>
        <v>0.32378655411516433</v>
      </c>
      <c r="CE59" s="79">
        <f t="shared" si="304"/>
        <v>0.40128791730215219</v>
      </c>
      <c r="CF59" s="79">
        <f t="shared" si="304"/>
        <v>0.38645418326693226</v>
      </c>
      <c r="CG59" s="79">
        <f t="shared" si="304"/>
        <v>0.43021175067104084</v>
      </c>
      <c r="CH59" s="79">
        <f t="shared" si="304"/>
        <v>0.35495179666958809</v>
      </c>
      <c r="CI59" s="121">
        <f>CI51/CI41</f>
        <v>0.42417441487656299</v>
      </c>
      <c r="CJ59" s="121">
        <f t="shared" ref="CJ59:CP59" si="305">CJ51/CJ41</f>
        <v>0.378374279648165</v>
      </c>
      <c r="CK59" s="121">
        <f t="shared" si="305"/>
        <v>0.41491280817799159</v>
      </c>
      <c r="CL59" s="121">
        <f t="shared" si="305"/>
        <v>0.32329287907588827</v>
      </c>
      <c r="CM59" s="121">
        <f t="shared" si="305"/>
        <v>0.32645372645372644</v>
      </c>
      <c r="CN59" s="121">
        <f t="shared" si="305"/>
        <v>0.37975951903807614</v>
      </c>
      <c r="CO59" s="121">
        <f t="shared" si="305"/>
        <v>0.38635375923511517</v>
      </c>
      <c r="CP59" s="121">
        <f t="shared" si="305"/>
        <v>0.31027330405075648</v>
      </c>
      <c r="CQ59" s="121">
        <f t="shared" ref="CQ59:CS59" si="306">CQ51/CQ41</f>
        <v>0.27326440177252587</v>
      </c>
      <c r="CR59" s="121">
        <f t="shared" si="306"/>
        <v>0.31044349070100141</v>
      </c>
      <c r="CS59" s="121">
        <f t="shared" si="306"/>
        <v>0.35246383629307304</v>
      </c>
      <c r="CT59" s="121">
        <f t="shared" ref="CT59:CX59" si="307">CT51/CT41</f>
        <v>0.31014747963900507</v>
      </c>
      <c r="CU59" s="121">
        <f t="shared" si="307"/>
        <v>0.32870437767373772</v>
      </c>
      <c r="CV59" s="121">
        <f t="shared" si="307"/>
        <v>0.34221917855539052</v>
      </c>
      <c r="CW59" s="121">
        <f t="shared" si="307"/>
        <v>0.3581993418872752</v>
      </c>
      <c r="CX59" s="121">
        <f t="shared" si="307"/>
        <v>0.32540673876227261</v>
      </c>
      <c r="CY59" s="121"/>
      <c r="CZ59" s="82"/>
      <c r="DA59" s="79"/>
      <c r="DB59" s="79"/>
      <c r="DC59" s="79"/>
      <c r="DD59" s="79"/>
      <c r="DE59" s="79">
        <f t="shared" ref="DE59:DT59" si="308">DE51/DE41</f>
        <v>0.30036906818482112</v>
      </c>
      <c r="DF59" s="79">
        <f t="shared" si="308"/>
        <v>0.32364786806114232</v>
      </c>
      <c r="DG59" s="79">
        <f t="shared" si="308"/>
        <v>0.32380151387720774</v>
      </c>
      <c r="DH59" s="79">
        <f t="shared" si="308"/>
        <v>0.3284544038995329</v>
      </c>
      <c r="DI59" s="79">
        <f t="shared" si="308"/>
        <v>0.32560154635739519</v>
      </c>
      <c r="DJ59" s="79">
        <f t="shared" si="308"/>
        <v>0.32098825297090561</v>
      </c>
      <c r="DK59" s="79">
        <f t="shared" si="308"/>
        <v>0.33375406895635423</v>
      </c>
      <c r="DL59" s="79">
        <f t="shared" si="308"/>
        <v>0.34475090252707574</v>
      </c>
      <c r="DM59" s="79">
        <f t="shared" si="308"/>
        <v>0.5178009658089332</v>
      </c>
      <c r="DN59" s="79">
        <f t="shared" si="308"/>
        <v>0.51718890518147076</v>
      </c>
      <c r="DO59" s="79">
        <f t="shared" si="308"/>
        <v>0.51430374083786878</v>
      </c>
      <c r="DP59" s="79">
        <f t="shared" si="308"/>
        <v>0.51186651669767014</v>
      </c>
      <c r="DQ59" s="79">
        <f t="shared" si="308"/>
        <v>0.51324023138158037</v>
      </c>
      <c r="DR59" s="79">
        <f t="shared" si="308"/>
        <v>-2.1059298924271297</v>
      </c>
      <c r="DS59" s="79" t="e">
        <f t="shared" si="308"/>
        <v>#DIV/0!</v>
      </c>
      <c r="DT59" s="79">
        <f t="shared" si="308"/>
        <v>0</v>
      </c>
      <c r="DU59" s="79">
        <f t="shared" ref="DU59:DX59" si="309">DU51/DU41</f>
        <v>0.40131371932032722</v>
      </c>
      <c r="DV59" s="79">
        <f t="shared" si="309"/>
        <v>0.40105469802532817</v>
      </c>
      <c r="DW59" s="79">
        <f t="shared" si="309"/>
        <v>0.38415074269650118</v>
      </c>
      <c r="DX59" s="79">
        <f t="shared" si="309"/>
        <v>0.34962752749201842</v>
      </c>
      <c r="DY59" s="79">
        <f t="shared" ref="DY59:DZ59" si="310">DY51/DY41</f>
        <v>0.33438247965533741</v>
      </c>
      <c r="DZ59" s="79">
        <f t="shared" si="310"/>
        <v>0.35875592226912745</v>
      </c>
      <c r="EA59" s="79">
        <f t="shared" ref="EA59:EJ59" si="311">EA51/EA41</f>
        <v>0.52668354014699492</v>
      </c>
      <c r="EB59" s="79">
        <f t="shared" si="311"/>
        <v>0.53867736016958101</v>
      </c>
      <c r="EC59" s="79">
        <f t="shared" si="311"/>
        <v>0.54932781631415584</v>
      </c>
      <c r="ED59" s="79">
        <f t="shared" si="311"/>
        <v>0.5600620504679743</v>
      </c>
      <c r="EE59" s="79">
        <f t="shared" si="311"/>
        <v>0.5714037506227726</v>
      </c>
      <c r="EF59" s="79">
        <f t="shared" si="311"/>
        <v>0.58337651447894401</v>
      </c>
      <c r="EG59" s="79">
        <f t="shared" si="311"/>
        <v>0.59495736305077018</v>
      </c>
      <c r="EH59" s="79">
        <f t="shared" si="311"/>
        <v>0.60696767802692886</v>
      </c>
      <c r="EI59" s="79">
        <f t="shared" si="311"/>
        <v>0.61886472731502185</v>
      </c>
      <c r="EJ59" s="79">
        <f t="shared" si="311"/>
        <v>0.61674921059114751</v>
      </c>
    </row>
    <row r="60" spans="2:210" s="38" customFormat="1" ht="13">
      <c r="B60" s="38" t="s">
        <v>445</v>
      </c>
      <c r="C60" s="79"/>
      <c r="D60" s="79"/>
      <c r="E60" s="79">
        <f>E50/E49</f>
        <v>0.58231978641352711</v>
      </c>
      <c r="F60" s="79"/>
      <c r="G60" s="79">
        <f t="shared" ref="G60:AT60" si="312">G50/G49</f>
        <v>0.30899556272690593</v>
      </c>
      <c r="H60" s="79">
        <f t="shared" si="312"/>
        <v>0.30728388916542226</v>
      </c>
      <c r="I60" s="79">
        <f t="shared" si="312"/>
        <v>0.31006160164271052</v>
      </c>
      <c r="J60" s="79">
        <f t="shared" si="312"/>
        <v>0.30997659449970733</v>
      </c>
      <c r="K60" s="79">
        <f t="shared" si="312"/>
        <v>0.29308397138195047</v>
      </c>
      <c r="L60" s="79">
        <f t="shared" si="312"/>
        <v>0.29333476440914463</v>
      </c>
      <c r="M60" s="79">
        <f t="shared" si="312"/>
        <v>0.29500592183182006</v>
      </c>
      <c r="N60" s="79">
        <f t="shared" si="312"/>
        <v>0.29454962707974752</v>
      </c>
      <c r="O60" s="79">
        <f t="shared" si="312"/>
        <v>0.2804449092119024</v>
      </c>
      <c r="P60" s="79">
        <f t="shared" si="312"/>
        <v>0.27193845603363453</v>
      </c>
      <c r="Q60" s="79">
        <f t="shared" si="312"/>
        <v>0.27124239791485666</v>
      </c>
      <c r="R60" s="79">
        <f t="shared" si="312"/>
        <v>0.25888125613346419</v>
      </c>
      <c r="S60" s="79">
        <f t="shared" si="312"/>
        <v>0.2643312101910828</v>
      </c>
      <c r="T60" s="79">
        <f t="shared" si="312"/>
        <v>0.22143864598025387</v>
      </c>
      <c r="U60" s="79">
        <f t="shared" si="312"/>
        <v>0.26312154696132595</v>
      </c>
      <c r="V60" s="79">
        <f t="shared" si="312"/>
        <v>0.22602168473728107</v>
      </c>
      <c r="W60" s="79">
        <f t="shared" si="312"/>
        <v>0.25051055139550715</v>
      </c>
      <c r="X60" s="79">
        <f t="shared" si="312"/>
        <v>0.23052959501557632</v>
      </c>
      <c r="Y60" s="79">
        <f t="shared" si="312"/>
        <v>0.20981278244028406</v>
      </c>
      <c r="Z60" s="79">
        <f t="shared" si="312"/>
        <v>0.19696969696969696</v>
      </c>
      <c r="AA60" s="79">
        <f t="shared" si="312"/>
        <v>0.21701602959309493</v>
      </c>
      <c r="AB60" s="79">
        <f t="shared" si="312"/>
        <v>0.19529262086513996</v>
      </c>
      <c r="AC60" s="79">
        <f t="shared" si="312"/>
        <v>0.21371504660452731</v>
      </c>
      <c r="AD60" s="79">
        <f t="shared" si="312"/>
        <v>0.22617354196301565</v>
      </c>
      <c r="AE60" s="79">
        <f t="shared" si="312"/>
        <v>0.22420382165605096</v>
      </c>
      <c r="AF60" s="79">
        <f t="shared" si="312"/>
        <v>0.22229219143576825</v>
      </c>
      <c r="AG60" s="79">
        <f t="shared" si="312"/>
        <v>0.22695035460992907</v>
      </c>
      <c r="AH60" s="79">
        <f t="shared" si="312"/>
        <v>0.19020172910662825</v>
      </c>
      <c r="AI60" s="79">
        <f t="shared" si="312"/>
        <v>0.21513665031534687</v>
      </c>
      <c r="AJ60" s="79">
        <f t="shared" si="312"/>
        <v>0.18062500000000001</v>
      </c>
      <c r="AK60" s="79">
        <f t="shared" si="312"/>
        <v>0.12858783008036739</v>
      </c>
      <c r="AL60" s="79">
        <f t="shared" si="312"/>
        <v>0.15943172849250198</v>
      </c>
      <c r="AM60" s="79">
        <f t="shared" si="312"/>
        <v>0.19975031210986266</v>
      </c>
      <c r="AN60" s="79">
        <f t="shared" si="312"/>
        <v>0.20024125452352232</v>
      </c>
      <c r="AO60" s="79">
        <f t="shared" si="312"/>
        <v>0.19100431300061615</v>
      </c>
      <c r="AP60" s="79">
        <f t="shared" si="312"/>
        <v>0.15478927203065135</v>
      </c>
      <c r="AQ60" s="93">
        <f t="shared" si="312"/>
        <v>0.1663353214049039</v>
      </c>
      <c r="AR60" s="93">
        <f t="shared" si="312"/>
        <v>0.15165562913907285</v>
      </c>
      <c r="AS60" s="79">
        <f t="shared" si="312"/>
        <v>0.2</v>
      </c>
      <c r="AT60" s="79">
        <f t="shared" si="312"/>
        <v>0.19999999999999998</v>
      </c>
      <c r="AU60" s="79"/>
      <c r="AV60" s="93">
        <f>AV50/AV49</f>
        <v>0.12483660130718954</v>
      </c>
      <c r="AW60" s="79"/>
      <c r="AX60" s="79"/>
      <c r="AY60" s="79"/>
      <c r="AZ60" s="79"/>
      <c r="BA60" s="79"/>
      <c r="BB60" s="79"/>
      <c r="BC60" s="79"/>
      <c r="BD60" s="79"/>
      <c r="BE60" s="79"/>
      <c r="BF60" s="79"/>
      <c r="BG60" s="79"/>
      <c r="BH60" s="79"/>
      <c r="BI60" s="79"/>
      <c r="BJ60" s="79"/>
      <c r="BK60" s="79"/>
      <c r="BL60" s="79"/>
      <c r="BM60" s="79"/>
      <c r="BN60" s="79"/>
      <c r="BO60" s="79">
        <f t="shared" ref="BO60" si="313">BO50/BO49</f>
        <v>0.15535143769968052</v>
      </c>
      <c r="BP60" s="79"/>
      <c r="BQ60" s="79"/>
      <c r="BR60" s="79"/>
      <c r="BS60" s="79">
        <f t="shared" ref="BS60" si="314">BS50/BS49</f>
        <v>0.11773700305810397</v>
      </c>
      <c r="BT60" s="79"/>
      <c r="BU60" s="79"/>
      <c r="BV60" s="79">
        <f t="shared" ref="BV60" si="315">BV50/BV49</f>
        <v>0.10198412698412698</v>
      </c>
      <c r="BW60" s="79">
        <f t="shared" ref="BW60" si="316">BW50/BW49</f>
        <v>0.14624808575803983</v>
      </c>
      <c r="BX60" s="79">
        <f t="shared" ref="BX60" si="317">BX50/BX49</f>
        <v>0.15889393314073463</v>
      </c>
      <c r="BY60" s="79"/>
      <c r="BZ60" s="79">
        <f t="shared" ref="BZ60:CA60" si="318">BZ50/BZ49</f>
        <v>0.10954616588419405</v>
      </c>
      <c r="CA60" s="79">
        <f t="shared" si="318"/>
        <v>0.1284758887715593</v>
      </c>
      <c r="CB60" s="79">
        <f t="shared" ref="CB60:CC60" si="319">CB50/CB49</f>
        <v>7.6844955991875422E-2</v>
      </c>
      <c r="CC60" s="79">
        <f t="shared" si="319"/>
        <v>6.4213814647691769E-2</v>
      </c>
      <c r="CD60" s="79">
        <f t="shared" ref="CD60:CH60" si="320">CD50/CD49</f>
        <v>0.10871369294605809</v>
      </c>
      <c r="CE60" s="79">
        <f t="shared" si="320"/>
        <v>8.1814656843737885E-2</v>
      </c>
      <c r="CF60" s="79">
        <f t="shared" si="320"/>
        <v>0.12552011095700416</v>
      </c>
      <c r="CG60" s="79">
        <f t="shared" si="320"/>
        <v>8.5868187579214189E-2</v>
      </c>
      <c r="CH60" s="79">
        <f t="shared" si="320"/>
        <v>8.7152516904583019E-2</v>
      </c>
      <c r="CI60" s="121">
        <f>CI50/CI49</f>
        <v>6.9947275922671359E-2</v>
      </c>
      <c r="CJ60" s="121">
        <f t="shared" ref="CJ60:CP60" si="321">CJ50/CJ49</f>
        <v>0.14700854700854701</v>
      </c>
      <c r="CK60" s="121">
        <f t="shared" si="321"/>
        <v>8.2751744765702892E-2</v>
      </c>
      <c r="CL60" s="121">
        <f t="shared" si="321"/>
        <v>0.13328106624852998</v>
      </c>
      <c r="CM60" s="121">
        <f t="shared" si="321"/>
        <v>0.18917819365337674</v>
      </c>
      <c r="CN60" s="121">
        <f t="shared" si="321"/>
        <v>0.16519823788546256</v>
      </c>
      <c r="CO60" s="121">
        <f t="shared" si="321"/>
        <v>0.16079295154185022</v>
      </c>
      <c r="CP60" s="121">
        <f t="shared" si="321"/>
        <v>0.15933884297520662</v>
      </c>
      <c r="CQ60" s="121">
        <f t="shared" ref="CQ60:CS60" si="322">CQ50/CQ49</f>
        <v>0.16047854785478549</v>
      </c>
      <c r="CR60" s="121">
        <f t="shared" si="322"/>
        <v>0.15344603381014305</v>
      </c>
      <c r="CS60" s="121">
        <f t="shared" si="322"/>
        <v>8.292533659730722E-2</v>
      </c>
      <c r="CT60" s="121">
        <f t="shared" ref="CT60:CX60" si="323">CT50/CT49</f>
        <v>0.15069318866787221</v>
      </c>
      <c r="CU60" s="121">
        <f t="shared" si="323"/>
        <v>0.1</v>
      </c>
      <c r="CV60" s="121">
        <f t="shared" si="323"/>
        <v>0.1</v>
      </c>
      <c r="CW60" s="121">
        <f t="shared" si="323"/>
        <v>0.10000000000000002</v>
      </c>
      <c r="CX60" s="121">
        <f t="shared" si="323"/>
        <v>0.10000000000000002</v>
      </c>
      <c r="CY60" s="121"/>
      <c r="CZ60" s="79"/>
      <c r="DA60" s="79"/>
      <c r="DB60" s="79"/>
      <c r="DC60" s="79"/>
      <c r="DD60" s="79">
        <f>DD50/DD49</f>
        <v>0.29515479661252259</v>
      </c>
      <c r="DE60" s="79">
        <f>DE50/DE49</f>
        <v>0.27141273214450706</v>
      </c>
      <c r="DF60" s="79">
        <f>DF50/DF49</f>
        <v>0.24394172236011552</v>
      </c>
      <c r="DG60" s="79">
        <f>DG50/DG49</f>
        <v>0.22261484098939929</v>
      </c>
      <c r="DH60" s="79">
        <v>0.22</v>
      </c>
      <c r="DI60" s="79">
        <v>0.22500000000000001</v>
      </c>
      <c r="DJ60" s="79">
        <v>0.22500000000000001</v>
      </c>
      <c r="DK60" s="79">
        <f>DK50/DK49</f>
        <v>0.1881060116354234</v>
      </c>
      <c r="DL60" s="79">
        <v>0.19500000000000001</v>
      </c>
      <c r="DM60" s="79">
        <v>0.21</v>
      </c>
      <c r="DN60" s="79">
        <v>0.21</v>
      </c>
      <c r="DO60" s="79">
        <v>0.21</v>
      </c>
      <c r="DP60" s="79">
        <v>0.21</v>
      </c>
      <c r="DQ60" s="79">
        <v>0.21</v>
      </c>
      <c r="DR60" s="79">
        <v>0.21</v>
      </c>
      <c r="DS60" s="79"/>
      <c r="DT60" s="79"/>
      <c r="DU60" s="79">
        <f>+DU50/DU49</f>
        <v>7.8486271676300581E-2</v>
      </c>
      <c r="DV60" s="79">
        <f t="shared" ref="DV60:DY60" si="324">+DV50/DV49</f>
        <v>7.1969359579584932E-2</v>
      </c>
      <c r="DW60" s="79">
        <f t="shared" si="324"/>
        <v>0.10750220653133274</v>
      </c>
      <c r="DX60" s="79">
        <f t="shared" si="324"/>
        <v>0.16749725483571248</v>
      </c>
      <c r="DY60" s="79">
        <f t="shared" si="324"/>
        <v>0.12741638299865715</v>
      </c>
      <c r="DZ60" s="79">
        <f>DZ50/DZ49</f>
        <v>9.4954533652724826E-2</v>
      </c>
      <c r="EA60" s="79">
        <f t="shared" ref="EA60:EJ60" si="325">EA50/EA49</f>
        <v>0.19999999999999998</v>
      </c>
      <c r="EB60" s="79">
        <f t="shared" si="325"/>
        <v>0.2</v>
      </c>
      <c r="EC60" s="79">
        <f t="shared" si="325"/>
        <v>0.2</v>
      </c>
      <c r="ED60" s="79">
        <f t="shared" si="325"/>
        <v>0.2</v>
      </c>
      <c r="EE60" s="79">
        <f t="shared" si="325"/>
        <v>0.2</v>
      </c>
      <c r="EF60" s="79">
        <f t="shared" si="325"/>
        <v>0.2</v>
      </c>
      <c r="EG60" s="79">
        <f t="shared" si="325"/>
        <v>0.2</v>
      </c>
      <c r="EH60" s="79">
        <f t="shared" si="325"/>
        <v>0.2</v>
      </c>
      <c r="EI60" s="79">
        <f t="shared" si="325"/>
        <v>0.2</v>
      </c>
      <c r="EJ60" s="79">
        <f t="shared" si="325"/>
        <v>0.2</v>
      </c>
    </row>
    <row r="61" spans="2:210" s="30" customFormat="1" ht="13">
      <c r="C61" s="82"/>
      <c r="D61" s="82"/>
      <c r="E61" s="82"/>
      <c r="F61" s="82"/>
      <c r="G61" s="82"/>
      <c r="H61" s="82"/>
      <c r="I61" s="82"/>
      <c r="J61" s="82"/>
      <c r="K61" s="79"/>
      <c r="L61" s="79"/>
      <c r="M61" s="79"/>
      <c r="N61" s="79"/>
      <c r="O61" s="79"/>
      <c r="P61" s="79"/>
      <c r="Q61" s="79"/>
      <c r="R61" s="79"/>
      <c r="S61" s="79"/>
      <c r="T61" s="79"/>
      <c r="U61" s="79"/>
      <c r="V61" s="79"/>
      <c r="W61" s="79"/>
      <c r="X61" s="79"/>
      <c r="Y61" s="79"/>
      <c r="Z61" s="79"/>
      <c r="AA61" s="79"/>
      <c r="AB61" s="79"/>
      <c r="AC61" s="79"/>
      <c r="AD61" s="79"/>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c r="CC61" s="82"/>
      <c r="CD61" s="82"/>
      <c r="CE61" s="82"/>
      <c r="CF61" s="82"/>
      <c r="CG61" s="82"/>
      <c r="CH61" s="82"/>
      <c r="CI61" s="122"/>
      <c r="CJ61" s="122"/>
      <c r="CK61" s="122"/>
      <c r="CL61" s="122"/>
      <c r="CM61" s="122"/>
      <c r="CN61" s="122"/>
      <c r="CO61" s="122"/>
      <c r="CP61" s="122"/>
      <c r="CQ61" s="122"/>
      <c r="CR61" s="122"/>
      <c r="CS61" s="122"/>
      <c r="CT61" s="122"/>
      <c r="CU61" s="122"/>
      <c r="CV61" s="122"/>
      <c r="CW61" s="122"/>
      <c r="CX61" s="122"/>
      <c r="CY61" s="122"/>
      <c r="CZ61" s="82"/>
      <c r="DA61" s="79"/>
      <c r="DB61" s="79"/>
      <c r="DC61" s="79"/>
      <c r="DD61" s="79"/>
      <c r="DE61" s="79"/>
      <c r="DF61" s="79"/>
      <c r="DG61" s="79"/>
      <c r="DH61" s="79"/>
      <c r="DI61" s="79"/>
      <c r="DJ61" s="79"/>
      <c r="DK61" s="79"/>
      <c r="DL61" s="79"/>
      <c r="DM61" s="79"/>
      <c r="DN61" s="79"/>
      <c r="DO61" s="79"/>
      <c r="DP61" s="79"/>
      <c r="DQ61" s="82"/>
      <c r="DR61" s="82"/>
      <c r="DS61" s="82"/>
      <c r="DT61" s="82"/>
      <c r="DU61" s="82"/>
      <c r="DV61" s="82"/>
      <c r="DW61" s="82"/>
      <c r="DX61" s="82"/>
      <c r="DY61" s="82"/>
      <c r="DZ61" s="82"/>
      <c r="EA61" s="82"/>
      <c r="EB61" s="82"/>
      <c r="EC61" s="82"/>
      <c r="ED61" s="82"/>
      <c r="EE61" s="82"/>
    </row>
    <row r="62" spans="2:210" s="31" customFormat="1" ht="13">
      <c r="B62" s="35" t="s">
        <v>281</v>
      </c>
      <c r="C62" s="83"/>
      <c r="D62" s="83"/>
      <c r="E62" s="83"/>
      <c r="F62" s="83"/>
      <c r="G62" s="83"/>
      <c r="H62" s="83"/>
      <c r="I62" s="84"/>
      <c r="J62" s="84"/>
      <c r="K62" s="84">
        <f t="shared" ref="K62:AV62" si="326">K41/G41-1</f>
        <v>0.74645513138324215</v>
      </c>
      <c r="L62" s="84">
        <f t="shared" si="326"/>
        <v>0.63431820001601391</v>
      </c>
      <c r="M62" s="84">
        <f t="shared" si="326"/>
        <v>0.47282064963649706</v>
      </c>
      <c r="N62" s="84">
        <f t="shared" si="326"/>
        <v>0.32869033463563779</v>
      </c>
      <c r="O62" s="84">
        <f t="shared" si="326"/>
        <v>0.33021063986827892</v>
      </c>
      <c r="P62" s="84">
        <f t="shared" si="326"/>
        <v>0.26627798735975694</v>
      </c>
      <c r="Q62" s="84">
        <f t="shared" si="326"/>
        <v>0.22860248165927</v>
      </c>
      <c r="R62" s="84">
        <f t="shared" si="326"/>
        <v>0.23966589959942053</v>
      </c>
      <c r="S62" s="84">
        <f t="shared" si="326"/>
        <v>0.20918519783174716</v>
      </c>
      <c r="T62" s="84">
        <f t="shared" si="326"/>
        <v>0.22726920993577338</v>
      </c>
      <c r="U62" s="84">
        <f t="shared" si="326"/>
        <v>0.16255068190195354</v>
      </c>
      <c r="V62" s="84">
        <f t="shared" si="326"/>
        <v>0.12444138879339972</v>
      </c>
      <c r="W62" s="84">
        <f t="shared" si="326"/>
        <v>0.13554535827744441</v>
      </c>
      <c r="X62" s="84">
        <f t="shared" si="326"/>
        <v>0.1361916771752838</v>
      </c>
      <c r="Y62" s="84">
        <f t="shared" si="326"/>
        <v>0.14521242866201645</v>
      </c>
      <c r="Z62" s="84">
        <f t="shared" si="326"/>
        <v>0.17242433506572907</v>
      </c>
      <c r="AA62" s="84">
        <f t="shared" si="326"/>
        <v>0.14609884986011812</v>
      </c>
      <c r="AB62" s="84">
        <f t="shared" si="326"/>
        <v>3.4406215316315159E-2</v>
      </c>
      <c r="AC62" s="84">
        <f t="shared" si="326"/>
        <v>-2.7685492801776679E-4</v>
      </c>
      <c r="AD62" s="84">
        <f t="shared" si="326"/>
        <v>-2.3468057366362483E-2</v>
      </c>
      <c r="AE62" s="84">
        <f t="shared" si="326"/>
        <v>-2.0070518036343965E-2</v>
      </c>
      <c r="AF62" s="84">
        <f t="shared" si="326"/>
        <v>9.65665236051505E-3</v>
      </c>
      <c r="AG62" s="84">
        <f t="shared" si="326"/>
        <v>7.3109941844364368E-2</v>
      </c>
      <c r="AH62" s="84">
        <f t="shared" si="326"/>
        <v>1.6021361815754531E-3</v>
      </c>
      <c r="AI62" s="84">
        <f t="shared" si="326"/>
        <v>-8.4417381677276526E-2</v>
      </c>
      <c r="AJ62" s="84">
        <f t="shared" si="326"/>
        <v>-1.3549415515409113E-2</v>
      </c>
      <c r="AK62" s="84">
        <f t="shared" si="326"/>
        <v>-1.6258064516128989E-2</v>
      </c>
      <c r="AL62" s="84">
        <f t="shared" si="326"/>
        <v>1.5462543321780764E-2</v>
      </c>
      <c r="AM62" s="84">
        <f t="shared" si="326"/>
        <v>8.5852478839177682E-2</v>
      </c>
      <c r="AN62" s="84">
        <f t="shared" si="326"/>
        <v>2.4508483705898199E-2</v>
      </c>
      <c r="AO62" s="84">
        <f t="shared" si="326"/>
        <v>1.0493179433368471E-3</v>
      </c>
      <c r="AP62" s="84">
        <f t="shared" si="326"/>
        <v>8.4011551588343281E-3</v>
      </c>
      <c r="AQ62" s="84">
        <f t="shared" si="326"/>
        <v>3.1737193763919924E-2</v>
      </c>
      <c r="AR62" s="84">
        <f t="shared" si="326"/>
        <v>4.0746582544689769E-2</v>
      </c>
      <c r="AS62" s="84">
        <f t="shared" si="326"/>
        <v>1.1844863731656163E-2</v>
      </c>
      <c r="AT62" s="84">
        <f t="shared" si="326"/>
        <v>-4.2176516532153041E-3</v>
      </c>
      <c r="AU62" s="84">
        <f t="shared" si="326"/>
        <v>-1.3154344306529953E-2</v>
      </c>
      <c r="AV62" s="84">
        <f t="shared" si="326"/>
        <v>0.13084112149532712</v>
      </c>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4"/>
      <c r="BY62" s="84"/>
      <c r="BZ62" s="84"/>
      <c r="CA62" s="84"/>
      <c r="CB62" s="84"/>
      <c r="CC62" s="84"/>
      <c r="CD62" s="84"/>
      <c r="CE62" s="84">
        <f t="shared" ref="CE62:CF62" si="327">CE41/CA41-1</f>
        <v>-4.2200941405615922E-2</v>
      </c>
      <c r="CF62" s="84">
        <f t="shared" si="327"/>
        <v>5.1563003544956576E-2</v>
      </c>
      <c r="CG62" s="84">
        <f t="shared" ref="CG62:CH62" si="328">CG41/CC41-1</f>
        <v>4.4060407909076726E-2</v>
      </c>
      <c r="CH62" s="84">
        <f t="shared" si="328"/>
        <v>3.1956587277660597E-2</v>
      </c>
      <c r="CI62" s="123">
        <f>CI41/CE41-1</f>
        <v>5.7108964582274213E-2</v>
      </c>
      <c r="CJ62" s="123">
        <f t="shared" ref="CJ62" si="329">CJ41/CF41-1</f>
        <v>1.041985902543674E-2</v>
      </c>
      <c r="CK62" s="123">
        <f t="shared" ref="CK62" si="330">CK41/CG41-1</f>
        <v>-8.0524903071875764E-3</v>
      </c>
      <c r="CL62" s="123">
        <f t="shared" ref="CL62" si="331">CL41/CH41-1</f>
        <v>-1.0224948875255935E-3</v>
      </c>
      <c r="CM62" s="123">
        <f t="shared" ref="CM62" si="332">CM41/CI41-1</f>
        <v>-2.1320936197499196E-2</v>
      </c>
      <c r="CN62" s="123">
        <f t="shared" ref="CN62" si="333">CN41/CJ41-1</f>
        <v>5.9447983014861983E-2</v>
      </c>
      <c r="CO62" s="123">
        <f t="shared" ref="CO62" si="334">CO41/CK41-1</f>
        <v>3.773301262778106E-2</v>
      </c>
      <c r="CP62" s="123">
        <f t="shared" ref="CP62:CX62" si="335">CP41/CL41-1</f>
        <v>0.19842082175756692</v>
      </c>
      <c r="CQ62" s="123">
        <f t="shared" si="335"/>
        <v>0.2198198198198198</v>
      </c>
      <c r="CR62" s="123">
        <f t="shared" si="335"/>
        <v>0.2006870884626395</v>
      </c>
      <c r="CS62" s="123">
        <f t="shared" si="335"/>
        <v>0.23178328263074022</v>
      </c>
      <c r="CT62" s="123">
        <f t="shared" si="335"/>
        <v>0.10858955588091757</v>
      </c>
      <c r="CU62" s="123">
        <f t="shared" si="335"/>
        <v>6.4092923324828854E-2</v>
      </c>
      <c r="CV62" s="123">
        <f t="shared" si="335"/>
        <v>3.5371959942775533E-2</v>
      </c>
      <c r="CW62" s="123">
        <f t="shared" si="335"/>
        <v>2.9319063859814198E-2</v>
      </c>
      <c r="CX62" s="123">
        <f t="shared" si="335"/>
        <v>-5.6900726392252743E-3</v>
      </c>
      <c r="CY62" s="123"/>
      <c r="CZ62" s="85"/>
      <c r="DA62" s="84"/>
      <c r="DB62" s="84">
        <f t="shared" ref="DB62:DX62" si="336">DB41/DA41-1</f>
        <v>0.10757181601815469</v>
      </c>
      <c r="DC62" s="84">
        <f t="shared" si="336"/>
        <v>0.35243996901626651</v>
      </c>
      <c r="DD62" s="84">
        <f t="shared" si="336"/>
        <v>0.54371281823892392</v>
      </c>
      <c r="DE62" s="84">
        <f t="shared" si="336"/>
        <v>0.26268374124827942</v>
      </c>
      <c r="DF62" s="84">
        <f t="shared" si="336"/>
        <v>0.17815951957630993</v>
      </c>
      <c r="DG62" s="84">
        <f t="shared" si="336"/>
        <v>0.14786806114239748</v>
      </c>
      <c r="DH62" s="84">
        <f t="shared" si="336"/>
        <v>3.5253714606111597E-2</v>
      </c>
      <c r="DI62" s="84">
        <f t="shared" si="336"/>
        <v>1.5706451831291046E-2</v>
      </c>
      <c r="DJ62" s="84">
        <f t="shared" si="336"/>
        <v>-2.4061854295807539E-2</v>
      </c>
      <c r="DK62" s="84">
        <f t="shared" si="336"/>
        <v>2.8069935801120049E-2</v>
      </c>
      <c r="DL62" s="84">
        <f t="shared" si="336"/>
        <v>3.0492260678934402E-2</v>
      </c>
      <c r="DM62" s="84">
        <f t="shared" si="336"/>
        <v>-8.7922898401237903E-2</v>
      </c>
      <c r="DN62" s="84">
        <f t="shared" si="336"/>
        <v>6.4949039237666595E-2</v>
      </c>
      <c r="DO62" s="84">
        <f t="shared" si="336"/>
        <v>-5.5953854889465582E-2</v>
      </c>
      <c r="DP62" s="84">
        <f t="shared" si="336"/>
        <v>-6.3434402736061712E-2</v>
      </c>
      <c r="DQ62" s="84">
        <f t="shared" si="336"/>
        <v>-1.6871191088614346E-2</v>
      </c>
      <c r="DR62" s="84">
        <f t="shared" si="336"/>
        <v>-0.94447918515928808</v>
      </c>
      <c r="DS62" s="84">
        <f t="shared" si="336"/>
        <v>-1</v>
      </c>
      <c r="DT62" s="84" t="e">
        <f t="shared" si="336"/>
        <v>#DIV/0!</v>
      </c>
      <c r="DU62" s="84">
        <f t="shared" si="336"/>
        <v>8.8262991182261885E-2</v>
      </c>
      <c r="DV62" s="84">
        <f t="shared" si="336"/>
        <v>2.1829767149150303E-2</v>
      </c>
      <c r="DW62" s="84">
        <f t="shared" si="336"/>
        <v>1.3241464259594382E-2</v>
      </c>
      <c r="DX62" s="84">
        <f t="shared" si="336"/>
        <v>7.0926566120882883E-2</v>
      </c>
      <c r="DY62" s="84">
        <f t="shared" ref="DY62" si="337">DY41/DX41-1</f>
        <v>0.18566867683575738</v>
      </c>
      <c r="DZ62" s="84">
        <f t="shared" ref="DZ62" si="338">DZ41/DY41-1</f>
        <v>2.9068932503590217E-2</v>
      </c>
      <c r="EA62" s="84">
        <f t="shared" ref="EA62" si="339">EA41/DZ41-1</f>
        <v>-2.2583411831745837E-2</v>
      </c>
      <c r="EB62" s="84">
        <f t="shared" ref="EB62" si="340">EB41/EA41-1</f>
        <v>8.1040595404435756E-4</v>
      </c>
      <c r="EC62" s="84">
        <f t="shared" ref="EC62" si="341">EC41/EB41-1</f>
        <v>-7.1598830388386325E-3</v>
      </c>
      <c r="ED62" s="84">
        <f t="shared" ref="ED62" si="342">ED41/EC41-1</f>
        <v>-5.1947131639427102E-3</v>
      </c>
      <c r="EE62" s="84">
        <f t="shared" ref="EE62" si="343">EE41/ED41-1</f>
        <v>1.9534897080690783E-3</v>
      </c>
      <c r="EF62" s="84">
        <f t="shared" ref="EF62" si="344">EF41/EE41-1</f>
        <v>1.1355833700145368E-2</v>
      </c>
      <c r="EG62" s="84">
        <f t="shared" ref="EG62" si="345">EG41/EF41-1</f>
        <v>1.1664794146533541E-2</v>
      </c>
      <c r="EH62" s="84">
        <f t="shared" ref="EH62" si="346">EH41/EG41-1</f>
        <v>2.3137460914001151E-2</v>
      </c>
      <c r="EI62" s="84">
        <f t="shared" ref="EI62" si="347">EI41/EH41-1</f>
        <v>3.0717865291162383E-2</v>
      </c>
      <c r="EJ62" s="84">
        <f t="shared" ref="EJ62" si="348">EJ41/EI41-1</f>
        <v>-0.18696118636653958</v>
      </c>
    </row>
    <row r="63" spans="2:210" s="31" customFormat="1" ht="13">
      <c r="B63" s="35" t="s">
        <v>1352</v>
      </c>
      <c r="C63" s="83"/>
      <c r="D63" s="83"/>
      <c r="E63" s="83"/>
      <c r="F63" s="83"/>
      <c r="G63" s="83"/>
      <c r="H63" s="83"/>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123"/>
      <c r="CJ63" s="123"/>
      <c r="CK63" s="123"/>
      <c r="CL63" s="123"/>
      <c r="CM63" s="123"/>
      <c r="CN63" s="123"/>
      <c r="CO63" s="123"/>
      <c r="CP63" s="123"/>
      <c r="CQ63" s="123"/>
      <c r="CR63" s="123"/>
      <c r="CS63" s="123"/>
      <c r="CT63" s="123"/>
      <c r="CU63" s="123"/>
      <c r="CV63" s="123"/>
      <c r="CW63" s="123"/>
      <c r="CX63" s="123"/>
      <c r="CY63" s="123"/>
      <c r="CZ63" s="85"/>
      <c r="DA63" s="84"/>
      <c r="DB63" s="84"/>
      <c r="DC63" s="84"/>
      <c r="DD63" s="84"/>
      <c r="DE63" s="84"/>
      <c r="DF63" s="84"/>
      <c r="DG63" s="84"/>
      <c r="DH63" s="84"/>
      <c r="DI63" s="84"/>
      <c r="DJ63" s="84"/>
      <c r="DK63" s="84"/>
      <c r="DL63" s="84"/>
      <c r="DM63" s="84"/>
      <c r="DN63" s="84"/>
      <c r="DO63" s="84"/>
      <c r="DP63" s="84"/>
      <c r="DQ63" s="84"/>
      <c r="DR63" s="84"/>
      <c r="DS63" s="84"/>
      <c r="DT63" s="84"/>
      <c r="DU63" s="85"/>
      <c r="DV63" s="85"/>
      <c r="DW63" s="85"/>
      <c r="DX63" s="85"/>
      <c r="DY63" s="85"/>
      <c r="DZ63" s="85"/>
      <c r="EA63" s="85"/>
      <c r="EB63" s="85"/>
      <c r="EC63" s="85"/>
      <c r="ED63" s="85"/>
      <c r="EE63" s="85"/>
    </row>
    <row r="64" spans="2:210" s="15" customFormat="1" ht="13">
      <c r="B64" s="30" t="s">
        <v>178</v>
      </c>
      <c r="C64" s="82"/>
      <c r="D64" s="82"/>
      <c r="E64" s="79"/>
      <c r="F64" s="79"/>
      <c r="G64" s="79">
        <f t="shared" ref="G64:AV64" si="349">G5/C5-1</f>
        <v>9.6222664015904735E-2</v>
      </c>
      <c r="H64" s="79">
        <f t="shared" si="349"/>
        <v>0.20849420849420852</v>
      </c>
      <c r="I64" s="79">
        <f t="shared" si="349"/>
        <v>0.29249999999999976</v>
      </c>
      <c r="J64" s="79">
        <f t="shared" si="349"/>
        <v>0.35747126436781618</v>
      </c>
      <c r="K64" s="79">
        <f t="shared" si="349"/>
        <v>0.45429815016322084</v>
      </c>
      <c r="L64" s="79">
        <f t="shared" si="349"/>
        <v>0.5316293929712459</v>
      </c>
      <c r="M64" s="79">
        <f t="shared" si="349"/>
        <v>0.583395328076179</v>
      </c>
      <c r="N64" s="79">
        <f t="shared" si="349"/>
        <v>0.39542760372565611</v>
      </c>
      <c r="O64" s="79">
        <f t="shared" si="349"/>
        <v>0.41289437585733868</v>
      </c>
      <c r="P64" s="79">
        <f t="shared" si="349"/>
        <v>0.30329578639966615</v>
      </c>
      <c r="Q64" s="79">
        <f t="shared" si="349"/>
        <v>0.21123848900582609</v>
      </c>
      <c r="R64" s="79">
        <f t="shared" si="349"/>
        <v>0.21532593619972262</v>
      </c>
      <c r="S64" s="79">
        <f t="shared" si="349"/>
        <v>0.15269196822594888</v>
      </c>
      <c r="T64" s="79">
        <f t="shared" si="349"/>
        <v>0.18758002560819476</v>
      </c>
      <c r="U64" s="79">
        <f t="shared" si="349"/>
        <v>0.1163692785104733</v>
      </c>
      <c r="V64" s="79">
        <f t="shared" si="349"/>
        <v>6.9186875891583455E-2</v>
      </c>
      <c r="W64" s="79">
        <f t="shared" si="349"/>
        <v>0.14624808575803971</v>
      </c>
      <c r="X64" s="79">
        <f t="shared" si="349"/>
        <v>0.12398921832884091</v>
      </c>
      <c r="Y64" s="79">
        <f t="shared" si="349"/>
        <v>0.1813759555246699</v>
      </c>
      <c r="Z64" s="79">
        <f t="shared" si="349"/>
        <v>0.17878585723815887</v>
      </c>
      <c r="AA64" s="79">
        <f t="shared" si="349"/>
        <v>9.8864395457581855E-2</v>
      </c>
      <c r="AB64" s="79">
        <f t="shared" si="349"/>
        <v>-5.6954436450839308E-2</v>
      </c>
      <c r="AC64" s="79">
        <f t="shared" si="349"/>
        <v>-0.16470588235294115</v>
      </c>
      <c r="AD64" s="79">
        <f t="shared" si="349"/>
        <v>-0.17091114883984149</v>
      </c>
      <c r="AE64" s="79">
        <f t="shared" si="349"/>
        <v>-0.20060790273556228</v>
      </c>
      <c r="AF64" s="79">
        <f t="shared" si="349"/>
        <v>-8.0101716465352801E-2</v>
      </c>
      <c r="AG64" s="79">
        <f t="shared" si="349"/>
        <v>4.1549295774647943E-2</v>
      </c>
      <c r="AH64" s="79">
        <f t="shared" si="349"/>
        <v>-7.7133105802047797E-2</v>
      </c>
      <c r="AI64" s="79">
        <f t="shared" si="349"/>
        <v>-9.4296577946768045E-2</v>
      </c>
      <c r="AJ64" s="79">
        <f t="shared" si="349"/>
        <v>-8.0165860400829292E-2</v>
      </c>
      <c r="AK64" s="79">
        <f t="shared" si="349"/>
        <v>-8.8573360378634169E-2</v>
      </c>
      <c r="AL64" s="79">
        <f t="shared" si="349"/>
        <v>-7.3964497041423272E-4</v>
      </c>
      <c r="AM64" s="79">
        <f t="shared" si="349"/>
        <v>4.9538203190596208E-2</v>
      </c>
      <c r="AN64" s="79">
        <f t="shared" si="349"/>
        <v>-5.3343350864011985E-2</v>
      </c>
      <c r="AO64" s="79">
        <f t="shared" si="349"/>
        <v>-5.3412462908011826E-2</v>
      </c>
      <c r="AP64" s="79">
        <f t="shared" si="349"/>
        <v>-9.4004441154700191E-2</v>
      </c>
      <c r="AQ64" s="79">
        <f t="shared" si="349"/>
        <v>-0.10799999999999998</v>
      </c>
      <c r="AR64" s="79">
        <f t="shared" si="349"/>
        <v>-0.10476190476190472</v>
      </c>
      <c r="AS64" s="79">
        <f t="shared" si="349"/>
        <v>-4.9999999999999933E-2</v>
      </c>
      <c r="AT64" s="79">
        <f t="shared" si="349"/>
        <v>-5.0000000000000044E-2</v>
      </c>
      <c r="AU64" s="79">
        <f t="shared" si="349"/>
        <v>-5.0000000000000044E-2</v>
      </c>
      <c r="AV64" s="79">
        <f t="shared" si="349"/>
        <v>-5.939716312056742E-2</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121"/>
      <c r="CJ64" s="121"/>
      <c r="CK64" s="121"/>
      <c r="CL64" s="121"/>
      <c r="CM64" s="121"/>
      <c r="CN64" s="121"/>
      <c r="CO64" s="121"/>
      <c r="CP64" s="121"/>
      <c r="CQ64" s="121"/>
      <c r="CR64" s="121"/>
      <c r="CS64" s="121"/>
      <c r="CT64" s="121"/>
      <c r="CU64" s="121"/>
      <c r="CV64" s="121"/>
      <c r="CW64" s="121"/>
      <c r="CX64" s="121"/>
      <c r="CY64" s="121"/>
      <c r="CZ64" s="72"/>
      <c r="DA64" s="79"/>
      <c r="DB64" s="79">
        <f t="shared" ref="DB64:DP64" si="350">DB5/DA5-1</f>
        <v>9.5648185894822602E-2</v>
      </c>
      <c r="DC64" s="79">
        <f t="shared" si="350"/>
        <v>0.24440723687270371</v>
      </c>
      <c r="DD64" s="79">
        <f t="shared" si="350"/>
        <v>0.48695619674091795</v>
      </c>
      <c r="DE64" s="79">
        <f t="shared" si="350"/>
        <v>0.2752544928993339</v>
      </c>
      <c r="DF64" s="79">
        <f t="shared" si="350"/>
        <v>0.12898139388205609</v>
      </c>
      <c r="DG64" s="79">
        <f t="shared" si="350"/>
        <v>0.1578212290502794</v>
      </c>
      <c r="DH64" s="79">
        <f t="shared" si="350"/>
        <v>-7.9764776839565732E-2</v>
      </c>
      <c r="DI64" s="79">
        <f t="shared" si="350"/>
        <v>-8.3565459610027815E-2</v>
      </c>
      <c r="DJ64" s="79">
        <f t="shared" si="350"/>
        <v>-6.6511711067405721E-2</v>
      </c>
      <c r="DK64" s="79">
        <f t="shared" si="350"/>
        <v>-4.0413713847921806E-2</v>
      </c>
      <c r="DL64" s="79">
        <f t="shared" si="350"/>
        <v>-7.8243512974051854E-2</v>
      </c>
      <c r="DM64" s="79">
        <f t="shared" si="350"/>
        <v>-0.12340190558683428</v>
      </c>
      <c r="DN64" s="79">
        <f t="shared" si="350"/>
        <v>-0.14465864485577284</v>
      </c>
      <c r="DO64" s="79">
        <f t="shared" si="350"/>
        <v>-9.9999999999999978E-2</v>
      </c>
      <c r="DP64" s="79">
        <f t="shared" si="350"/>
        <v>-9.9999999999999978E-2</v>
      </c>
      <c r="DQ64" s="72"/>
      <c r="DR64" s="72"/>
      <c r="DS64" s="72"/>
      <c r="DT64" s="72"/>
      <c r="DU64" s="72"/>
      <c r="DV64" s="72"/>
      <c r="DW64" s="72"/>
      <c r="DX64" s="72"/>
      <c r="DY64" s="72"/>
      <c r="DZ64" s="72"/>
      <c r="EA64" s="72"/>
      <c r="EB64" s="72"/>
      <c r="EC64" s="72"/>
      <c r="ED64" s="72"/>
      <c r="EE64" s="72"/>
    </row>
    <row r="65" spans="2:145" s="37" customFormat="1" ht="13">
      <c r="B65" s="30" t="s">
        <v>177</v>
      </c>
      <c r="C65" s="82"/>
      <c r="D65" s="82"/>
      <c r="E65" s="82"/>
      <c r="F65" s="82"/>
      <c r="G65" s="82"/>
      <c r="H65" s="79"/>
      <c r="I65" s="86">
        <f t="shared" ref="I65:AV65" si="351">I4/E4-1</f>
        <v>21.74</v>
      </c>
      <c r="J65" s="86">
        <f t="shared" si="351"/>
        <v>4.5945945945945947</v>
      </c>
      <c r="K65" s="86">
        <f t="shared" si="351"/>
        <v>5.5</v>
      </c>
      <c r="L65" s="86">
        <f t="shared" si="351"/>
        <v>5.2423698384201076</v>
      </c>
      <c r="M65" s="86">
        <f t="shared" si="351"/>
        <v>2.8548812664907652</v>
      </c>
      <c r="N65" s="86">
        <f t="shared" si="351"/>
        <v>1.4299516908212562</v>
      </c>
      <c r="O65" s="86">
        <f t="shared" si="351"/>
        <v>1.1310832025117739</v>
      </c>
      <c r="P65" s="79">
        <f t="shared" si="351"/>
        <v>0.77451826287029046</v>
      </c>
      <c r="Q65" s="79">
        <f t="shared" si="351"/>
        <v>0.38717773214693141</v>
      </c>
      <c r="R65" s="79">
        <f t="shared" si="351"/>
        <v>0.40159045725646125</v>
      </c>
      <c r="S65" s="79">
        <f t="shared" si="351"/>
        <v>0.33149171270718236</v>
      </c>
      <c r="T65" s="79">
        <f t="shared" si="351"/>
        <v>0.35656401944894656</v>
      </c>
      <c r="U65" s="79">
        <f t="shared" si="351"/>
        <v>0.38157894736842102</v>
      </c>
      <c r="V65" s="79">
        <f t="shared" si="351"/>
        <v>0.23829787234042543</v>
      </c>
      <c r="W65" s="79">
        <f t="shared" si="351"/>
        <v>0.23513139695712315</v>
      </c>
      <c r="X65" s="79">
        <f t="shared" si="351"/>
        <v>0.26045400238948635</v>
      </c>
      <c r="Y65" s="79">
        <f t="shared" si="351"/>
        <v>0.27023809523809517</v>
      </c>
      <c r="Z65" s="79">
        <f t="shared" si="351"/>
        <v>0.26689576174112251</v>
      </c>
      <c r="AA65" s="79">
        <f t="shared" si="351"/>
        <v>0.14221724524076151</v>
      </c>
      <c r="AB65" s="79">
        <f t="shared" si="351"/>
        <v>-0.10047393364928914</v>
      </c>
      <c r="AC65" s="79">
        <f t="shared" si="351"/>
        <v>-0.23336457357075913</v>
      </c>
      <c r="AD65" s="79">
        <f t="shared" si="351"/>
        <v>-0.25226039783001808</v>
      </c>
      <c r="AE65" s="79">
        <f t="shared" si="351"/>
        <v>-0.25392156862745097</v>
      </c>
      <c r="AF65" s="79">
        <f t="shared" si="351"/>
        <v>-0.13066385669125391</v>
      </c>
      <c r="AG65" s="79">
        <f t="shared" si="351"/>
        <v>3.3007334963325086E-2</v>
      </c>
      <c r="AH65" s="79">
        <f t="shared" si="351"/>
        <v>-0.14631197097944382</v>
      </c>
      <c r="AI65" s="79">
        <f t="shared" si="351"/>
        <v>-0.17739816031537448</v>
      </c>
      <c r="AJ65" s="79">
        <f t="shared" si="351"/>
        <v>-0.16000000000000003</v>
      </c>
      <c r="AK65" s="79">
        <f t="shared" si="351"/>
        <v>-0.18934911242603547</v>
      </c>
      <c r="AL65" s="79">
        <f t="shared" si="351"/>
        <v>-8.2152974504249299E-2</v>
      </c>
      <c r="AM65" s="79">
        <f t="shared" si="351"/>
        <v>1.5974440894568342E-3</v>
      </c>
      <c r="AN65" s="79">
        <f t="shared" si="351"/>
        <v>-0.12987012987012991</v>
      </c>
      <c r="AO65" s="79">
        <f t="shared" si="351"/>
        <v>-9.0510948905109467E-2</v>
      </c>
      <c r="AP65" s="79">
        <f t="shared" si="351"/>
        <v>-2.314814814814814E-2</v>
      </c>
      <c r="AQ65" s="79">
        <f t="shared" si="351"/>
        <v>-7.496012759170656E-2</v>
      </c>
      <c r="AR65" s="79">
        <f t="shared" si="351"/>
        <v>-2.9850746268656692E-2</v>
      </c>
      <c r="AS65" s="79">
        <f t="shared" si="351"/>
        <v>-4.9999999999999933E-2</v>
      </c>
      <c r="AT65" s="79">
        <f t="shared" si="351"/>
        <v>-4.9999999999999933E-2</v>
      </c>
      <c r="AU65" s="79">
        <f t="shared" si="351"/>
        <v>-5.0000000000000044E-2</v>
      </c>
      <c r="AV65" s="79">
        <f t="shared" si="351"/>
        <v>-8.3760683760683796E-2</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121"/>
      <c r="CJ65" s="121"/>
      <c r="CK65" s="121"/>
      <c r="CL65" s="121"/>
      <c r="CM65" s="121"/>
      <c r="CN65" s="121"/>
      <c r="CO65" s="121"/>
      <c r="CP65" s="121"/>
      <c r="CQ65" s="121"/>
      <c r="CR65" s="121"/>
      <c r="CS65" s="121"/>
      <c r="CT65" s="121"/>
      <c r="CU65" s="121"/>
      <c r="CV65" s="121"/>
      <c r="CW65" s="121"/>
      <c r="CX65" s="121"/>
      <c r="CY65" s="121"/>
      <c r="CZ65" s="99"/>
      <c r="DA65" s="79"/>
      <c r="DB65" s="79"/>
      <c r="DC65" s="86">
        <f t="shared" ref="DC65:DJ65" si="352">DC4/DB4-1</f>
        <v>8.8952380952380956</v>
      </c>
      <c r="DD65" s="86">
        <f t="shared" si="352"/>
        <v>2.7146294513955724</v>
      </c>
      <c r="DE65" s="79">
        <f t="shared" si="352"/>
        <v>0.60189143671460044</v>
      </c>
      <c r="DF65" s="79">
        <f t="shared" si="352"/>
        <v>0.32349373230893641</v>
      </c>
      <c r="DG65" s="79">
        <f t="shared" si="352"/>
        <v>0.25908952031775123</v>
      </c>
      <c r="DH65" s="79">
        <f t="shared" si="352"/>
        <v>-0.12302839116719244</v>
      </c>
      <c r="DI65" s="79">
        <f t="shared" si="352"/>
        <v>-0.13198671831765352</v>
      </c>
      <c r="DJ65" s="79">
        <f t="shared" si="352"/>
        <v>-0.15460631176283068</v>
      </c>
      <c r="DK65" s="79">
        <v>-0.05</v>
      </c>
      <c r="DL65" s="79">
        <v>-0.05</v>
      </c>
      <c r="DM65" s="79">
        <v>-0.05</v>
      </c>
      <c r="DN65" s="79">
        <v>-0.1</v>
      </c>
      <c r="DO65" s="79">
        <v>-0.1</v>
      </c>
      <c r="DP65" s="79">
        <v>-0.1</v>
      </c>
      <c r="DQ65" s="99"/>
      <c r="DR65" s="99"/>
      <c r="DS65" s="99"/>
      <c r="DT65" s="99"/>
      <c r="DU65" s="99"/>
      <c r="DV65" s="99"/>
      <c r="DW65" s="99"/>
      <c r="DX65" s="99"/>
      <c r="DY65" s="99"/>
      <c r="DZ65" s="99"/>
      <c r="EA65" s="99"/>
      <c r="EB65" s="99"/>
      <c r="EC65" s="99"/>
      <c r="ED65" s="99"/>
      <c r="EE65" s="99"/>
    </row>
    <row r="66" spans="2:145" s="15" customFormat="1" ht="13">
      <c r="B66" s="30" t="s">
        <v>176</v>
      </c>
      <c r="C66" s="82"/>
      <c r="D66" s="82"/>
      <c r="E66" s="82"/>
      <c r="F66" s="82"/>
      <c r="G66" s="79">
        <f t="shared" ref="G66:AV66" si="353">G3/C3-1</f>
        <v>1.829025844930432E-2</v>
      </c>
      <c r="H66" s="79">
        <f t="shared" si="353"/>
        <v>0.10096525096525077</v>
      </c>
      <c r="I66" s="79">
        <f t="shared" si="353"/>
        <v>8.4271844660194217E-2</v>
      </c>
      <c r="J66" s="79">
        <f t="shared" si="353"/>
        <v>8.3391608391608418E-2</v>
      </c>
      <c r="K66" s="79">
        <f t="shared" si="353"/>
        <v>6.8137446310035044E-2</v>
      </c>
      <c r="L66" s="79">
        <f t="shared" si="353"/>
        <v>7.1541294055760263E-2</v>
      </c>
      <c r="M66" s="79">
        <f t="shared" si="353"/>
        <v>0.12088108882521498</v>
      </c>
      <c r="N66" s="79">
        <f t="shared" si="353"/>
        <v>4.9862836856543469E-2</v>
      </c>
      <c r="O66" s="79">
        <f t="shared" si="353"/>
        <v>7.8413452750868196E-2</v>
      </c>
      <c r="P66" s="79">
        <f t="shared" si="353"/>
        <v>3.5182457862870331E-2</v>
      </c>
      <c r="Q66" s="79">
        <f t="shared" si="353"/>
        <v>8.8033232145710238E-2</v>
      </c>
      <c r="R66" s="79">
        <f t="shared" si="353"/>
        <v>7.1318782662157965E-2</v>
      </c>
      <c r="S66" s="79">
        <f t="shared" si="353"/>
        <v>-1.1864406779661052E-2</v>
      </c>
      <c r="T66" s="79">
        <f t="shared" si="353"/>
        <v>2.2763199494151065E-2</v>
      </c>
      <c r="U66" s="79">
        <f t="shared" si="353"/>
        <v>-0.1204111600587372</v>
      </c>
      <c r="V66" s="79">
        <f t="shared" si="353"/>
        <v>-0.10186513629842175</v>
      </c>
      <c r="W66" s="79">
        <f t="shared" si="353"/>
        <v>3.6020583190394584E-2</v>
      </c>
      <c r="X66" s="79">
        <f t="shared" si="353"/>
        <v>-5.255023183925811E-2</v>
      </c>
      <c r="Y66" s="79">
        <f t="shared" si="353"/>
        <v>5.6761268781302165E-2</v>
      </c>
      <c r="Z66" s="79">
        <f t="shared" si="353"/>
        <v>5.5910543130990309E-2</v>
      </c>
      <c r="AA66" s="79">
        <f t="shared" si="353"/>
        <v>3.4768211920529701E-2</v>
      </c>
      <c r="AB66" s="79">
        <f t="shared" si="353"/>
        <v>1.794453507340954E-2</v>
      </c>
      <c r="AC66" s="79">
        <f t="shared" si="353"/>
        <v>-4.8973143759873605E-2</v>
      </c>
      <c r="AD66" s="79">
        <f t="shared" si="353"/>
        <v>-3.479576399394857E-2</v>
      </c>
      <c r="AE66" s="79">
        <f t="shared" si="353"/>
        <v>-0.11360000000000003</v>
      </c>
      <c r="AF66" s="79">
        <f t="shared" si="353"/>
        <v>-3.2051282051281937E-3</v>
      </c>
      <c r="AG66" s="79">
        <f t="shared" si="353"/>
        <v>5.3156146179401897E-2</v>
      </c>
      <c r="AH66" s="79">
        <f t="shared" si="353"/>
        <v>1.2539184952978122E-2</v>
      </c>
      <c r="AI66" s="79">
        <f t="shared" si="353"/>
        <v>1.9855595667870096E-2</v>
      </c>
      <c r="AJ66" s="79">
        <f t="shared" si="353"/>
        <v>2.5723472668810254E-2</v>
      </c>
      <c r="AK66" s="79">
        <f t="shared" si="353"/>
        <v>4.5741324921135584E-2</v>
      </c>
      <c r="AL66" s="79">
        <f t="shared" si="353"/>
        <v>8.8235294117646967E-2</v>
      </c>
      <c r="AM66" s="79">
        <f t="shared" si="353"/>
        <v>0.10265486725663719</v>
      </c>
      <c r="AN66" s="79">
        <f t="shared" si="353"/>
        <v>2.9780564263322873E-2</v>
      </c>
      <c r="AO66" s="79">
        <f t="shared" si="353"/>
        <v>-1.5082956259426794E-2</v>
      </c>
      <c r="AP66" s="79">
        <f t="shared" si="353"/>
        <v>-0.15931721194879089</v>
      </c>
      <c r="AQ66" s="79">
        <f t="shared" si="353"/>
        <v>-0.14125200642054569</v>
      </c>
      <c r="AR66" s="79">
        <f t="shared" si="353"/>
        <v>-0.17351598173515981</v>
      </c>
      <c r="AS66" s="79">
        <f t="shared" si="353"/>
        <v>-4.9999999999999933E-2</v>
      </c>
      <c r="AT66" s="79">
        <f t="shared" si="353"/>
        <v>-5.0000000000000155E-2</v>
      </c>
      <c r="AU66" s="79">
        <f t="shared" si="353"/>
        <v>-5.0000000000000044E-2</v>
      </c>
      <c r="AV66" s="79">
        <f t="shared" si="353"/>
        <v>-3.3149171270718258E-2</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121"/>
      <c r="CT66" s="121"/>
      <c r="CU66" s="121"/>
      <c r="CV66" s="121"/>
      <c r="CW66" s="121"/>
      <c r="CX66" s="121"/>
      <c r="CY66" s="121"/>
      <c r="CZ66" s="72"/>
      <c r="DA66" s="79"/>
      <c r="DB66" s="79">
        <f t="shared" ref="DB66:DI66" si="354">DB3/DA3-1</f>
        <v>7.4245821443130744E-2</v>
      </c>
      <c r="DC66" s="79">
        <f t="shared" si="354"/>
        <v>7.2055405341302725E-2</v>
      </c>
      <c r="DD66" s="79">
        <f t="shared" si="354"/>
        <v>7.7300884955752158E-2</v>
      </c>
      <c r="DE66" s="79">
        <f t="shared" si="354"/>
        <v>6.8139811886474666E-2</v>
      </c>
      <c r="DF66" s="79">
        <f t="shared" si="354"/>
        <v>-5.598707990463736E-2</v>
      </c>
      <c r="DG66" s="79">
        <f t="shared" si="354"/>
        <v>2.281059063136448E-2</v>
      </c>
      <c r="DH66" s="79">
        <f t="shared" si="354"/>
        <v>-8.7614496216646964E-3</v>
      </c>
      <c r="DI66" s="79">
        <f t="shared" si="354"/>
        <v>-1.3258336681398197E-2</v>
      </c>
      <c r="DJ66" s="79">
        <v>0.02</v>
      </c>
      <c r="DK66" s="79">
        <v>0</v>
      </c>
      <c r="DL66" s="79">
        <v>-0.1</v>
      </c>
      <c r="DM66" s="79">
        <v>-0.1</v>
      </c>
      <c r="DN66" s="79">
        <v>-0.1</v>
      </c>
      <c r="DO66" s="79">
        <v>-0.1</v>
      </c>
      <c r="DP66" s="79">
        <v>-0.1</v>
      </c>
      <c r="DQ66" s="72"/>
      <c r="DR66" s="72"/>
      <c r="DS66" s="72"/>
      <c r="DT66" s="72"/>
      <c r="DU66" s="72"/>
      <c r="DV66" s="72"/>
      <c r="DW66" s="72"/>
      <c r="DX66" s="72"/>
      <c r="DY66" s="72"/>
      <c r="DZ66" s="72"/>
      <c r="EA66" s="72"/>
      <c r="EB66" s="72"/>
      <c r="EC66" s="72"/>
      <c r="ED66" s="72"/>
      <c r="EE66" s="72"/>
    </row>
    <row r="67" spans="2:145" s="15" customFormat="1" ht="13">
      <c r="B67" s="30" t="s">
        <v>437</v>
      </c>
      <c r="C67" s="82"/>
      <c r="D67" s="82"/>
      <c r="E67" s="82"/>
      <c r="F67" s="82"/>
      <c r="G67" s="82"/>
      <c r="H67" s="82"/>
      <c r="I67" s="82"/>
      <c r="J67" s="79"/>
      <c r="K67" s="86"/>
      <c r="L67" s="86">
        <f t="shared" ref="L67:AV67" si="355">L7/H7-1</f>
        <v>1.7590909090909093</v>
      </c>
      <c r="M67" s="86">
        <f t="shared" si="355"/>
        <v>1.3076923076923079</v>
      </c>
      <c r="N67" s="79">
        <f t="shared" si="355"/>
        <v>0.72971698113207539</v>
      </c>
      <c r="O67" s="79">
        <f t="shared" si="355"/>
        <v>0.52984496124031</v>
      </c>
      <c r="P67" s="79">
        <f t="shared" si="355"/>
        <v>0.40329489291598009</v>
      </c>
      <c r="Q67" s="79">
        <f t="shared" si="355"/>
        <v>0.37614678899082565</v>
      </c>
      <c r="R67" s="79">
        <f t="shared" si="355"/>
        <v>0.27897463866921202</v>
      </c>
      <c r="S67" s="79">
        <f t="shared" si="355"/>
        <v>0.26931846972384088</v>
      </c>
      <c r="T67" s="79">
        <f t="shared" si="355"/>
        <v>0.37825780699694778</v>
      </c>
      <c r="U67" s="79">
        <f t="shared" si="355"/>
        <v>0.28222222222222215</v>
      </c>
      <c r="V67" s="79">
        <f t="shared" si="355"/>
        <v>0.32835820895522394</v>
      </c>
      <c r="W67" s="79">
        <f t="shared" si="355"/>
        <v>0.21357285429141726</v>
      </c>
      <c r="X67" s="79">
        <f t="shared" si="355"/>
        <v>0.1942078364565587</v>
      </c>
      <c r="Y67" s="79">
        <f t="shared" si="355"/>
        <v>0.19584055459272087</v>
      </c>
      <c r="Z67" s="79">
        <f t="shared" si="355"/>
        <v>0.14125200642054581</v>
      </c>
      <c r="AA67" s="79">
        <f t="shared" si="355"/>
        <v>0.18256578947368429</v>
      </c>
      <c r="AB67" s="79">
        <f t="shared" si="355"/>
        <v>4.707560627674745E-2</v>
      </c>
      <c r="AC67" s="79">
        <f t="shared" si="355"/>
        <v>0.10579710144927534</v>
      </c>
      <c r="AD67" s="79">
        <f t="shared" si="355"/>
        <v>0.1026722925457102</v>
      </c>
      <c r="AE67" s="79">
        <f t="shared" si="355"/>
        <v>5.1460361613351768E-2</v>
      </c>
      <c r="AF67" s="79">
        <f t="shared" si="355"/>
        <v>0.17438692098092634</v>
      </c>
      <c r="AG67" s="79">
        <f t="shared" si="355"/>
        <v>0.11664482306684132</v>
      </c>
      <c r="AH67" s="79">
        <f t="shared" si="355"/>
        <v>8.163265306122458E-2</v>
      </c>
      <c r="AI67" s="79">
        <f t="shared" si="355"/>
        <v>2.7777777777777679E-2</v>
      </c>
      <c r="AJ67" s="79">
        <f t="shared" si="355"/>
        <v>-3.5962877030162432E-2</v>
      </c>
      <c r="AK67" s="79">
        <f t="shared" si="355"/>
        <v>2.2300469483568008E-2</v>
      </c>
      <c r="AL67" s="79">
        <f t="shared" si="355"/>
        <v>3.3018867924528239E-2</v>
      </c>
      <c r="AM67" s="79">
        <f t="shared" si="355"/>
        <v>0.11068211068211076</v>
      </c>
      <c r="AN67" s="79">
        <f t="shared" si="355"/>
        <v>3.6101083032491044E-2</v>
      </c>
      <c r="AO67" s="79">
        <f t="shared" si="355"/>
        <v>5.1664753157290466E-2</v>
      </c>
      <c r="AP67" s="79">
        <f t="shared" si="355"/>
        <v>4.7945205479452024E-2</v>
      </c>
      <c r="AQ67" s="79">
        <f t="shared" si="355"/>
        <v>8.4588644264194768E-2</v>
      </c>
      <c r="AR67" s="79">
        <f t="shared" si="355"/>
        <v>0.17886178861788626</v>
      </c>
      <c r="AS67" s="79">
        <f t="shared" si="355"/>
        <v>0</v>
      </c>
      <c r="AT67" s="79">
        <f t="shared" si="355"/>
        <v>0</v>
      </c>
      <c r="AU67" s="79">
        <f t="shared" si="355"/>
        <v>0</v>
      </c>
      <c r="AV67" s="79">
        <f t="shared" si="355"/>
        <v>0</v>
      </c>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121"/>
      <c r="CT67" s="121"/>
      <c r="CU67" s="121"/>
      <c r="CV67" s="121"/>
      <c r="CW67" s="121"/>
      <c r="CX67" s="121"/>
      <c r="CY67" s="121"/>
      <c r="CZ67" s="72"/>
      <c r="DA67" s="79"/>
      <c r="DB67" s="79"/>
      <c r="DC67" s="79"/>
      <c r="DD67" s="79"/>
      <c r="DE67" s="82"/>
      <c r="DF67" s="79">
        <f>DF7/DE7-1</f>
        <v>0.31524488388135219</v>
      </c>
      <c r="DG67" s="79">
        <f>DG7/DF7-1</f>
        <v>0.18444055944055937</v>
      </c>
      <c r="DH67" s="79">
        <f>DH7/DG7-1</f>
        <v>0.10701107011070121</v>
      </c>
      <c r="DI67" s="79">
        <f>DI7/DH7-1</f>
        <v>0.10600000000000009</v>
      </c>
      <c r="DJ67" s="79">
        <v>0.08</v>
      </c>
      <c r="DK67" s="79">
        <v>0.05</v>
      </c>
      <c r="DL67" s="79">
        <v>0.02</v>
      </c>
      <c r="DM67" s="79">
        <v>0</v>
      </c>
      <c r="DN67" s="79">
        <v>0</v>
      </c>
      <c r="DO67" s="79">
        <v>0</v>
      </c>
      <c r="DP67" s="79"/>
      <c r="DQ67" s="72"/>
      <c r="DR67" s="72"/>
      <c r="DS67" s="72"/>
      <c r="DT67" s="72"/>
      <c r="DU67" s="72"/>
      <c r="DV67" s="72"/>
      <c r="DW67" s="72"/>
      <c r="DX67" s="72"/>
      <c r="DY67" s="72"/>
      <c r="DZ67" s="72"/>
      <c r="EA67" s="72"/>
      <c r="EB67" s="72"/>
      <c r="EC67" s="72"/>
      <c r="ED67" s="72"/>
      <c r="EE67" s="72"/>
    </row>
    <row r="68" spans="2:145" s="15" customFormat="1" ht="13">
      <c r="B68" s="30" t="s">
        <v>719</v>
      </c>
      <c r="C68" s="82"/>
      <c r="D68" s="82"/>
      <c r="E68" s="82"/>
      <c r="F68" s="82"/>
      <c r="G68" s="79"/>
      <c r="H68" s="79"/>
      <c r="I68" s="79"/>
      <c r="J68" s="79"/>
      <c r="K68" s="79">
        <f t="shared" ref="K68:AV68" si="356">K39/G39-1</f>
        <v>0.80057230904688503</v>
      </c>
      <c r="L68" s="79">
        <f t="shared" si="356"/>
        <v>0.71883408071748889</v>
      </c>
      <c r="M68" s="79">
        <f t="shared" si="356"/>
        <v>0.54421162134046663</v>
      </c>
      <c r="N68" s="79">
        <f t="shared" si="356"/>
        <v>0.38011840157868759</v>
      </c>
      <c r="O68" s="79">
        <f t="shared" si="356"/>
        <v>0.3494498777506112</v>
      </c>
      <c r="P68" s="79">
        <f t="shared" si="356"/>
        <v>0.26830159144273402</v>
      </c>
      <c r="Q68" s="79">
        <f t="shared" si="356"/>
        <v>0.23183524203637784</v>
      </c>
      <c r="R68" s="79">
        <f t="shared" si="356"/>
        <v>0.24128686327077742</v>
      </c>
      <c r="S68" s="79">
        <f t="shared" si="356"/>
        <v>0.2388458576799386</v>
      </c>
      <c r="T68" s="79">
        <f t="shared" si="356"/>
        <v>0.26383346361130555</v>
      </c>
      <c r="U68" s="79">
        <f t="shared" si="356"/>
        <v>0.19023437499999996</v>
      </c>
      <c r="V68" s="79">
        <f t="shared" si="356"/>
        <v>0.14038876889848817</v>
      </c>
      <c r="W68" s="79">
        <f t="shared" si="356"/>
        <v>0.1433272394881171</v>
      </c>
      <c r="X68" s="79">
        <f t="shared" si="356"/>
        <v>0.13639322916666674</v>
      </c>
      <c r="Y68" s="79">
        <f t="shared" si="356"/>
        <v>0.1496553987528717</v>
      </c>
      <c r="Z68" s="79">
        <f t="shared" si="356"/>
        <v>0.17960858585858586</v>
      </c>
      <c r="AA68" s="79">
        <f t="shared" si="356"/>
        <v>0.1400703549728175</v>
      </c>
      <c r="AB68" s="79">
        <f t="shared" si="356"/>
        <v>3.2368948725293611E-2</v>
      </c>
      <c r="AC68" s="79">
        <f t="shared" si="356"/>
        <v>5.9948615472451561E-3</v>
      </c>
      <c r="AD68" s="79">
        <f t="shared" si="356"/>
        <v>-3.184372491303189E-2</v>
      </c>
      <c r="AE68" s="79">
        <f t="shared" si="356"/>
        <v>-7.8541374474053738E-3</v>
      </c>
      <c r="AF68" s="79">
        <f t="shared" si="356"/>
        <v>2.441731409544956E-2</v>
      </c>
      <c r="AG68" s="79">
        <f t="shared" si="356"/>
        <v>7.3779795686719662E-2</v>
      </c>
      <c r="AH68" s="79">
        <f t="shared" si="356"/>
        <v>1.5478164731896005E-2</v>
      </c>
      <c r="AI68" s="79">
        <f t="shared" si="356"/>
        <v>-8.4534916595985332E-2</v>
      </c>
      <c r="AJ68" s="79">
        <f t="shared" si="356"/>
        <v>-1.5709642470205898E-2</v>
      </c>
      <c r="AK68" s="79">
        <f t="shared" si="356"/>
        <v>-1.2684989429175508E-2</v>
      </c>
      <c r="AL68" s="79">
        <f t="shared" si="356"/>
        <v>1.8780620577027785E-2</v>
      </c>
      <c r="AM68" s="79">
        <f t="shared" si="356"/>
        <v>8.9561457689931956E-2</v>
      </c>
      <c r="AN68" s="79">
        <f t="shared" si="356"/>
        <v>-5.778756191524459E-3</v>
      </c>
      <c r="AO68" s="79">
        <f t="shared" si="356"/>
        <v>6.1563169164882137E-3</v>
      </c>
      <c r="AP68" s="79">
        <f t="shared" si="356"/>
        <v>4.5418113812449867E-3</v>
      </c>
      <c r="AQ68" s="79">
        <f t="shared" si="356"/>
        <v>2.5510204081632626E-2</v>
      </c>
      <c r="AR68" s="79">
        <f t="shared" si="356"/>
        <v>7.4453362856351957E-2</v>
      </c>
      <c r="AS68" s="79">
        <f t="shared" si="356"/>
        <v>6.7039106145250216E-3</v>
      </c>
      <c r="AT68" s="79">
        <f t="shared" si="356"/>
        <v>-3.2446808510637748E-3</v>
      </c>
      <c r="AU68" s="79">
        <f t="shared" si="356"/>
        <v>-1.0433941404090707E-2</v>
      </c>
      <c r="AV68" s="79">
        <f t="shared" si="356"/>
        <v>7.4961360123647625E-2</v>
      </c>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121"/>
      <c r="CJ68" s="121"/>
      <c r="CK68" s="121"/>
      <c r="CL68" s="121"/>
      <c r="CM68" s="121"/>
      <c r="CN68" s="121"/>
      <c r="CO68" s="121"/>
      <c r="CP68" s="121"/>
      <c r="CQ68" s="121"/>
      <c r="CR68" s="121"/>
      <c r="CS68" s="121"/>
      <c r="CT68" s="121"/>
      <c r="CU68" s="121"/>
      <c r="CV68" s="121"/>
      <c r="CW68" s="121"/>
      <c r="CX68" s="121"/>
      <c r="CY68" s="121"/>
      <c r="CZ68" s="72"/>
      <c r="DA68" s="79"/>
      <c r="DB68" s="79"/>
      <c r="DC68" s="79"/>
      <c r="DD68" s="79"/>
      <c r="DE68" s="82"/>
      <c r="DF68" s="79">
        <f t="shared" ref="DF68:DO68" si="357">DF39/DE39-1</f>
        <v>0.20494075824871261</v>
      </c>
      <c r="DG68" s="79">
        <f t="shared" si="357"/>
        <v>0.1527200133089337</v>
      </c>
      <c r="DH68" s="79">
        <f t="shared" si="357"/>
        <v>3.268869966806176E-2</v>
      </c>
      <c r="DI68" s="79">
        <f t="shared" si="357"/>
        <v>2.6273495912235267E-2</v>
      </c>
      <c r="DJ68" s="79">
        <f t="shared" si="357"/>
        <v>-2.2877374548920804E-2</v>
      </c>
      <c r="DK68" s="79">
        <f t="shared" si="357"/>
        <v>2.1531600585324995E-2</v>
      </c>
      <c r="DL68" s="79">
        <f t="shared" si="357"/>
        <v>3.635743519781709E-2</v>
      </c>
      <c r="DM68" s="79">
        <f t="shared" si="357"/>
        <v>-9.0188902784177016E-2</v>
      </c>
      <c r="DN68" s="79">
        <f t="shared" si="357"/>
        <v>6.6007114353428653E-2</v>
      </c>
      <c r="DO68" s="79">
        <f t="shared" si="357"/>
        <v>-5.7664602635308926E-2</v>
      </c>
      <c r="DP68" s="79"/>
      <c r="DQ68" s="72"/>
      <c r="DR68" s="72"/>
      <c r="DS68" s="72"/>
      <c r="DT68" s="72"/>
      <c r="DU68" s="72"/>
      <c r="DV68" s="72"/>
      <c r="DW68" s="72"/>
      <c r="DX68" s="72"/>
      <c r="DY68" s="72"/>
      <c r="DZ68" s="72"/>
      <c r="EA68" s="72"/>
      <c r="EB68" s="72"/>
      <c r="EC68" s="72"/>
      <c r="ED68" s="72"/>
      <c r="EE68" s="72"/>
      <c r="EO68" s="92" t="s">
        <v>1107</v>
      </c>
    </row>
    <row r="69" spans="2:145" s="15" customFormat="1" ht="13">
      <c r="B69" s="30" t="s">
        <v>721</v>
      </c>
      <c r="C69" s="82"/>
      <c r="D69" s="82"/>
      <c r="E69" s="82"/>
      <c r="F69" s="82"/>
      <c r="G69" s="82"/>
      <c r="H69" s="82"/>
      <c r="I69" s="82"/>
      <c r="J69" s="82"/>
      <c r="K69" s="82"/>
      <c r="L69" s="82"/>
      <c r="M69" s="79">
        <f t="shared" ref="M69:AV69" si="358">M40/I40-1</f>
        <v>-0.15309446254071657</v>
      </c>
      <c r="N69" s="79">
        <f t="shared" si="358"/>
        <v>-0.2484429065743945</v>
      </c>
      <c r="O69" s="79">
        <f t="shared" si="358"/>
        <v>7.901037509976061E-2</v>
      </c>
      <c r="P69" s="79">
        <f t="shared" si="358"/>
        <v>0.23515248796147681</v>
      </c>
      <c r="Q69" s="79">
        <f t="shared" si="358"/>
        <v>0.17692307692307696</v>
      </c>
      <c r="R69" s="79">
        <f t="shared" si="358"/>
        <v>0.20626151012891358</v>
      </c>
      <c r="S69" s="79">
        <f t="shared" si="358"/>
        <v>-0.2751479289940828</v>
      </c>
      <c r="T69" s="79">
        <f t="shared" si="358"/>
        <v>-0.35022742040285904</v>
      </c>
      <c r="U69" s="79">
        <f t="shared" si="358"/>
        <v>-0.30065359477124187</v>
      </c>
      <c r="V69" s="79">
        <f t="shared" si="358"/>
        <v>-0.2137404580152672</v>
      </c>
      <c r="W69" s="79">
        <f t="shared" si="358"/>
        <v>-8.1632653061224469E-2</v>
      </c>
      <c r="X69" s="79">
        <f t="shared" si="358"/>
        <v>0.12999999999999989</v>
      </c>
      <c r="Y69" s="79">
        <f t="shared" si="358"/>
        <v>1.8691588785046731E-2</v>
      </c>
      <c r="Z69" s="79">
        <f t="shared" si="358"/>
        <v>-4.8543689320388328E-2</v>
      </c>
      <c r="AA69" s="79">
        <f t="shared" si="358"/>
        <v>0.35555555555555562</v>
      </c>
      <c r="AB69" s="79">
        <f t="shared" si="358"/>
        <v>9.7345132743362761E-2</v>
      </c>
      <c r="AC69" s="79">
        <f t="shared" si="358"/>
        <v>-0.20183486238532111</v>
      </c>
      <c r="AD69" s="79">
        <f t="shared" si="358"/>
        <v>0.29591836734693877</v>
      </c>
      <c r="AE69" s="79">
        <f t="shared" si="358"/>
        <v>-0.37704918032786883</v>
      </c>
      <c r="AF69" s="79">
        <f t="shared" si="358"/>
        <v>-0.41935483870967738</v>
      </c>
      <c r="AG69" s="79">
        <f t="shared" si="358"/>
        <v>4.5977011494252817E-2</v>
      </c>
      <c r="AH69" s="79">
        <f t="shared" si="358"/>
        <v>-0.39370078740157477</v>
      </c>
      <c r="AI69" s="79">
        <f t="shared" si="358"/>
        <v>-7.8947368421052655E-2</v>
      </c>
      <c r="AJ69" s="79">
        <f t="shared" si="358"/>
        <v>9.7222222222222321E-2</v>
      </c>
      <c r="AK69" s="79">
        <f t="shared" si="358"/>
        <v>-0.1648351648351648</v>
      </c>
      <c r="AL69" s="79">
        <f t="shared" si="358"/>
        <v>-0.1428571428571429</v>
      </c>
      <c r="AM69" s="79">
        <f t="shared" si="358"/>
        <v>-8.5714285714285743E-2</v>
      </c>
      <c r="AN69" s="79">
        <f t="shared" si="358"/>
        <v>1.4177215189873418</v>
      </c>
      <c r="AO69" s="79">
        <f t="shared" si="358"/>
        <v>-0.25</v>
      </c>
      <c r="AP69" s="79">
        <f t="shared" si="358"/>
        <v>0.22727272727272729</v>
      </c>
      <c r="AQ69" s="79">
        <f t="shared" si="358"/>
        <v>0.375</v>
      </c>
      <c r="AR69" s="79">
        <f t="shared" si="358"/>
        <v>-0.59685863874345557</v>
      </c>
      <c r="AS69" s="79">
        <f t="shared" si="358"/>
        <v>0.35087719298245612</v>
      </c>
      <c r="AT69" s="79">
        <f t="shared" si="358"/>
        <v>-4.9382716049382713E-2</v>
      </c>
      <c r="AU69" s="79">
        <f t="shared" si="358"/>
        <v>-0.125</v>
      </c>
      <c r="AV69" s="79">
        <f t="shared" si="358"/>
        <v>2.948051948051948</v>
      </c>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121"/>
      <c r="CJ69" s="121"/>
      <c r="CK69" s="121"/>
      <c r="CL69" s="121"/>
      <c r="CM69" s="121"/>
      <c r="CN69" s="121"/>
      <c r="CO69" s="121"/>
      <c r="CP69" s="121"/>
      <c r="CQ69" s="121"/>
      <c r="CR69" s="121"/>
      <c r="CS69" s="121"/>
      <c r="CT69" s="121"/>
      <c r="CU69" s="121"/>
      <c r="CV69" s="121"/>
      <c r="CW69" s="121"/>
      <c r="CX69" s="121"/>
      <c r="CY69" s="121"/>
      <c r="CZ69" s="72"/>
      <c r="DA69" s="79"/>
      <c r="DB69" s="79"/>
      <c r="DC69" s="79"/>
      <c r="DD69" s="79"/>
      <c r="DE69" s="82"/>
      <c r="DF69" s="79">
        <f>DF40/DE40-1</f>
        <v>-0.28808235909963364</v>
      </c>
      <c r="DG69" s="79">
        <f>DG40/DF40-1</f>
        <v>4.9019607843137081E-3</v>
      </c>
      <c r="DH69" s="79">
        <v>0</v>
      </c>
      <c r="DI69" s="79">
        <v>0</v>
      </c>
      <c r="DJ69" s="79">
        <v>0.05</v>
      </c>
      <c r="DK69" s="79">
        <v>0.02</v>
      </c>
      <c r="DL69" s="79">
        <v>0.02</v>
      </c>
      <c r="DM69" s="79">
        <v>0.02</v>
      </c>
      <c r="DN69" s="79">
        <v>0.02</v>
      </c>
      <c r="DO69" s="79">
        <v>0.02</v>
      </c>
      <c r="DP69" s="79"/>
      <c r="DQ69" s="72"/>
      <c r="DR69" s="72"/>
      <c r="DS69" s="72"/>
      <c r="DT69" s="72"/>
      <c r="DU69" s="72"/>
      <c r="DV69" s="72"/>
      <c r="DW69" s="72"/>
      <c r="DX69" s="72"/>
      <c r="DY69" s="72"/>
      <c r="DZ69" s="72"/>
      <c r="EA69" s="72"/>
      <c r="EB69" s="72"/>
      <c r="EC69" s="72"/>
      <c r="EE69" s="72"/>
      <c r="EO69" s="37" t="s">
        <v>1109</v>
      </c>
    </row>
    <row r="70" spans="2:145" s="15" customFormat="1" ht="13">
      <c r="B70" s="30" t="s">
        <v>1118</v>
      </c>
      <c r="C70" s="82"/>
      <c r="D70" s="82"/>
      <c r="E70" s="82"/>
      <c r="F70" s="82"/>
      <c r="G70" s="82"/>
      <c r="H70" s="82"/>
      <c r="I70" s="82"/>
      <c r="J70" s="82"/>
      <c r="K70" s="82"/>
      <c r="L70" s="82"/>
      <c r="M70" s="79"/>
      <c r="N70" s="79"/>
      <c r="O70" s="79"/>
      <c r="P70" s="79"/>
      <c r="Q70" s="79"/>
      <c r="R70" s="79"/>
      <c r="S70" s="79"/>
      <c r="T70" s="79"/>
      <c r="U70" s="79"/>
      <c r="V70" s="79"/>
      <c r="W70" s="79"/>
      <c r="X70" s="79"/>
      <c r="Y70" s="79"/>
      <c r="Z70" s="79"/>
      <c r="AA70" s="72"/>
      <c r="AB70" s="72"/>
      <c r="AC70" s="72"/>
      <c r="AD70" s="72"/>
      <c r="AE70" s="72"/>
      <c r="AF70" s="72"/>
      <c r="AG70" s="72"/>
      <c r="AH70" s="72"/>
      <c r="AI70" s="72"/>
      <c r="AJ70" s="72"/>
      <c r="AK70" s="72"/>
      <c r="AL70" s="72"/>
      <c r="AM70" s="72"/>
      <c r="AN70" s="72"/>
      <c r="AO70" s="72"/>
      <c r="AP70" s="72"/>
      <c r="AQ70" s="72"/>
      <c r="AR70" s="72"/>
      <c r="AS70" s="86">
        <f>+AS19/AO19-1</f>
        <v>3.9000000000000004</v>
      </c>
      <c r="AT70" s="86">
        <f>+AT19/AP19-1</f>
        <v>1.7000000000000002</v>
      </c>
      <c r="AU70" s="86">
        <f>+AU19/AQ19-1</f>
        <v>1.1851851851851851</v>
      </c>
      <c r="AV70" s="86">
        <f>+AV19/AR19-1</f>
        <v>1.7272727272727271</v>
      </c>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62"/>
      <c r="CG70" s="62">
        <f t="shared" ref="CG70:CI70" si="359">+CG19/CC19-1</f>
        <v>0.14550641940085596</v>
      </c>
      <c r="CH70" s="62">
        <f t="shared" si="359"/>
        <v>0.16555407209612816</v>
      </c>
      <c r="CI70" s="124">
        <f t="shared" si="359"/>
        <v>0.12401055408970985</v>
      </c>
      <c r="CJ70" s="124">
        <f>+CJ19/CF19-1</f>
        <v>0.13267813267813278</v>
      </c>
      <c r="CK70" s="124">
        <f t="shared" ref="CK70:CP70" si="360">+CK19/CG19-1</f>
        <v>7.3474470734744779E-2</v>
      </c>
      <c r="CL70" s="124">
        <f t="shared" si="360"/>
        <v>0.13631156930125998</v>
      </c>
      <c r="CM70" s="124">
        <f t="shared" si="360"/>
        <v>8.8028169014084501E-2</v>
      </c>
      <c r="CN70" s="124">
        <f t="shared" si="360"/>
        <v>0.11496746203904551</v>
      </c>
      <c r="CO70" s="124">
        <f t="shared" si="360"/>
        <v>0.14385150812064973</v>
      </c>
      <c r="CP70" s="124">
        <f t="shared" si="360"/>
        <v>0.11592741935483875</v>
      </c>
      <c r="CQ70" s="124">
        <f t="shared" ref="CQ70" si="361">+CQ19/CM19-1</f>
        <v>7.7669902912621325E-2</v>
      </c>
      <c r="CR70" s="124">
        <f t="shared" ref="CR70" si="362">+CR19/CN19-1</f>
        <v>0.13326848249027234</v>
      </c>
      <c r="CS70" s="124">
        <f t="shared" ref="CS70" si="363">+CS19/CO19-1</f>
        <v>5.9837728194726214E-2</v>
      </c>
      <c r="CT70" s="124">
        <f t="shared" ref="CT70" si="364">+CT19/CP19-1</f>
        <v>5.2393857271906041E-2</v>
      </c>
      <c r="CU70" s="124"/>
      <c r="CV70" s="124"/>
      <c r="CW70" s="124"/>
      <c r="CX70" s="125"/>
      <c r="CY70" s="125"/>
      <c r="CZ70" s="72"/>
      <c r="DA70" s="79"/>
      <c r="DB70" s="79"/>
      <c r="DC70" s="79"/>
      <c r="DD70" s="79"/>
      <c r="DE70" s="82"/>
      <c r="DF70" s="79"/>
      <c r="DG70" s="79"/>
      <c r="DH70" s="79"/>
      <c r="DI70" s="79"/>
      <c r="DJ70" s="79"/>
      <c r="DK70" s="79">
        <v>0.9</v>
      </c>
      <c r="DL70" s="79">
        <v>0.7</v>
      </c>
      <c r="DM70" s="79">
        <v>0.5</v>
      </c>
      <c r="DN70" s="79">
        <v>0.3</v>
      </c>
      <c r="DO70" s="79">
        <v>0.1</v>
      </c>
      <c r="DP70" s="79"/>
      <c r="DQ70" s="72"/>
      <c r="DR70" s="72"/>
      <c r="DS70" s="72"/>
      <c r="DT70" s="72"/>
      <c r="DU70" s="72"/>
      <c r="DV70" s="72"/>
      <c r="DW70" s="72"/>
      <c r="DX70" s="72"/>
      <c r="DY70" s="72"/>
      <c r="DZ70" s="72"/>
      <c r="EA70" s="72"/>
      <c r="EB70" s="72"/>
      <c r="EC70" s="72"/>
      <c r="EE70" s="72"/>
      <c r="EO70" s="37" t="s">
        <v>1110</v>
      </c>
    </row>
    <row r="71" spans="2:145" s="15" customFormat="1" ht="13">
      <c r="B71" s="30" t="s">
        <v>944</v>
      </c>
      <c r="C71" s="82"/>
      <c r="D71" s="82"/>
      <c r="E71" s="82"/>
      <c r="F71" s="82"/>
      <c r="G71" s="82"/>
      <c r="H71" s="82"/>
      <c r="I71" s="82"/>
      <c r="J71" s="82"/>
      <c r="K71" s="82"/>
      <c r="L71" s="82"/>
      <c r="M71" s="79"/>
      <c r="N71" s="79"/>
      <c r="O71" s="79"/>
      <c r="P71" s="79"/>
      <c r="Q71" s="79"/>
      <c r="R71" s="79"/>
      <c r="S71" s="79"/>
      <c r="T71" s="79"/>
      <c r="U71" s="79"/>
      <c r="V71" s="79"/>
      <c r="W71" s="79"/>
      <c r="X71" s="79"/>
      <c r="Y71" s="79"/>
      <c r="Z71" s="79"/>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125"/>
      <c r="CJ71" s="125"/>
      <c r="CK71" s="125"/>
      <c r="CL71" s="125"/>
      <c r="CM71" s="125"/>
      <c r="CN71" s="125"/>
      <c r="CO71" s="125"/>
      <c r="CP71" s="125"/>
      <c r="CQ71" s="125"/>
      <c r="CR71" s="125"/>
      <c r="CS71" s="125"/>
      <c r="CT71" s="125"/>
      <c r="CU71" s="125"/>
      <c r="CV71" s="125"/>
      <c r="CW71" s="125"/>
      <c r="CX71" s="125"/>
      <c r="CY71" s="125"/>
      <c r="CZ71" s="72"/>
      <c r="DA71" s="79"/>
      <c r="DB71" s="79"/>
      <c r="DC71" s="79"/>
      <c r="DD71" s="79"/>
      <c r="DE71" s="82"/>
      <c r="DF71" s="79"/>
      <c r="DG71" s="79"/>
      <c r="DH71" s="86">
        <f>DH18/DG18-1</f>
        <v>3.3589743589743586</v>
      </c>
      <c r="DI71" s="79">
        <v>0.1</v>
      </c>
      <c r="DJ71" s="79">
        <v>0.05</v>
      </c>
      <c r="DK71" s="79">
        <v>0.05</v>
      </c>
      <c r="DL71" s="79">
        <v>0.05</v>
      </c>
      <c r="DM71" s="79">
        <v>0.05</v>
      </c>
      <c r="DN71" s="79"/>
      <c r="DO71" s="79"/>
      <c r="DP71" s="79"/>
      <c r="DQ71" s="72"/>
      <c r="DR71" s="72"/>
      <c r="DS71" s="72"/>
      <c r="DT71" s="72"/>
      <c r="DU71" s="72"/>
      <c r="DV71" s="72"/>
      <c r="DW71" s="72"/>
      <c r="DX71" s="72"/>
      <c r="DY71" s="72"/>
      <c r="DZ71" s="72"/>
      <c r="EA71" s="72"/>
      <c r="EB71" s="72"/>
      <c r="EC71" s="72"/>
      <c r="EE71" s="72"/>
      <c r="EO71" s="37" t="s">
        <v>1111</v>
      </c>
    </row>
    <row r="72" spans="2:145" s="15" customFormat="1" ht="13">
      <c r="B72" s="30" t="s">
        <v>1126</v>
      </c>
      <c r="C72" s="82"/>
      <c r="D72" s="82"/>
      <c r="E72" s="82"/>
      <c r="F72" s="82"/>
      <c r="G72" s="82"/>
      <c r="H72" s="82"/>
      <c r="I72" s="82"/>
      <c r="J72" s="82"/>
      <c r="K72" s="82"/>
      <c r="L72" s="82"/>
      <c r="M72" s="79"/>
      <c r="N72" s="79"/>
      <c r="O72" s="79"/>
      <c r="P72" s="79"/>
      <c r="Q72" s="79"/>
      <c r="R72" s="79"/>
      <c r="S72" s="79"/>
      <c r="T72" s="79"/>
      <c r="U72" s="79"/>
      <c r="V72" s="79"/>
      <c r="W72" s="79"/>
      <c r="X72" s="79"/>
      <c r="Y72" s="79"/>
      <c r="Z72" s="79"/>
      <c r="AA72" s="72"/>
      <c r="AB72" s="72"/>
      <c r="AC72" s="72"/>
      <c r="AD72" s="72"/>
      <c r="AE72" s="72"/>
      <c r="AF72" s="72"/>
      <c r="AG72" s="72"/>
      <c r="AH72" s="72"/>
      <c r="AI72" s="72"/>
      <c r="AJ72" s="72"/>
      <c r="AK72" s="72"/>
      <c r="AL72" s="72"/>
      <c r="AM72" s="72"/>
      <c r="AN72" s="72"/>
      <c r="AO72" s="72"/>
      <c r="AP72" s="72"/>
      <c r="AQ72" s="72"/>
      <c r="AR72" s="72"/>
      <c r="AS72" s="86"/>
      <c r="AT72" s="86">
        <f>+AT20/AP20-1</f>
        <v>9.375</v>
      </c>
      <c r="AU72" s="86">
        <f>+AU20/AQ20-1</f>
        <v>1.0952380952380953</v>
      </c>
      <c r="AV72" s="86">
        <f>+AV20/AR20-1</f>
        <v>1.452054794520548</v>
      </c>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62">
        <f t="shared" ref="CG72:CI72" si="365">+CG20/CC20-1</f>
        <v>7.4844074844074848E-2</v>
      </c>
      <c r="CH72" s="62">
        <f t="shared" si="365"/>
        <v>8.5657370517928211E-2</v>
      </c>
      <c r="CI72" s="124">
        <f t="shared" si="365"/>
        <v>7.2649572649572614E-2</v>
      </c>
      <c r="CJ72" s="124">
        <f>+CJ20/CF20-1</f>
        <v>9.2213114754098324E-2</v>
      </c>
      <c r="CK72" s="124">
        <f t="shared" ref="CK72:CP72" si="366">+CK20/CG20-1</f>
        <v>-4.2553191489361653E-2</v>
      </c>
      <c r="CL72" s="124">
        <f t="shared" si="366"/>
        <v>-0.11192660550458711</v>
      </c>
      <c r="CM72" s="124">
        <f t="shared" si="366"/>
        <v>6.7729083665338585E-2</v>
      </c>
      <c r="CN72" s="124">
        <f t="shared" si="366"/>
        <v>-5.6285178236398226E-3</v>
      </c>
      <c r="CO72" s="124">
        <f t="shared" si="366"/>
        <v>4.8484848484848575E-2</v>
      </c>
      <c r="CP72" s="124">
        <f t="shared" si="366"/>
        <v>8.8842975206611552E-2</v>
      </c>
      <c r="CQ72" s="124">
        <f t="shared" ref="CQ72" si="367">+CQ20/CM20-1</f>
        <v>4.664179104477606E-2</v>
      </c>
      <c r="CR72" s="124">
        <f t="shared" ref="CR72" si="368">+CR20/CN20-1</f>
        <v>6.0377358490566024E-2</v>
      </c>
      <c r="CS72" s="124">
        <f t="shared" ref="CS72" si="369">+CS20/CO20-1</f>
        <v>4.2389210019267765E-2</v>
      </c>
      <c r="CT72" s="124">
        <f t="shared" ref="CT72" si="370">+CT20/CP20-1</f>
        <v>6.4516129032258007E-2</v>
      </c>
      <c r="CU72" s="124"/>
      <c r="CV72" s="124"/>
      <c r="CW72" s="124"/>
      <c r="CX72" s="125"/>
      <c r="CY72" s="125"/>
      <c r="CZ72" s="72"/>
      <c r="DA72" s="79"/>
      <c r="DB72" s="79"/>
      <c r="DC72" s="79"/>
      <c r="DD72" s="79"/>
      <c r="DE72" s="82"/>
      <c r="DF72" s="79"/>
      <c r="DG72" s="79"/>
      <c r="DH72" s="79"/>
      <c r="DI72" s="79"/>
      <c r="DJ72" s="79"/>
      <c r="DK72" s="79"/>
      <c r="DL72" s="79"/>
      <c r="DM72" s="79"/>
      <c r="DN72" s="79"/>
      <c r="DO72" s="79"/>
      <c r="DP72" s="79"/>
      <c r="DQ72" s="72"/>
      <c r="DR72" s="72"/>
      <c r="DS72" s="72"/>
      <c r="DT72" s="72"/>
      <c r="DU72" s="72"/>
      <c r="DV72" s="72"/>
      <c r="DW72" s="72"/>
      <c r="DX72" s="72"/>
      <c r="DY72" s="72"/>
      <c r="DZ72" s="72"/>
      <c r="EA72" s="72"/>
      <c r="EB72" s="72"/>
      <c r="EC72" s="72"/>
      <c r="EE72" s="72"/>
      <c r="EO72" s="37" t="s">
        <v>1112</v>
      </c>
    </row>
    <row r="73" spans="2:145" s="15" customFormat="1" ht="13">
      <c r="B73" s="30" t="s">
        <v>27</v>
      </c>
      <c r="C73" s="82"/>
      <c r="D73" s="82"/>
      <c r="E73" s="82"/>
      <c r="F73" s="82"/>
      <c r="G73" s="82"/>
      <c r="H73" s="82"/>
      <c r="I73" s="82"/>
      <c r="J73" s="82"/>
      <c r="K73" s="82"/>
      <c r="L73" s="82"/>
      <c r="M73" s="79"/>
      <c r="N73" s="79"/>
      <c r="O73" s="79"/>
      <c r="P73" s="79"/>
      <c r="Q73" s="79"/>
      <c r="R73" s="79"/>
      <c r="S73" s="79"/>
      <c r="T73" s="86">
        <f t="shared" ref="T73:AV73" si="371">T16/P16-1</f>
        <v>10.612903225806452</v>
      </c>
      <c r="U73" s="86">
        <f t="shared" si="371"/>
        <v>3.2</v>
      </c>
      <c r="V73" s="86">
        <f t="shared" si="371"/>
        <v>1.6842105263157894</v>
      </c>
      <c r="W73" s="86">
        <f t="shared" si="371"/>
        <v>1.2592592592592591</v>
      </c>
      <c r="X73" s="86">
        <f t="shared" si="371"/>
        <v>1.1944444444444446</v>
      </c>
      <c r="Y73" s="79">
        <f t="shared" si="371"/>
        <v>0.97619047619047628</v>
      </c>
      <c r="Z73" s="79">
        <f t="shared" si="371"/>
        <v>0.92156862745098045</v>
      </c>
      <c r="AA73" s="79">
        <f t="shared" si="371"/>
        <v>0.72131147540983598</v>
      </c>
      <c r="AB73" s="79">
        <f t="shared" si="371"/>
        <v>0.36708860759493667</v>
      </c>
      <c r="AC73" s="79">
        <f t="shared" si="371"/>
        <v>0.46987951807228923</v>
      </c>
      <c r="AD73" s="79">
        <f t="shared" si="371"/>
        <v>0.30612244897959173</v>
      </c>
      <c r="AE73" s="79">
        <f t="shared" si="371"/>
        <v>0.26666666666666661</v>
      </c>
      <c r="AF73" s="79">
        <f t="shared" si="371"/>
        <v>0.38888888888888884</v>
      </c>
      <c r="AG73" s="79">
        <f t="shared" si="371"/>
        <v>0.31967213114754101</v>
      </c>
      <c r="AH73" s="79">
        <f t="shared" si="371"/>
        <v>0.1953125</v>
      </c>
      <c r="AI73" s="79">
        <f t="shared" si="371"/>
        <v>0.11278195488721798</v>
      </c>
      <c r="AJ73" s="79">
        <f t="shared" si="371"/>
        <v>0.11333333333333329</v>
      </c>
      <c r="AK73" s="79">
        <f t="shared" si="371"/>
        <v>2.4844720496894457E-2</v>
      </c>
      <c r="AL73" s="79">
        <f t="shared" si="371"/>
        <v>0.11764705882352944</v>
      </c>
      <c r="AM73" s="79">
        <f t="shared" si="371"/>
        <v>0.20945945945945943</v>
      </c>
      <c r="AN73" s="79">
        <f t="shared" si="371"/>
        <v>2.9940119760478945E-2</v>
      </c>
      <c r="AO73" s="79">
        <f t="shared" si="371"/>
        <v>6.0606060606060552E-2</v>
      </c>
      <c r="AP73" s="79">
        <f t="shared" si="371"/>
        <v>9.9415204678362512E-2</v>
      </c>
      <c r="AQ73" s="79">
        <f t="shared" si="371"/>
        <v>4.4692737430167551E-2</v>
      </c>
      <c r="AR73" s="79">
        <f t="shared" si="371"/>
        <v>0.15697674418604657</v>
      </c>
      <c r="AS73" s="79">
        <f t="shared" si="371"/>
        <v>0.13714285714285723</v>
      </c>
      <c r="AT73" s="79">
        <f t="shared" si="371"/>
        <v>5.8510638297872397E-2</v>
      </c>
      <c r="AU73" s="79">
        <f t="shared" si="371"/>
        <v>6.4171122994652441E-2</v>
      </c>
      <c r="AV73" s="79">
        <f t="shared" si="371"/>
        <v>0.16582914572864316</v>
      </c>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121"/>
      <c r="CJ73" s="121"/>
      <c r="CK73" s="121"/>
      <c r="CL73" s="121"/>
      <c r="CM73" s="121"/>
      <c r="CN73" s="121"/>
      <c r="CO73" s="121"/>
      <c r="CP73" s="121"/>
      <c r="CQ73" s="121"/>
      <c r="CR73" s="121"/>
      <c r="CS73" s="121"/>
      <c r="CT73" s="121"/>
      <c r="CU73" s="121"/>
      <c r="CV73" s="121"/>
      <c r="CW73" s="121"/>
      <c r="CX73" s="121"/>
      <c r="CY73" s="121"/>
      <c r="CZ73" s="72"/>
      <c r="DA73" s="79"/>
      <c r="DB73" s="79"/>
      <c r="DC73" s="79"/>
      <c r="DD73" s="79"/>
      <c r="DE73" s="82"/>
      <c r="DF73" s="79"/>
      <c r="DG73" s="79"/>
      <c r="DH73" s="79">
        <f>DH16/DG16-1</f>
        <v>0.44236760124610597</v>
      </c>
      <c r="DI73" s="79">
        <v>0.2</v>
      </c>
      <c r="DJ73" s="79">
        <v>0.15</v>
      </c>
      <c r="DK73" s="79">
        <v>0.1</v>
      </c>
      <c r="DL73" s="79">
        <v>0.08</v>
      </c>
      <c r="DM73" s="79">
        <v>0.02</v>
      </c>
      <c r="DN73" s="79">
        <v>0</v>
      </c>
      <c r="DO73" s="79">
        <v>0</v>
      </c>
      <c r="DP73" s="79"/>
      <c r="DQ73" s="72"/>
      <c r="DR73" s="72"/>
      <c r="DS73" s="72"/>
      <c r="DT73" s="72"/>
      <c r="DU73" s="72"/>
      <c r="DV73" s="72"/>
      <c r="DW73" s="72"/>
      <c r="DX73" s="72"/>
      <c r="DY73" s="72"/>
      <c r="DZ73" s="72"/>
      <c r="EA73" s="72"/>
      <c r="EB73" s="72"/>
      <c r="EC73" s="72"/>
      <c r="EE73" s="72"/>
    </row>
    <row r="74" spans="2:145" s="15" customFormat="1" ht="13">
      <c r="B74" s="30" t="s">
        <v>284</v>
      </c>
      <c r="C74" s="82"/>
      <c r="D74" s="82"/>
      <c r="E74" s="82"/>
      <c r="F74" s="82"/>
      <c r="G74" s="82"/>
      <c r="H74" s="82"/>
      <c r="I74" s="82"/>
      <c r="J74" s="82"/>
      <c r="K74" s="82"/>
      <c r="L74" s="82"/>
      <c r="M74" s="79"/>
      <c r="N74" s="79"/>
      <c r="O74" s="79">
        <f t="shared" ref="O74:X75" si="372">O44/K44-1</f>
        <v>0.26727166276346592</v>
      </c>
      <c r="P74" s="79">
        <f t="shared" si="372"/>
        <v>0.19708788351534046</v>
      </c>
      <c r="Q74" s="79">
        <f t="shared" si="372"/>
        <v>0.23750000000000004</v>
      </c>
      <c r="R74" s="79">
        <f t="shared" si="372"/>
        <v>0.22877930476960384</v>
      </c>
      <c r="S74" s="79">
        <f t="shared" si="372"/>
        <v>0.20351120351120366</v>
      </c>
      <c r="T74" s="79">
        <f t="shared" si="372"/>
        <v>0.22502172024326672</v>
      </c>
      <c r="U74" s="79">
        <f t="shared" si="372"/>
        <v>0.12929292929292924</v>
      </c>
      <c r="V74" s="79">
        <f t="shared" si="372"/>
        <v>8.2236842105263053E-2</v>
      </c>
      <c r="W74" s="79">
        <f t="shared" si="372"/>
        <v>0.19769673704414581</v>
      </c>
      <c r="X74" s="79">
        <f t="shared" si="372"/>
        <v>0.29255319148936176</v>
      </c>
      <c r="Y74" s="79">
        <f t="shared" ref="Y74:AH75" si="373">Y44/U44-1</f>
        <v>0.49373881932021457</v>
      </c>
      <c r="Z74" s="79">
        <f t="shared" si="373"/>
        <v>0.5243161094224924</v>
      </c>
      <c r="AA74" s="79">
        <f t="shared" si="373"/>
        <v>0.28685897435897445</v>
      </c>
      <c r="AB74" s="79">
        <f t="shared" si="373"/>
        <v>6.5843621399176877E-2</v>
      </c>
      <c r="AC74" s="79">
        <f t="shared" si="373"/>
        <v>-0.16287425149700596</v>
      </c>
      <c r="AD74" s="79">
        <f t="shared" si="373"/>
        <v>-0.21734795613160518</v>
      </c>
      <c r="AE74" s="79">
        <f t="shared" si="373"/>
        <v>-0.17683686176836866</v>
      </c>
      <c r="AF74" s="79">
        <f t="shared" si="373"/>
        <v>2.5740025740026429E-3</v>
      </c>
      <c r="AG74" s="79">
        <f t="shared" si="373"/>
        <v>1.4306151645206988E-3</v>
      </c>
      <c r="AH74" s="79">
        <f t="shared" si="373"/>
        <v>-1.9108280254777066E-2</v>
      </c>
      <c r="AI74" s="79">
        <f t="shared" ref="AI74:AR75" si="374">AI44/AE44-1</f>
        <v>-8.4720121028744377E-2</v>
      </c>
      <c r="AJ74" s="79">
        <f t="shared" si="374"/>
        <v>-0.15661103979460844</v>
      </c>
      <c r="AK74" s="79">
        <f t="shared" si="374"/>
        <v>-0.12428571428571433</v>
      </c>
      <c r="AL74" s="79">
        <f t="shared" si="374"/>
        <v>0.12207792207792201</v>
      </c>
      <c r="AM74" s="79">
        <f t="shared" si="374"/>
        <v>1.983471074380172E-2</v>
      </c>
      <c r="AN74" s="79">
        <f t="shared" si="374"/>
        <v>-2.2831050228310557E-2</v>
      </c>
      <c r="AO74" s="79">
        <f t="shared" si="374"/>
        <v>0.12398042414355626</v>
      </c>
      <c r="AP74" s="79">
        <f t="shared" si="374"/>
        <v>-4.513888888888884E-2</v>
      </c>
      <c r="AQ74" s="79">
        <f t="shared" si="374"/>
        <v>0.13938411669367912</v>
      </c>
      <c r="AR74" s="79">
        <f t="shared" si="374"/>
        <v>0.25856697819314634</v>
      </c>
      <c r="AS74" s="79">
        <f t="shared" ref="AS74:AV75" si="375">AS44/AO44-1</f>
        <v>-1</v>
      </c>
      <c r="AT74" s="79">
        <f t="shared" si="375"/>
        <v>0</v>
      </c>
      <c r="AU74" s="79">
        <f t="shared" si="375"/>
        <v>-1</v>
      </c>
      <c r="AV74" s="79">
        <f t="shared" si="375"/>
        <v>2.2277227722772297E-2</v>
      </c>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121"/>
      <c r="CJ74" s="121"/>
      <c r="CK74" s="121"/>
      <c r="CL74" s="121"/>
      <c r="CM74" s="121"/>
      <c r="CN74" s="121"/>
      <c r="CO74" s="121"/>
      <c r="CP74" s="121"/>
      <c r="CQ74" s="121"/>
      <c r="CR74" s="121"/>
      <c r="CS74" s="121"/>
      <c r="CT74" s="121"/>
      <c r="CU74" s="121"/>
      <c r="CV74" s="121"/>
      <c r="CW74" s="121"/>
      <c r="CX74" s="121"/>
      <c r="CY74" s="121"/>
      <c r="CZ74" s="72"/>
      <c r="DA74" s="79"/>
      <c r="DB74" s="79"/>
      <c r="DC74" s="79"/>
      <c r="DD74" s="79"/>
      <c r="DE74" s="82"/>
      <c r="DF74" s="79">
        <f t="shared" ref="DF74:DO74" si="376">DF44/DE44-1</f>
        <v>0.15313329659870756</v>
      </c>
      <c r="DG74" s="79">
        <f t="shared" si="376"/>
        <v>0.38618592528236317</v>
      </c>
      <c r="DH74" s="79">
        <f t="shared" si="376"/>
        <v>-3.9799435913506764E-2</v>
      </c>
      <c r="DI74" s="79">
        <f t="shared" si="376"/>
        <v>-5.0261096605744071E-2</v>
      </c>
      <c r="DJ74" s="79">
        <f t="shared" si="376"/>
        <v>-5.8762886597938158E-2</v>
      </c>
      <c r="DK74" s="79">
        <f t="shared" si="376"/>
        <v>1.241328952172327E-2</v>
      </c>
      <c r="DL74" s="79">
        <f t="shared" si="376"/>
        <v>-0.15759105661738193</v>
      </c>
      <c r="DM74" s="79">
        <f t="shared" si="376"/>
        <v>-1</v>
      </c>
      <c r="DN74" s="79" t="e">
        <f t="shared" si="376"/>
        <v>#DIV/0!</v>
      </c>
      <c r="DO74" s="79" t="e">
        <f t="shared" si="376"/>
        <v>#DIV/0!</v>
      </c>
      <c r="DP74" s="79"/>
      <c r="DQ74" s="72"/>
      <c r="DR74" s="72"/>
      <c r="DS74" s="72"/>
      <c r="DT74" s="72"/>
      <c r="DU74" s="72"/>
      <c r="DV74" s="72"/>
      <c r="DW74" s="72"/>
      <c r="DX74" s="72"/>
      <c r="DY74" s="72"/>
      <c r="DZ74" s="72"/>
      <c r="EA74" s="72"/>
      <c r="EB74" s="72"/>
      <c r="EC74" s="72"/>
      <c r="ED74" s="72"/>
      <c r="EE74" s="72"/>
    </row>
    <row r="75" spans="2:145" s="30" customFormat="1" ht="13">
      <c r="B75" s="30" t="s">
        <v>720</v>
      </c>
      <c r="C75" s="82"/>
      <c r="D75" s="82"/>
      <c r="E75" s="82"/>
      <c r="F75" s="82"/>
      <c r="G75" s="82"/>
      <c r="H75" s="82"/>
      <c r="I75" s="82"/>
      <c r="J75" s="82"/>
      <c r="K75" s="82"/>
      <c r="L75" s="82"/>
      <c r="M75" s="82"/>
      <c r="N75" s="82"/>
      <c r="O75" s="79">
        <f t="shared" si="372"/>
        <v>0.36545115783870119</v>
      </c>
      <c r="P75" s="79">
        <f t="shared" si="372"/>
        <v>0.34102857142857146</v>
      </c>
      <c r="Q75" s="79">
        <f t="shared" si="372"/>
        <v>0.35567890691716464</v>
      </c>
      <c r="R75" s="79">
        <f t="shared" si="372"/>
        <v>0.32886564236678661</v>
      </c>
      <c r="S75" s="79">
        <f t="shared" si="372"/>
        <v>0.12475633528265107</v>
      </c>
      <c r="T75" s="79">
        <f t="shared" si="372"/>
        <v>0.10107380262485077</v>
      </c>
      <c r="U75" s="79">
        <f t="shared" si="372"/>
        <v>3.3070866141732269E-2</v>
      </c>
      <c r="V75" s="79">
        <f t="shared" si="372"/>
        <v>0.12300123001230023</v>
      </c>
      <c r="W75" s="79">
        <f t="shared" si="372"/>
        <v>0.12998266897746968</v>
      </c>
      <c r="X75" s="79">
        <f t="shared" si="372"/>
        <v>0.23684210526315796</v>
      </c>
      <c r="Y75" s="79">
        <f t="shared" si="373"/>
        <v>0.19207317073170738</v>
      </c>
      <c r="Z75" s="79">
        <f t="shared" si="373"/>
        <v>9.6385542168674787E-2</v>
      </c>
      <c r="AA75" s="79">
        <f t="shared" si="373"/>
        <v>0.14723926380368102</v>
      </c>
      <c r="AB75" s="79">
        <f t="shared" si="373"/>
        <v>5.1314142678347885E-2</v>
      </c>
      <c r="AC75" s="79">
        <f t="shared" si="373"/>
        <v>2.8132992327365658E-2</v>
      </c>
      <c r="AD75" s="79">
        <f t="shared" si="373"/>
        <v>-1.098901098901095E-2</v>
      </c>
      <c r="AE75" s="79">
        <f t="shared" si="373"/>
        <v>0.15240641711229941</v>
      </c>
      <c r="AF75" s="79">
        <f t="shared" si="373"/>
        <v>6.4285714285714279E-2</v>
      </c>
      <c r="AG75" s="79">
        <f t="shared" si="373"/>
        <v>0.10696517412935314</v>
      </c>
      <c r="AH75" s="79">
        <f t="shared" si="373"/>
        <v>7.2727272727272751E-2</v>
      </c>
      <c r="AI75" s="79">
        <f t="shared" si="374"/>
        <v>-0.10208816705336432</v>
      </c>
      <c r="AJ75" s="79">
        <f t="shared" si="374"/>
        <v>-3.3557046979866278E-3</v>
      </c>
      <c r="AK75" s="79">
        <f t="shared" si="374"/>
        <v>2.5842696629213568E-2</v>
      </c>
      <c r="AL75" s="79">
        <f t="shared" si="374"/>
        <v>9.1337099811676037E-2</v>
      </c>
      <c r="AM75" s="79">
        <f t="shared" si="374"/>
        <v>0.12790697674418605</v>
      </c>
      <c r="AN75" s="79">
        <f t="shared" si="374"/>
        <v>8.6419753086419693E-2</v>
      </c>
      <c r="AO75" s="79">
        <f t="shared" si="374"/>
        <v>3.1763417305586072E-2</v>
      </c>
      <c r="AP75" s="79">
        <f t="shared" si="374"/>
        <v>-1.4667817083692802E-2</v>
      </c>
      <c r="AQ75" s="79">
        <f t="shared" si="374"/>
        <v>0.15807560137457055</v>
      </c>
      <c r="AR75" s="79">
        <f t="shared" si="374"/>
        <v>0.14772727272727271</v>
      </c>
      <c r="AS75" s="79">
        <f t="shared" si="375"/>
        <v>0</v>
      </c>
      <c r="AT75" s="79">
        <f t="shared" si="375"/>
        <v>0</v>
      </c>
      <c r="AU75" s="79">
        <f t="shared" si="375"/>
        <v>-1</v>
      </c>
      <c r="AV75" s="79">
        <f t="shared" si="375"/>
        <v>0.10531053105310528</v>
      </c>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121"/>
      <c r="CJ75" s="121"/>
      <c r="CK75" s="121"/>
      <c r="CL75" s="121"/>
      <c r="CM75" s="121"/>
      <c r="CN75" s="121"/>
      <c r="CO75" s="121"/>
      <c r="CP75" s="121"/>
      <c r="CQ75" s="121"/>
      <c r="CR75" s="121"/>
      <c r="CS75" s="121"/>
      <c r="CT75" s="121"/>
      <c r="CU75" s="121"/>
      <c r="CV75" s="121"/>
      <c r="CW75" s="121"/>
      <c r="CX75" s="121"/>
      <c r="CY75" s="121"/>
      <c r="CZ75" s="82"/>
      <c r="DA75" s="79"/>
      <c r="DB75" s="79"/>
      <c r="DC75" s="79"/>
      <c r="DD75" s="79"/>
      <c r="DE75" s="79"/>
      <c r="DF75" s="79">
        <f t="shared" ref="DF75:DO75" si="377">DF45/DE45-1</f>
        <v>9.5890410958904271E-2</v>
      </c>
      <c r="DG75" s="79">
        <f t="shared" si="377"/>
        <v>0.15830945558739251</v>
      </c>
      <c r="DH75" s="79">
        <f t="shared" si="377"/>
        <v>4.5763760049474245E-2</v>
      </c>
      <c r="DI75" s="79">
        <f t="shared" si="377"/>
        <v>9.6392667060910764E-2</v>
      </c>
      <c r="DJ75" s="79">
        <f t="shared" si="377"/>
        <v>7.8209277238403541E-3</v>
      </c>
      <c r="DK75" s="79">
        <f t="shared" si="377"/>
        <v>5.030773347605022E-2</v>
      </c>
      <c r="DL75" s="79">
        <f t="shared" si="377"/>
        <v>7.1592356687897984E-2</v>
      </c>
      <c r="DM75" s="79">
        <f t="shared" si="377"/>
        <v>-0.31042113647170722</v>
      </c>
      <c r="DN75" s="79">
        <f t="shared" si="377"/>
        <v>9.0923406048341482E-2</v>
      </c>
      <c r="DO75" s="79">
        <f t="shared" si="377"/>
        <v>-1.0999276550868742E-2</v>
      </c>
      <c r="DP75" s="79"/>
      <c r="DQ75" s="82"/>
      <c r="DR75" s="82"/>
      <c r="DS75" s="82"/>
      <c r="DT75" s="82"/>
      <c r="DU75" s="82"/>
      <c r="DV75" s="82"/>
      <c r="DW75" s="82"/>
      <c r="DX75" s="82"/>
      <c r="DY75" s="82"/>
      <c r="DZ75" s="82"/>
      <c r="EA75" s="82"/>
      <c r="EB75" s="82"/>
      <c r="EC75" s="82"/>
      <c r="ED75" s="82"/>
      <c r="EE75" s="82"/>
    </row>
    <row r="76" spans="2:145" s="31" customFormat="1" ht="13">
      <c r="B76" s="35" t="s">
        <v>314</v>
      </c>
      <c r="C76" s="83"/>
      <c r="D76" s="83"/>
      <c r="E76" s="83"/>
      <c r="F76" s="83"/>
      <c r="G76" s="83"/>
      <c r="H76" s="83"/>
      <c r="I76" s="83"/>
      <c r="J76" s="83"/>
      <c r="K76" s="83"/>
      <c r="L76" s="83"/>
      <c r="M76" s="83"/>
      <c r="N76" s="83"/>
      <c r="O76" s="84">
        <f t="shared" ref="O76:AV76" si="378">O52/K52-1</f>
        <v>0.36147677969895819</v>
      </c>
      <c r="P76" s="84">
        <f t="shared" si="378"/>
        <v>0.26366592863905236</v>
      </c>
      <c r="Q76" s="84">
        <f t="shared" si="378"/>
        <v>0.19920583406513725</v>
      </c>
      <c r="R76" s="84">
        <f t="shared" si="378"/>
        <v>0.25649748940883166</v>
      </c>
      <c r="S76" s="84">
        <f t="shared" si="378"/>
        <v>0.26098805716094198</v>
      </c>
      <c r="T76" s="84">
        <f t="shared" si="378"/>
        <v>0.42989635090305955</v>
      </c>
      <c r="U76" s="84">
        <f t="shared" si="378"/>
        <v>0.34436590760448138</v>
      </c>
      <c r="V76" s="84">
        <f t="shared" si="378"/>
        <v>0.29504888391944051</v>
      </c>
      <c r="W76" s="84">
        <f t="shared" si="378"/>
        <v>0.26615353345172132</v>
      </c>
      <c r="X76" s="84">
        <f t="shared" si="378"/>
        <v>0.18401716796132006</v>
      </c>
      <c r="Y76" s="84">
        <f t="shared" si="378"/>
        <v>0.22042568681954688</v>
      </c>
      <c r="Z76" s="84">
        <f t="shared" si="378"/>
        <v>0.20834556126192205</v>
      </c>
      <c r="AA76" s="84">
        <f t="shared" si="378"/>
        <v>0.19483373786783953</v>
      </c>
      <c r="AB76" s="84">
        <f t="shared" si="378"/>
        <v>6.8629204160169266E-2</v>
      </c>
      <c r="AC76" s="84">
        <f t="shared" si="378"/>
        <v>4.0180473781186832E-2</v>
      </c>
      <c r="AD76" s="84">
        <f t="shared" si="378"/>
        <v>0.10544247098905291</v>
      </c>
      <c r="AE76" s="84">
        <f t="shared" si="378"/>
        <v>3.025902697084959E-2</v>
      </c>
      <c r="AF76" s="84">
        <f t="shared" si="378"/>
        <v>2.3290879812619014E-2</v>
      </c>
      <c r="AG76" s="84">
        <f t="shared" si="378"/>
        <v>0.13462529562220249</v>
      </c>
      <c r="AH76" s="84">
        <f t="shared" si="378"/>
        <v>6.229902422797573E-2</v>
      </c>
      <c r="AI76" s="84">
        <f t="shared" si="378"/>
        <v>-3.2576286591516235E-2</v>
      </c>
      <c r="AJ76" s="84">
        <f t="shared" si="378"/>
        <v>0.12840702604482113</v>
      </c>
      <c r="AK76" s="84">
        <f t="shared" si="378"/>
        <v>0.20829102606726635</v>
      </c>
      <c r="AL76" s="84">
        <f t="shared" si="378"/>
        <v>-6.6136961444867026E-3</v>
      </c>
      <c r="AM76" s="84">
        <f t="shared" si="378"/>
        <v>0.20141158183921348</v>
      </c>
      <c r="AN76" s="84">
        <f t="shared" si="378"/>
        <v>6.6000740621172227E-2</v>
      </c>
      <c r="AO76" s="84">
        <f t="shared" si="378"/>
        <v>-8.1998005911049332E-2</v>
      </c>
      <c r="AP76" s="84">
        <f t="shared" si="378"/>
        <v>0.10793754776722353</v>
      </c>
      <c r="AQ76" s="84">
        <f t="shared" si="378"/>
        <v>3.138712782553843E-2</v>
      </c>
      <c r="AR76" s="84">
        <f t="shared" si="378"/>
        <v>-2.9067795789046169E-3</v>
      </c>
      <c r="AS76" s="84">
        <f t="shared" si="378"/>
        <v>0.46849687281361962</v>
      </c>
      <c r="AT76" s="84">
        <f t="shared" si="378"/>
        <v>-5.6697867020254367E-2</v>
      </c>
      <c r="AU76" s="84">
        <f t="shared" si="378"/>
        <v>-1</v>
      </c>
      <c r="AV76" s="84">
        <f t="shared" si="378"/>
        <v>0.24368004693785217</v>
      </c>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c r="CC76" s="84"/>
      <c r="CD76" s="84"/>
      <c r="CE76" s="84"/>
      <c r="CF76" s="84"/>
      <c r="CG76" s="84"/>
      <c r="CH76" s="84"/>
      <c r="CI76" s="123"/>
      <c r="CJ76" s="123"/>
      <c r="CK76" s="123"/>
      <c r="CL76" s="123"/>
      <c r="CM76" s="123"/>
      <c r="CN76" s="123"/>
      <c r="CO76" s="123"/>
      <c r="CP76" s="123"/>
      <c r="CQ76" s="123"/>
      <c r="CR76" s="123"/>
      <c r="CS76" s="123"/>
      <c r="CT76" s="123"/>
      <c r="CU76" s="123"/>
      <c r="CV76" s="123"/>
      <c r="CW76" s="123"/>
      <c r="CX76" s="123"/>
      <c r="CY76" s="123"/>
      <c r="CZ76" s="85"/>
      <c r="DA76" s="84"/>
      <c r="DB76" s="84"/>
      <c r="DC76" s="84"/>
      <c r="DD76" s="84"/>
      <c r="DE76" s="84">
        <f t="shared" ref="DE76:DO76" si="379">DE52/DD52-1</f>
        <v>0.26227331912878804</v>
      </c>
      <c r="DF76" s="84">
        <f t="shared" si="379"/>
        <v>0.33203283397740702</v>
      </c>
      <c r="DG76" s="84">
        <f t="shared" si="379"/>
        <v>0.21813114811207313</v>
      </c>
      <c r="DH76" s="84">
        <f t="shared" si="379"/>
        <v>0.11102054056558952</v>
      </c>
      <c r="DI76" s="84">
        <f t="shared" si="379"/>
        <v>5.1191925834915386E-2</v>
      </c>
      <c r="DJ76" s="84">
        <f t="shared" si="379"/>
        <v>-2.884494008493832E-2</v>
      </c>
      <c r="DK76" s="84">
        <f t="shared" si="379"/>
        <v>0.17834468950199178</v>
      </c>
      <c r="DL76" s="84">
        <f t="shared" si="379"/>
        <v>9.8012030761164937E-2</v>
      </c>
      <c r="DM76" s="84">
        <f t="shared" si="379"/>
        <v>0.38470214727242302</v>
      </c>
      <c r="DN76" s="84">
        <f t="shared" si="379"/>
        <v>7.5308909389051104E-2</v>
      </c>
      <c r="DO76" s="84">
        <f t="shared" si="379"/>
        <v>-5.0852734997906324E-2</v>
      </c>
      <c r="DP76" s="84"/>
      <c r="DQ76" s="85"/>
      <c r="DR76" s="85"/>
      <c r="DS76" s="85"/>
      <c r="DT76" s="85"/>
      <c r="DU76" s="85"/>
      <c r="DV76" s="85"/>
      <c r="DW76" s="85"/>
      <c r="DX76" s="85"/>
      <c r="DY76" s="85"/>
      <c r="DZ76" s="85"/>
      <c r="EA76" s="85"/>
      <c r="EB76" s="85"/>
      <c r="EC76" s="85"/>
      <c r="ED76" s="85"/>
      <c r="EE76" s="85"/>
    </row>
    <row r="77" spans="2:145">
      <c r="CI77" s="114"/>
      <c r="CJ77" s="114"/>
      <c r="CK77" s="114"/>
      <c r="CL77" s="114"/>
    </row>
    <row r="78" spans="2:145">
      <c r="B78" s="4" t="s">
        <v>379</v>
      </c>
      <c r="F78" s="67">
        <f>F79+F80-F93-F96-F97</f>
        <v>2339.2999999999997</v>
      </c>
      <c r="I78" s="67">
        <f t="shared" ref="I78:AB78" si="380">I79+I80-I93-I96-I97</f>
        <v>879.5</v>
      </c>
      <c r="J78" s="67">
        <f t="shared" si="380"/>
        <v>1616.1999999999998</v>
      </c>
      <c r="K78" s="67">
        <f t="shared" si="380"/>
        <v>1701.3000000000002</v>
      </c>
      <c r="L78" s="67">
        <f t="shared" si="380"/>
        <v>1493.3000000000002</v>
      </c>
      <c r="M78" s="67">
        <f t="shared" si="380"/>
        <v>1953.1999999999998</v>
      </c>
      <c r="N78" s="67">
        <f t="shared" si="380"/>
        <v>2043</v>
      </c>
      <c r="O78" s="67">
        <f t="shared" si="380"/>
        <v>1421.5000000000005</v>
      </c>
      <c r="P78" s="67">
        <f t="shared" si="380"/>
        <v>1166.1000000000004</v>
      </c>
      <c r="Q78" s="67">
        <f t="shared" si="380"/>
        <v>734</v>
      </c>
      <c r="R78" s="67">
        <f t="shared" si="380"/>
        <v>698</v>
      </c>
      <c r="S78" s="67">
        <f t="shared" si="380"/>
        <v>93</v>
      </c>
      <c r="T78" s="67">
        <f t="shared" si="380"/>
        <v>493</v>
      </c>
      <c r="U78" s="67">
        <f t="shared" si="380"/>
        <v>1599</v>
      </c>
      <c r="V78" s="67">
        <f t="shared" si="380"/>
        <v>1298</v>
      </c>
      <c r="W78" s="67">
        <f t="shared" si="380"/>
        <v>-1814</v>
      </c>
      <c r="X78" s="67">
        <f t="shared" si="380"/>
        <v>-4030</v>
      </c>
      <c r="Y78" s="67">
        <f t="shared" si="380"/>
        <v>-3225</v>
      </c>
      <c r="Z78" s="67">
        <f t="shared" si="380"/>
        <v>-2735</v>
      </c>
      <c r="AA78" s="67">
        <f t="shared" si="380"/>
        <v>-2477</v>
      </c>
      <c r="AB78" s="67">
        <f t="shared" si="380"/>
        <v>-5906</v>
      </c>
      <c r="AG78" s="67">
        <v>-1419</v>
      </c>
      <c r="AH78" s="67">
        <f>AG78+AH51</f>
        <v>-295</v>
      </c>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c r="CC78" s="67"/>
      <c r="CD78" s="67"/>
      <c r="CE78" s="67"/>
      <c r="CF78" s="67"/>
      <c r="CG78" s="67"/>
      <c r="CH78" s="67"/>
      <c r="CI78" s="117"/>
      <c r="CJ78" s="117"/>
      <c r="CK78" s="117"/>
      <c r="CL78" s="117"/>
      <c r="CM78" s="117">
        <f>+CM79-CM97</f>
        <v>-30034</v>
      </c>
      <c r="CN78" s="117">
        <f t="shared" ref="CN78" si="381">+CN79-CN97</f>
        <v>-27296</v>
      </c>
      <c r="CO78" s="117">
        <f t="shared" ref="CO78" si="382">+CO79-CO97</f>
        <v>-25727</v>
      </c>
      <c r="CP78" s="117">
        <f t="shared" ref="CP78" si="383">+CP79-CP97</f>
        <v>-53669</v>
      </c>
      <c r="CQ78" s="117">
        <f>+CQ79-CQ97</f>
        <v>-54312</v>
      </c>
      <c r="CR78" s="117">
        <f>+CR79-CR97</f>
        <v>-53344</v>
      </c>
      <c r="CS78" s="117">
        <f>+CS79-CS97</f>
        <v>-51387</v>
      </c>
      <c r="CT78" s="117"/>
      <c r="CU78" s="117"/>
      <c r="CV78" s="117"/>
      <c r="CW78" s="117"/>
      <c r="CX78" s="117"/>
      <c r="CY78" s="117"/>
      <c r="DI78" s="67">
        <f>AH78</f>
        <v>-295</v>
      </c>
      <c r="DJ78" s="67">
        <f t="shared" ref="DJ78:DT78" si="384">DI78+DJ51</f>
        <v>4404.91</v>
      </c>
      <c r="DK78" s="67">
        <f t="shared" si="384"/>
        <v>9428.91</v>
      </c>
      <c r="DL78" s="67">
        <f t="shared" si="384"/>
        <v>14776.685999999998</v>
      </c>
      <c r="DM78" s="67">
        <f t="shared" si="384"/>
        <v>22102.606556399995</v>
      </c>
      <c r="DN78" s="67">
        <f t="shared" si="384"/>
        <v>29895.116667555551</v>
      </c>
      <c r="DO78" s="67">
        <f t="shared" si="384"/>
        <v>37210.56725377214</v>
      </c>
      <c r="DP78" s="67">
        <f t="shared" si="384"/>
        <v>44029.498636254291</v>
      </c>
      <c r="DQ78" s="67">
        <f t="shared" si="384"/>
        <v>50751.377990752146</v>
      </c>
      <c r="DR78" s="67">
        <f t="shared" si="384"/>
        <v>49220.044566822922</v>
      </c>
      <c r="DS78" s="67">
        <f t="shared" si="384"/>
        <v>49220.044566822922</v>
      </c>
      <c r="DT78" s="67">
        <f t="shared" si="384"/>
        <v>49220.044566822922</v>
      </c>
      <c r="DZ78" s="71">
        <v>0</v>
      </c>
      <c r="EA78" s="67">
        <f t="shared" ref="EA78:EJ78" si="385">+DZ78+EA51</f>
        <v>17706.484399999998</v>
      </c>
      <c r="EB78" s="67">
        <f t="shared" si="385"/>
        <v>35830.863207200004</v>
      </c>
      <c r="EC78" s="67">
        <f t="shared" si="385"/>
        <v>54181.253911377607</v>
      </c>
      <c r="ED78" s="67">
        <f t="shared" si="385"/>
        <v>72793.035832893831</v>
      </c>
      <c r="EE78" s="67">
        <f t="shared" si="385"/>
        <v>91818.815282170035</v>
      </c>
      <c r="EF78" s="67">
        <f t="shared" si="385"/>
        <v>111463.82719697084</v>
      </c>
      <c r="EG78" s="67">
        <f t="shared" si="385"/>
        <v>131732.52444289354</v>
      </c>
      <c r="EH78" s="67">
        <f t="shared" si="385"/>
        <v>152888.81597788393</v>
      </c>
      <c r="EI78" s="67">
        <f t="shared" si="385"/>
        <v>175122.40185744059</v>
      </c>
      <c r="EJ78" s="67">
        <f t="shared" si="385"/>
        <v>193137.37682459442</v>
      </c>
    </row>
    <row r="79" spans="2:145">
      <c r="B79" s="4" t="s">
        <v>62</v>
      </c>
      <c r="F79" s="67">
        <v>689.1</v>
      </c>
      <c r="I79" s="67">
        <v>1158.7</v>
      </c>
      <c r="J79" s="67">
        <v>4663.8999999999996</v>
      </c>
      <c r="K79" s="67">
        <v>4757</v>
      </c>
      <c r="L79" s="67">
        <v>1851.7</v>
      </c>
      <c r="M79" s="67">
        <v>5025</v>
      </c>
      <c r="N79" s="67">
        <v>5123</v>
      </c>
      <c r="O79" s="67">
        <v>4509.1000000000004</v>
      </c>
      <c r="P79" s="67">
        <f>4261.8</f>
        <v>4261.8</v>
      </c>
      <c r="Q79" s="67">
        <v>986</v>
      </c>
      <c r="R79" s="67">
        <v>1526</v>
      </c>
      <c r="S79" s="67">
        <v>1183</v>
      </c>
      <c r="T79" s="67">
        <v>1621</v>
      </c>
      <c r="U79" s="67">
        <v>2151</v>
      </c>
      <c r="V79" s="67">
        <v>1840</v>
      </c>
      <c r="W79" s="67">
        <f>1747+2100</f>
        <v>3847</v>
      </c>
      <c r="X79" s="67">
        <v>1947</v>
      </c>
      <c r="Y79" s="67">
        <v>1291</v>
      </c>
      <c r="Z79" s="67">
        <v>1283</v>
      </c>
      <c r="AA79" s="67">
        <v>1067</v>
      </c>
      <c r="AB79" s="67">
        <v>5306</v>
      </c>
      <c r="AM79" s="67">
        <v>2266</v>
      </c>
      <c r="CI79" s="114"/>
      <c r="CJ79" s="114"/>
      <c r="CK79" s="114"/>
      <c r="CL79" s="114"/>
      <c r="CM79" s="117">
        <v>31561</v>
      </c>
      <c r="CN79" s="117">
        <v>34248</v>
      </c>
      <c r="CO79" s="117">
        <v>34741</v>
      </c>
      <c r="CP79" s="117">
        <v>10944</v>
      </c>
      <c r="CQ79" s="117">
        <v>9708</v>
      </c>
      <c r="CR79" s="117">
        <v>9301</v>
      </c>
      <c r="CS79" s="117">
        <v>9011</v>
      </c>
    </row>
    <row r="80" spans="2:145">
      <c r="B80" s="4" t="s">
        <v>63</v>
      </c>
      <c r="F80" s="67">
        <v>1973.1</v>
      </c>
      <c r="I80" s="67">
        <v>2883.5</v>
      </c>
      <c r="J80" s="67"/>
      <c r="K80" s="67"/>
      <c r="L80" s="67">
        <v>2812.2</v>
      </c>
      <c r="M80" s="67"/>
      <c r="N80" s="67"/>
      <c r="O80" s="67"/>
      <c r="P80" s="67"/>
      <c r="Q80" s="67">
        <v>2852</v>
      </c>
      <c r="R80" s="67">
        <v>4282</v>
      </c>
      <c r="S80" s="67">
        <v>2852</v>
      </c>
      <c r="T80" s="67">
        <v>2819</v>
      </c>
      <c r="U80" s="67">
        <v>3400</v>
      </c>
      <c r="V80" s="67">
        <v>3415</v>
      </c>
      <c r="W80" s="67">
        <v>3300</v>
      </c>
      <c r="X80" s="67">
        <v>3023</v>
      </c>
      <c r="Y80" s="67">
        <v>4490</v>
      </c>
      <c r="Z80" s="67">
        <v>4994</v>
      </c>
      <c r="AA80" s="67">
        <v>3770</v>
      </c>
      <c r="AM80" s="67">
        <v>11851</v>
      </c>
      <c r="CI80" s="114"/>
      <c r="CJ80" s="114"/>
      <c r="CK80" s="114"/>
      <c r="CL80" s="114"/>
      <c r="CM80" s="117"/>
      <c r="CN80" s="117"/>
      <c r="CO80" s="117"/>
      <c r="CP80" s="117"/>
      <c r="CQ80" s="117"/>
      <c r="CR80" s="117"/>
      <c r="CS80" s="117"/>
    </row>
    <row r="81" spans="2:135">
      <c r="B81" s="4" t="s">
        <v>64</v>
      </c>
      <c r="F81" s="67">
        <v>497.2</v>
      </c>
      <c r="I81" s="67">
        <v>622.20000000000005</v>
      </c>
      <c r="J81" s="67">
        <v>752.4</v>
      </c>
      <c r="K81" s="67">
        <v>845.2</v>
      </c>
      <c r="L81" s="67">
        <v>752.4</v>
      </c>
      <c r="M81" s="67">
        <v>1001.4</v>
      </c>
      <c r="N81" s="67">
        <v>1008</v>
      </c>
      <c r="O81" s="67">
        <v>1195.2</v>
      </c>
      <c r="P81" s="67">
        <v>1281.2</v>
      </c>
      <c r="Q81" s="67">
        <v>1413</v>
      </c>
      <c r="R81" s="67">
        <v>1461</v>
      </c>
      <c r="S81" s="67">
        <v>1584</v>
      </c>
      <c r="T81" s="67">
        <v>1707</v>
      </c>
      <c r="U81" s="67">
        <v>1664</v>
      </c>
      <c r="V81" s="67">
        <v>1769</v>
      </c>
      <c r="W81" s="67">
        <v>1794</v>
      </c>
      <c r="X81" s="67">
        <v>2018</v>
      </c>
      <c r="Y81" s="67">
        <v>2124</v>
      </c>
      <c r="Z81" s="67">
        <v>2124</v>
      </c>
      <c r="AA81" s="67">
        <v>2157</v>
      </c>
      <c r="AM81" s="67">
        <v>2271</v>
      </c>
      <c r="CI81" s="114"/>
      <c r="CJ81" s="114"/>
      <c r="CK81" s="114"/>
      <c r="CL81" s="114"/>
      <c r="CM81" s="117">
        <v>5736</v>
      </c>
      <c r="CN81" s="117">
        <v>5830</v>
      </c>
      <c r="CO81" s="117">
        <v>6145</v>
      </c>
      <c r="CP81" s="117">
        <v>7268</v>
      </c>
      <c r="CQ81" s="117">
        <v>6776</v>
      </c>
      <c r="CR81" s="117">
        <v>6934</v>
      </c>
      <c r="CS81" s="117">
        <v>7317</v>
      </c>
    </row>
    <row r="82" spans="2:135" s="14" customFormat="1" ht="13">
      <c r="B82" s="14" t="s">
        <v>370</v>
      </c>
      <c r="C82" s="89"/>
      <c r="D82" s="89"/>
      <c r="E82" s="89"/>
      <c r="F82" s="75">
        <f>(F81/F41)*91.25</f>
        <v>47.161642411642411</v>
      </c>
      <c r="G82" s="89"/>
      <c r="H82" s="89"/>
      <c r="I82" s="75">
        <f t="shared" ref="I82:AA82" si="386">(I81/I41)*91.25</f>
        <v>37.868171813512973</v>
      </c>
      <c r="J82" s="75">
        <f t="shared" si="386"/>
        <v>38.874639035162218</v>
      </c>
      <c r="K82" s="75">
        <f t="shared" si="386"/>
        <v>43.788394935558969</v>
      </c>
      <c r="L82" s="75">
        <f t="shared" si="386"/>
        <v>33.637009455685664</v>
      </c>
      <c r="M82" s="75">
        <f t="shared" si="386"/>
        <v>41.381102255230509</v>
      </c>
      <c r="N82" s="75">
        <f t="shared" si="386"/>
        <v>39.197136282280752</v>
      </c>
      <c r="O82" s="75">
        <f t="shared" si="386"/>
        <v>46.550002134107309</v>
      </c>
      <c r="P82" s="75">
        <f t="shared" si="386"/>
        <v>45.233111506616112</v>
      </c>
      <c r="Q82" s="75">
        <f t="shared" si="386"/>
        <v>47.525340950976783</v>
      </c>
      <c r="R82" s="75">
        <f t="shared" si="386"/>
        <v>45.828893090409075</v>
      </c>
      <c r="S82" s="75">
        <f t="shared" si="386"/>
        <v>51.020120014119314</v>
      </c>
      <c r="T82" s="75">
        <f t="shared" si="386"/>
        <v>49.105848045397231</v>
      </c>
      <c r="U82" s="75">
        <f t="shared" si="386"/>
        <v>48.142041851616987</v>
      </c>
      <c r="V82" s="75">
        <f t="shared" si="386"/>
        <v>49.34920513604402</v>
      </c>
      <c r="W82" s="75">
        <f t="shared" si="386"/>
        <v>50.886695679204223</v>
      </c>
      <c r="X82" s="75">
        <f t="shared" si="386"/>
        <v>51.093923418423977</v>
      </c>
      <c r="Y82" s="75">
        <f t="shared" si="386"/>
        <v>53.658637873754152</v>
      </c>
      <c r="Z82" s="75">
        <f t="shared" si="386"/>
        <v>50.53846153846154</v>
      </c>
      <c r="AA82" s="75">
        <f t="shared" si="386"/>
        <v>53.383848657445078</v>
      </c>
      <c r="AB82" s="89"/>
      <c r="AC82" s="89"/>
      <c r="AD82" s="89"/>
      <c r="AE82" s="89"/>
      <c r="AF82" s="89"/>
      <c r="AG82" s="89"/>
      <c r="AH82" s="89"/>
      <c r="AI82" s="89"/>
      <c r="AJ82" s="89"/>
      <c r="AK82" s="89"/>
      <c r="AL82" s="89"/>
      <c r="AM82" s="75">
        <f>(AM81/AM41)*91.25</f>
        <v>57.691745545657014</v>
      </c>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126"/>
      <c r="CJ82" s="126"/>
      <c r="CK82" s="126"/>
      <c r="CL82" s="126"/>
      <c r="CM82" s="119"/>
      <c r="CN82" s="119"/>
      <c r="CO82" s="119"/>
      <c r="CP82" s="119"/>
      <c r="CQ82" s="119"/>
      <c r="CR82" s="119"/>
      <c r="CS82" s="119"/>
      <c r="CT82" s="126"/>
      <c r="CU82" s="126"/>
      <c r="CV82" s="126"/>
      <c r="CW82" s="126"/>
      <c r="CX82" s="126"/>
      <c r="CY82" s="126"/>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9"/>
      <c r="DZ82" s="89"/>
      <c r="EA82" s="89"/>
      <c r="EB82" s="89"/>
      <c r="EC82" s="89"/>
      <c r="ED82" s="89"/>
      <c r="EE82" s="89"/>
    </row>
    <row r="83" spans="2:135">
      <c r="B83" s="4" t="s">
        <v>363</v>
      </c>
      <c r="F83" s="67">
        <v>355.6</v>
      </c>
      <c r="I83" s="67">
        <v>526.5</v>
      </c>
      <c r="J83" s="67">
        <v>544.9</v>
      </c>
      <c r="K83" s="67">
        <v>582.70000000000005</v>
      </c>
      <c r="L83" s="67">
        <v>544.9</v>
      </c>
      <c r="M83" s="67">
        <v>684.8</v>
      </c>
      <c r="N83" s="67">
        <v>713</v>
      </c>
      <c r="O83" s="67">
        <v>736.7</v>
      </c>
      <c r="P83" s="67">
        <v>725.1</v>
      </c>
      <c r="Q83" s="67">
        <v>716</v>
      </c>
      <c r="R83" s="67">
        <v>888</v>
      </c>
      <c r="S83" s="67">
        <v>932</v>
      </c>
      <c r="T83" s="67">
        <v>984</v>
      </c>
      <c r="U83" s="67">
        <v>1059</v>
      </c>
      <c r="V83" s="67">
        <v>1258</v>
      </c>
      <c r="W83" s="67">
        <v>1273</v>
      </c>
      <c r="X83" s="67">
        <v>1520</v>
      </c>
      <c r="Y83" s="67">
        <v>1711</v>
      </c>
      <c r="Z83" s="67">
        <v>1903</v>
      </c>
      <c r="AA83" s="67">
        <v>2115</v>
      </c>
      <c r="AM83" s="74">
        <v>2202</v>
      </c>
      <c r="CI83" s="114"/>
      <c r="CJ83" s="114"/>
      <c r="CK83" s="114"/>
      <c r="CL83" s="114"/>
      <c r="CM83" s="117">
        <v>5011</v>
      </c>
      <c r="CN83" s="117">
        <v>4978</v>
      </c>
      <c r="CO83" s="117">
        <v>5026</v>
      </c>
      <c r="CP83" s="117">
        <v>9518</v>
      </c>
      <c r="CQ83" s="117">
        <v>8724</v>
      </c>
      <c r="CR83" s="117">
        <v>7995</v>
      </c>
      <c r="CS83" s="117">
        <v>7362</v>
      </c>
    </row>
    <row r="84" spans="2:135">
      <c r="B84" s="4" t="s">
        <v>364</v>
      </c>
      <c r="F84" s="67">
        <v>343.6</v>
      </c>
      <c r="I84" s="67">
        <v>633.5</v>
      </c>
      <c r="J84" s="67">
        <v>442.3</v>
      </c>
      <c r="K84" s="67">
        <v>471</v>
      </c>
      <c r="L84" s="67">
        <v>442.3</v>
      </c>
      <c r="M84" s="67">
        <v>582.79999999999995</v>
      </c>
      <c r="N84" s="67">
        <v>558</v>
      </c>
      <c r="O84" s="67">
        <v>494.4</v>
      </c>
      <c r="P84" s="67">
        <v>568</v>
      </c>
      <c r="Q84" s="67">
        <v>808</v>
      </c>
      <c r="R84" s="67">
        <v>1013</v>
      </c>
      <c r="S84" s="67">
        <v>873</v>
      </c>
      <c r="T84" s="67">
        <v>894</v>
      </c>
      <c r="U84" s="67">
        <v>919</v>
      </c>
      <c r="V84" s="67">
        <v>953</v>
      </c>
      <c r="W84" s="67">
        <v>943</v>
      </c>
      <c r="X84" s="67">
        <v>995</v>
      </c>
      <c r="Y84" s="67">
        <v>1040</v>
      </c>
      <c r="Z84" s="67">
        <v>1408</v>
      </c>
      <c r="AA84" s="67">
        <v>1418</v>
      </c>
      <c r="AM84" s="67">
        <v>1219</v>
      </c>
      <c r="CI84" s="114"/>
      <c r="CJ84" s="114"/>
      <c r="CK84" s="114"/>
      <c r="CL84" s="114"/>
      <c r="CM84" s="117">
        <v>2395</v>
      </c>
      <c r="CN84" s="117">
        <v>2324</v>
      </c>
      <c r="CO84" s="117">
        <v>2565</v>
      </c>
      <c r="CP84" s="117">
        <v>2602</v>
      </c>
      <c r="CQ84" s="117">
        <v>2821</v>
      </c>
      <c r="CR84" s="117">
        <v>2976</v>
      </c>
      <c r="CS84" s="117">
        <v>3076</v>
      </c>
    </row>
    <row r="85" spans="2:135">
      <c r="B85" s="4" t="s">
        <v>365</v>
      </c>
      <c r="F85" s="67">
        <f>F79+F80+F81+F83+F84</f>
        <v>3858.5999999999995</v>
      </c>
      <c r="I85" s="67">
        <f t="shared" ref="I85:AA85" si="387">I79+I80+I81+I83+I84</f>
        <v>5824.4</v>
      </c>
      <c r="J85" s="67">
        <f t="shared" si="387"/>
        <v>6403.4999999999991</v>
      </c>
      <c r="K85" s="67">
        <f t="shared" si="387"/>
        <v>6655.9</v>
      </c>
      <c r="L85" s="67">
        <f t="shared" si="387"/>
        <v>6403.4999999999991</v>
      </c>
      <c r="M85" s="67">
        <f t="shared" si="387"/>
        <v>7294</v>
      </c>
      <c r="N85" s="67">
        <f t="shared" si="387"/>
        <v>7402</v>
      </c>
      <c r="O85" s="67">
        <f t="shared" si="387"/>
        <v>6935.4</v>
      </c>
      <c r="P85" s="67">
        <f t="shared" si="387"/>
        <v>6836.1</v>
      </c>
      <c r="Q85" s="67">
        <f t="shared" si="387"/>
        <v>6775</v>
      </c>
      <c r="R85" s="67">
        <f t="shared" si="387"/>
        <v>9170</v>
      </c>
      <c r="S85" s="67">
        <f t="shared" si="387"/>
        <v>7424</v>
      </c>
      <c r="T85" s="67">
        <f t="shared" si="387"/>
        <v>8025</v>
      </c>
      <c r="U85" s="67">
        <f t="shared" si="387"/>
        <v>9193</v>
      </c>
      <c r="V85" s="67">
        <f t="shared" si="387"/>
        <v>9235</v>
      </c>
      <c r="W85" s="67">
        <f t="shared" si="387"/>
        <v>11157</v>
      </c>
      <c r="X85" s="67">
        <f t="shared" si="387"/>
        <v>9503</v>
      </c>
      <c r="Y85" s="67">
        <f t="shared" si="387"/>
        <v>10656</v>
      </c>
      <c r="Z85" s="67">
        <f t="shared" si="387"/>
        <v>11712</v>
      </c>
      <c r="AA85" s="67">
        <f t="shared" si="387"/>
        <v>10527</v>
      </c>
      <c r="AM85" s="67">
        <f>AM79+AM80+AM81+AM83+AM84</f>
        <v>19809</v>
      </c>
      <c r="CI85" s="114"/>
      <c r="CJ85" s="114"/>
      <c r="CK85" s="114"/>
      <c r="CL85" s="114"/>
      <c r="CM85" s="117"/>
      <c r="CN85" s="117"/>
      <c r="CO85" s="117"/>
      <c r="CP85" s="117"/>
      <c r="CQ85" s="117"/>
      <c r="CR85" s="117"/>
      <c r="CS85" s="117"/>
    </row>
    <row r="86" spans="2:135">
      <c r="B86" s="4" t="s">
        <v>366</v>
      </c>
      <c r="F86" s="67">
        <v>1946.1</v>
      </c>
      <c r="I86" s="67">
        <v>2666.2</v>
      </c>
      <c r="J86" s="67">
        <v>2813.5</v>
      </c>
      <c r="K86" s="67">
        <v>2954.2</v>
      </c>
      <c r="L86" s="67">
        <v>2813.5</v>
      </c>
      <c r="M86" s="67">
        <v>3456.7</v>
      </c>
      <c r="N86" s="67">
        <v>3799</v>
      </c>
      <c r="O86" s="67">
        <v>4086.3</v>
      </c>
      <c r="P86" s="67">
        <v>4351.2</v>
      </c>
      <c r="Q86" s="67">
        <v>4549</v>
      </c>
      <c r="R86" s="67">
        <v>4712</v>
      </c>
      <c r="S86" s="67">
        <v>4790</v>
      </c>
      <c r="T86" s="67">
        <v>4863</v>
      </c>
      <c r="U86" s="67">
        <v>4894</v>
      </c>
      <c r="V86" s="67">
        <v>5038</v>
      </c>
      <c r="W86" s="67">
        <v>5122</v>
      </c>
      <c r="X86" s="67">
        <v>5438</v>
      </c>
      <c r="Y86" s="67">
        <v>5673</v>
      </c>
      <c r="Z86" s="67">
        <v>5921</v>
      </c>
      <c r="AA86" s="67">
        <v>6027</v>
      </c>
      <c r="AM86" s="67">
        <v>5619</v>
      </c>
      <c r="CI86" s="114"/>
      <c r="CJ86" s="114"/>
      <c r="CK86" s="114"/>
      <c r="CL86" s="114"/>
      <c r="CM86" s="117">
        <v>5460</v>
      </c>
      <c r="CN86" s="117">
        <v>5532</v>
      </c>
      <c r="CO86" s="117">
        <v>5563</v>
      </c>
      <c r="CP86" s="117">
        <v>5941</v>
      </c>
      <c r="CQ86" s="117">
        <v>6002</v>
      </c>
      <c r="CR86" s="117">
        <v>6097</v>
      </c>
      <c r="CS86" s="117">
        <v>6156</v>
      </c>
    </row>
    <row r="87" spans="2:135">
      <c r="B87" s="4" t="s">
        <v>367</v>
      </c>
      <c r="F87" s="67">
        <f>34.1+97.2</f>
        <v>131.30000000000001</v>
      </c>
      <c r="I87" s="67">
        <f>4904.6+9817.2</f>
        <v>14721.800000000001</v>
      </c>
      <c r="J87" s="67">
        <f>4801.9+9871.1</f>
        <v>14673</v>
      </c>
      <c r="K87" s="67">
        <f>4715.5+9873.5</f>
        <v>14589</v>
      </c>
      <c r="L87" s="67">
        <f>4801.9+9871.1</f>
        <v>14673</v>
      </c>
      <c r="M87" s="67">
        <f>4542.1+9870.7</f>
        <v>14412.800000000001</v>
      </c>
      <c r="N87" s="67">
        <f>4288+9820</f>
        <v>14108</v>
      </c>
      <c r="O87" s="67">
        <f>4408+9707</f>
        <v>14115</v>
      </c>
      <c r="P87" s="67">
        <f>4338.8+9700.4</f>
        <v>14039.2</v>
      </c>
      <c r="Q87" s="67">
        <f>4278+10437</f>
        <v>14715</v>
      </c>
      <c r="R87" s="67">
        <f>4033+10525</f>
        <v>14558</v>
      </c>
      <c r="S87" s="67">
        <f>3965+10519</f>
        <v>14484</v>
      </c>
      <c r="T87" s="67">
        <f>3872+10519</f>
        <v>14391</v>
      </c>
      <c r="U87" s="67">
        <f>3779+10496</f>
        <v>14275</v>
      </c>
      <c r="V87" s="67">
        <f>3742+10495</f>
        <v>14237</v>
      </c>
      <c r="W87" s="67">
        <f>3646+10492</f>
        <v>14138</v>
      </c>
      <c r="X87" s="67">
        <f>3965+11210</f>
        <v>15175</v>
      </c>
      <c r="Y87" s="67">
        <f>3819+11206</f>
        <v>15025</v>
      </c>
      <c r="Z87" s="67">
        <f>3747+11302</f>
        <v>15049</v>
      </c>
      <c r="AA87" s="67">
        <f>3643+11269</f>
        <v>14912</v>
      </c>
      <c r="AM87" s="67">
        <f>2462+11335</f>
        <v>13797</v>
      </c>
      <c r="CI87" s="114"/>
      <c r="CJ87" s="114"/>
      <c r="CK87" s="114"/>
      <c r="CL87" s="114"/>
      <c r="CM87" s="117">
        <f>15393+15531</f>
        <v>30924</v>
      </c>
      <c r="CN87" s="117">
        <f>14633+15531</f>
        <v>30164</v>
      </c>
      <c r="CO87" s="117">
        <f>13150+15509</f>
        <v>28659</v>
      </c>
      <c r="CP87" s="117">
        <f>32641+18629</f>
        <v>51270</v>
      </c>
      <c r="CQ87" s="117">
        <f>31372+18570</f>
        <v>49942</v>
      </c>
      <c r="CR87" s="117">
        <f>30172+18616</f>
        <v>48788</v>
      </c>
      <c r="CS87" s="117">
        <f>28920+18658</f>
        <v>47578</v>
      </c>
    </row>
    <row r="88" spans="2:135">
      <c r="B88" s="4" t="s">
        <v>368</v>
      </c>
      <c r="F88" s="67">
        <v>507.1</v>
      </c>
      <c r="I88" s="67">
        <v>528.70000000000005</v>
      </c>
      <c r="J88" s="67">
        <v>566.29999999999995</v>
      </c>
      <c r="K88" s="67">
        <v>530.4</v>
      </c>
      <c r="L88" s="67">
        <v>566.29999999999995</v>
      </c>
      <c r="M88" s="67">
        <v>705.3</v>
      </c>
      <c r="N88" s="67">
        <v>804</v>
      </c>
      <c r="O88" s="67">
        <v>842.7</v>
      </c>
      <c r="P88" s="67">
        <v>833.5</v>
      </c>
      <c r="Q88" s="67">
        <v>772</v>
      </c>
      <c r="R88" s="67">
        <v>781</v>
      </c>
      <c r="S88" s="67">
        <v>722</v>
      </c>
      <c r="T88" s="67">
        <v>759</v>
      </c>
      <c r="U88" s="67">
        <v>770</v>
      </c>
      <c r="V88" s="67">
        <v>787</v>
      </c>
      <c r="W88" s="67">
        <v>898</v>
      </c>
      <c r="X88" s="67">
        <v>1172</v>
      </c>
      <c r="Y88" s="67">
        <v>1232</v>
      </c>
      <c r="Z88" s="67">
        <v>1106</v>
      </c>
      <c r="AA88" s="67">
        <v>1104</v>
      </c>
      <c r="AM88" s="67">
        <v>1141</v>
      </c>
      <c r="CI88" s="114"/>
      <c r="CJ88" s="114"/>
      <c r="CK88" s="114"/>
      <c r="CL88" s="114"/>
      <c r="CM88" s="117">
        <v>7633</v>
      </c>
      <c r="CN88" s="117">
        <v>7193</v>
      </c>
      <c r="CO88" s="117">
        <v>7835</v>
      </c>
      <c r="CP88" s="117">
        <v>9611</v>
      </c>
      <c r="CQ88" s="117">
        <v>9007</v>
      </c>
      <c r="CR88" s="117">
        <v>8816</v>
      </c>
      <c r="CS88" s="117">
        <v>10383</v>
      </c>
    </row>
    <row r="89" spans="2:135">
      <c r="B89" s="4" t="s">
        <v>369</v>
      </c>
      <c r="F89" s="67">
        <f>SUM(F85:F88)</f>
        <v>6443.0999999999995</v>
      </c>
      <c r="I89" s="67">
        <f t="shared" ref="I89:AA89" si="388">SUM(I85:I88)</f>
        <v>23741.100000000002</v>
      </c>
      <c r="J89" s="67">
        <f t="shared" si="388"/>
        <v>24456.3</v>
      </c>
      <c r="K89" s="67">
        <f t="shared" si="388"/>
        <v>24729.5</v>
      </c>
      <c r="L89" s="67">
        <f t="shared" si="388"/>
        <v>24456.3</v>
      </c>
      <c r="M89" s="67">
        <f t="shared" si="388"/>
        <v>25868.799999999999</v>
      </c>
      <c r="N89" s="67">
        <f t="shared" si="388"/>
        <v>26113</v>
      </c>
      <c r="O89" s="67">
        <f t="shared" si="388"/>
        <v>25979.4</v>
      </c>
      <c r="P89" s="67">
        <f t="shared" si="388"/>
        <v>26060</v>
      </c>
      <c r="Q89" s="67">
        <f t="shared" si="388"/>
        <v>26811</v>
      </c>
      <c r="R89" s="67">
        <f t="shared" si="388"/>
        <v>29221</v>
      </c>
      <c r="S89" s="67">
        <f t="shared" si="388"/>
        <v>27420</v>
      </c>
      <c r="T89" s="67">
        <f t="shared" si="388"/>
        <v>28038</v>
      </c>
      <c r="U89" s="67">
        <f t="shared" si="388"/>
        <v>29132</v>
      </c>
      <c r="V89" s="67">
        <f t="shared" si="388"/>
        <v>29297</v>
      </c>
      <c r="W89" s="67">
        <f t="shared" si="388"/>
        <v>31315</v>
      </c>
      <c r="X89" s="67">
        <f t="shared" si="388"/>
        <v>31288</v>
      </c>
      <c r="Y89" s="67">
        <f t="shared" si="388"/>
        <v>32586</v>
      </c>
      <c r="Z89" s="67">
        <f t="shared" si="388"/>
        <v>33788</v>
      </c>
      <c r="AA89" s="67">
        <f t="shared" si="388"/>
        <v>32570</v>
      </c>
      <c r="AM89" s="67">
        <f>SUM(AM85:AM88)</f>
        <v>40366</v>
      </c>
      <c r="CI89" s="114"/>
      <c r="CJ89" s="114"/>
      <c r="CK89" s="114"/>
      <c r="CL89" s="114"/>
      <c r="CM89" s="118">
        <f>SUM(CM79:CM88)</f>
        <v>88720</v>
      </c>
      <c r="CN89" s="118">
        <f t="shared" ref="CN89" si="389">SUM(CN79:CN88)</f>
        <v>90269</v>
      </c>
      <c r="CO89" s="118">
        <f t="shared" ref="CO89" si="390">SUM(CO79:CO88)</f>
        <v>90534</v>
      </c>
      <c r="CP89" s="118">
        <f t="shared" ref="CP89" si="391">SUM(CP79:CP88)</f>
        <v>97154</v>
      </c>
      <c r="CQ89" s="118">
        <f>SUM(CQ79:CQ88)</f>
        <v>92980</v>
      </c>
      <c r="CR89" s="118">
        <f>SUM(CR79:CR88)</f>
        <v>90907</v>
      </c>
      <c r="CS89" s="118">
        <f>SUM(CS79:CS88)</f>
        <v>90883</v>
      </c>
    </row>
    <row r="90" spans="2:135">
      <c r="AM90" s="67"/>
      <c r="CI90" s="114"/>
      <c r="CJ90" s="114"/>
      <c r="CK90" s="114"/>
      <c r="CL90" s="114"/>
      <c r="CM90" s="117"/>
      <c r="CN90" s="117"/>
      <c r="CO90" s="117"/>
      <c r="CP90" s="117"/>
      <c r="CQ90" s="117"/>
      <c r="CR90" s="117"/>
      <c r="CS90" s="117"/>
    </row>
    <row r="91" spans="2:135">
      <c r="B91" s="4" t="s">
        <v>371</v>
      </c>
      <c r="F91" s="67">
        <v>136.69999999999999</v>
      </c>
      <c r="I91" s="67">
        <v>197.7</v>
      </c>
      <c r="J91" s="67">
        <v>1529</v>
      </c>
      <c r="K91" s="67">
        <v>1584.8</v>
      </c>
      <c r="L91" s="67">
        <v>254.6</v>
      </c>
      <c r="M91" s="67"/>
      <c r="N91" s="67"/>
      <c r="O91" s="67"/>
      <c r="P91" s="67"/>
      <c r="Q91" s="67">
        <v>337</v>
      </c>
      <c r="R91" s="67">
        <v>507</v>
      </c>
      <c r="S91" s="67">
        <v>549</v>
      </c>
      <c r="T91" s="67">
        <v>503</v>
      </c>
      <c r="U91" s="67">
        <v>497</v>
      </c>
      <c r="V91" s="67">
        <v>596</v>
      </c>
      <c r="W91" s="67">
        <v>442</v>
      </c>
      <c r="X91" s="67">
        <v>668</v>
      </c>
      <c r="Y91" s="67">
        <v>569</v>
      </c>
      <c r="Z91" s="67">
        <v>555</v>
      </c>
      <c r="AA91" s="67">
        <v>601</v>
      </c>
      <c r="AM91" s="67">
        <v>882</v>
      </c>
      <c r="CI91" s="114"/>
      <c r="CJ91" s="114"/>
      <c r="CK91" s="114"/>
      <c r="CL91" s="114"/>
      <c r="CM91" s="117">
        <v>1320</v>
      </c>
      <c r="CN91" s="117">
        <v>1212</v>
      </c>
      <c r="CO91" s="117">
        <v>1358</v>
      </c>
      <c r="CP91" s="117">
        <v>1590</v>
      </c>
      <c r="CQ91" s="117">
        <v>1628</v>
      </c>
      <c r="CR91" s="117">
        <v>2267</v>
      </c>
      <c r="CS91" s="117">
        <v>2147</v>
      </c>
    </row>
    <row r="92" spans="2:135">
      <c r="B92" s="4" t="s">
        <v>372</v>
      </c>
      <c r="F92" s="67">
        <v>766.3</v>
      </c>
      <c r="I92" s="67">
        <v>1150.3</v>
      </c>
      <c r="J92" s="67">
        <v>1593.4</v>
      </c>
      <c r="K92" s="67">
        <v>1585.6</v>
      </c>
      <c r="L92" s="67">
        <v>1151.7</v>
      </c>
      <c r="M92" s="67">
        <v>1548.3</v>
      </c>
      <c r="N92" s="67">
        <v>2456</v>
      </c>
      <c r="O92" s="67">
        <v>1888.5</v>
      </c>
      <c r="P92" s="67">
        <v>2098.6999999999998</v>
      </c>
      <c r="Q92" s="67">
        <v>1950</v>
      </c>
      <c r="R92" s="67">
        <v>2477</v>
      </c>
      <c r="S92" s="67">
        <v>2485</v>
      </c>
      <c r="T92" s="67">
        <v>2675</v>
      </c>
      <c r="U92" s="67">
        <v>2855</v>
      </c>
      <c r="V92" s="67">
        <v>2999</v>
      </c>
      <c r="W92" s="67">
        <v>3178</v>
      </c>
      <c r="X92" s="67">
        <v>3477</v>
      </c>
      <c r="Y92" s="67">
        <v>3946</v>
      </c>
      <c r="Z92" s="67">
        <v>4589</v>
      </c>
      <c r="AA92" s="67">
        <v>3906</v>
      </c>
      <c r="AM92" s="67">
        <v>3302</v>
      </c>
      <c r="CI92" s="114"/>
      <c r="CJ92" s="114"/>
      <c r="CK92" s="114"/>
      <c r="CL92" s="114"/>
      <c r="CM92" s="117">
        <v>12061</v>
      </c>
      <c r="CN92" s="117">
        <v>13718</v>
      </c>
      <c r="CO92" s="117">
        <v>14168</v>
      </c>
      <c r="CP92" s="117">
        <v>15359</v>
      </c>
      <c r="CQ92" s="117">
        <v>14127</v>
      </c>
      <c r="CR92" s="117">
        <v>13722</v>
      </c>
      <c r="CS92" s="117">
        <v>14621</v>
      </c>
    </row>
    <row r="93" spans="2:135">
      <c r="B93" s="4" t="s">
        <v>373</v>
      </c>
      <c r="F93" s="67">
        <v>99.9</v>
      </c>
      <c r="I93" s="67">
        <f>100+23</f>
        <v>123</v>
      </c>
      <c r="J93" s="67"/>
      <c r="K93" s="67"/>
      <c r="L93" s="67">
        <v>122.9</v>
      </c>
      <c r="M93" s="67">
        <v>0</v>
      </c>
      <c r="N93" s="67">
        <v>0</v>
      </c>
      <c r="O93" s="67">
        <v>2887.6</v>
      </c>
      <c r="P93" s="67">
        <v>2895.7</v>
      </c>
      <c r="Q93" s="67">
        <v>2904</v>
      </c>
      <c r="R93" s="67">
        <v>1173</v>
      </c>
      <c r="S93" s="67">
        <v>1744</v>
      </c>
      <c r="T93" s="67">
        <v>1749</v>
      </c>
      <c r="U93" s="67">
        <v>1754</v>
      </c>
      <c r="V93" s="67">
        <v>0</v>
      </c>
      <c r="W93" s="67">
        <v>1763</v>
      </c>
      <c r="X93" s="67">
        <v>1768</v>
      </c>
      <c r="Y93" s="67">
        <v>1773</v>
      </c>
      <c r="Z93" s="67">
        <f>1698+100</f>
        <v>1798</v>
      </c>
      <c r="AA93" s="67">
        <v>100</v>
      </c>
      <c r="AM93" s="67">
        <v>2378</v>
      </c>
      <c r="CI93" s="114"/>
      <c r="CJ93" s="114"/>
      <c r="CK93" s="114"/>
      <c r="CL93" s="114"/>
      <c r="CM93" s="117"/>
      <c r="CN93" s="117"/>
      <c r="CO93" s="117"/>
      <c r="CP93" s="117"/>
      <c r="CQ93" s="117"/>
      <c r="CR93" s="117"/>
      <c r="CS93" s="117"/>
    </row>
    <row r="94" spans="2:135">
      <c r="B94" s="4" t="s">
        <v>374</v>
      </c>
      <c r="F94" s="67">
        <f>SUM(F91:F93)</f>
        <v>1002.9</v>
      </c>
      <c r="I94" s="67">
        <f t="shared" ref="I94:AA94" si="392">SUM(I91:I93)</f>
        <v>1471</v>
      </c>
      <c r="J94" s="67">
        <f t="shared" si="392"/>
        <v>3122.4</v>
      </c>
      <c r="K94" s="67">
        <f t="shared" si="392"/>
        <v>3170.3999999999996</v>
      </c>
      <c r="L94" s="67">
        <f t="shared" si="392"/>
        <v>1529.2</v>
      </c>
      <c r="M94" s="67">
        <f t="shared" si="392"/>
        <v>1548.3</v>
      </c>
      <c r="N94" s="67">
        <f t="shared" si="392"/>
        <v>2456</v>
      </c>
      <c r="O94" s="67">
        <f t="shared" si="392"/>
        <v>4776.1000000000004</v>
      </c>
      <c r="P94" s="67">
        <f t="shared" si="392"/>
        <v>4994.3999999999996</v>
      </c>
      <c r="Q94" s="67">
        <f t="shared" si="392"/>
        <v>5191</v>
      </c>
      <c r="R94" s="67">
        <f t="shared" si="392"/>
        <v>4157</v>
      </c>
      <c r="S94" s="67">
        <f t="shared" si="392"/>
        <v>4778</v>
      </c>
      <c r="T94" s="67">
        <f t="shared" si="392"/>
        <v>4927</v>
      </c>
      <c r="U94" s="67">
        <f t="shared" si="392"/>
        <v>5106</v>
      </c>
      <c r="V94" s="67">
        <f t="shared" si="392"/>
        <v>3595</v>
      </c>
      <c r="W94" s="67">
        <f t="shared" si="392"/>
        <v>5383</v>
      </c>
      <c r="X94" s="67">
        <f t="shared" si="392"/>
        <v>5913</v>
      </c>
      <c r="Y94" s="67">
        <f t="shared" si="392"/>
        <v>6288</v>
      </c>
      <c r="Z94" s="67">
        <f t="shared" si="392"/>
        <v>6942</v>
      </c>
      <c r="AA94" s="67">
        <f t="shared" si="392"/>
        <v>4607</v>
      </c>
      <c r="AM94" s="67">
        <f>SUM(AM91:AM93)</f>
        <v>6562</v>
      </c>
      <c r="CI94" s="114"/>
      <c r="CJ94" s="114"/>
      <c r="CK94" s="114"/>
      <c r="CL94" s="114"/>
      <c r="CM94" s="117"/>
      <c r="CN94" s="117"/>
      <c r="CO94" s="117"/>
      <c r="CP94" s="117"/>
      <c r="CQ94" s="117"/>
      <c r="CR94" s="117"/>
      <c r="CS94" s="117"/>
    </row>
    <row r="95" spans="2:135">
      <c r="B95" s="4" t="s">
        <v>375</v>
      </c>
      <c r="F95" s="67"/>
      <c r="I95" s="67">
        <v>1565.6</v>
      </c>
      <c r="J95" s="67"/>
      <c r="K95" s="67"/>
      <c r="L95" s="67">
        <v>1593.4</v>
      </c>
      <c r="M95" s="67">
        <v>1791.4</v>
      </c>
      <c r="N95" s="67">
        <v>1146</v>
      </c>
      <c r="O95" s="67">
        <v>1432</v>
      </c>
      <c r="P95" s="67">
        <v>1454.8</v>
      </c>
      <c r="Q95" s="67">
        <v>1484</v>
      </c>
      <c r="R95" s="67">
        <v>1294</v>
      </c>
      <c r="S95" s="67">
        <v>1280</v>
      </c>
      <c r="T95" s="67">
        <v>1209</v>
      </c>
      <c r="U95" s="67">
        <v>1180</v>
      </c>
      <c r="V95" s="67">
        <v>1163</v>
      </c>
      <c r="W95" s="67">
        <v>1160</v>
      </c>
      <c r="X95" s="67">
        <v>1064</v>
      </c>
      <c r="Y95" s="67">
        <v>1079</v>
      </c>
      <c r="Z95" s="67">
        <v>367</v>
      </c>
      <c r="AA95" s="67">
        <v>466</v>
      </c>
      <c r="AM95" s="67">
        <v>0</v>
      </c>
      <c r="CI95" s="114"/>
      <c r="CJ95" s="114"/>
      <c r="CK95" s="114"/>
      <c r="CL95" s="114"/>
      <c r="CM95" s="117">
        <v>5864</v>
      </c>
      <c r="CN95" s="117">
        <v>4478</v>
      </c>
      <c r="CO95" s="117">
        <v>4579</v>
      </c>
      <c r="CP95" s="117">
        <f>2354+4680</f>
        <v>7034</v>
      </c>
      <c r="CQ95" s="117">
        <f>1862+3964</f>
        <v>5826</v>
      </c>
      <c r="CR95" s="117">
        <f>1780+2205</f>
        <v>3985</v>
      </c>
      <c r="CS95" s="117">
        <f>1711+2280</f>
        <v>3991</v>
      </c>
    </row>
    <row r="96" spans="2:135">
      <c r="B96" s="4" t="s">
        <v>373</v>
      </c>
      <c r="F96" s="67"/>
      <c r="I96" s="67"/>
      <c r="J96" s="67"/>
      <c r="K96" s="67"/>
      <c r="L96" s="67"/>
      <c r="M96" s="67"/>
      <c r="N96" s="67"/>
      <c r="O96" s="67">
        <v>200</v>
      </c>
      <c r="P96" s="67">
        <v>200</v>
      </c>
      <c r="Q96" s="67"/>
      <c r="R96" s="67">
        <v>1739</v>
      </c>
      <c r="S96" s="67">
        <v>0</v>
      </c>
      <c r="T96" s="67">
        <v>0</v>
      </c>
      <c r="U96" s="67">
        <v>0</v>
      </c>
      <c r="V96" s="67">
        <v>1759</v>
      </c>
      <c r="W96" s="67">
        <v>5000</v>
      </c>
      <c r="X96" s="67">
        <v>5000</v>
      </c>
      <c r="Y96" s="67">
        <v>5000</v>
      </c>
      <c r="Z96" s="67">
        <v>5080</v>
      </c>
      <c r="AA96" s="67">
        <v>5080</v>
      </c>
      <c r="AB96" s="67">
        <v>5080</v>
      </c>
      <c r="AM96" s="67">
        <v>2201</v>
      </c>
      <c r="CI96" s="114"/>
      <c r="CJ96" s="114"/>
      <c r="CK96" s="114"/>
      <c r="CL96" s="114"/>
      <c r="CM96" s="117">
        <v>0</v>
      </c>
      <c r="CN96" s="117"/>
      <c r="CO96" s="117"/>
      <c r="CP96" s="117"/>
      <c r="CQ96" s="117">
        <v>0</v>
      </c>
      <c r="CR96" s="117">
        <v>0</v>
      </c>
      <c r="CS96" s="117"/>
    </row>
    <row r="97" spans="2:97">
      <c r="B97" s="4" t="s">
        <v>376</v>
      </c>
      <c r="F97" s="67">
        <v>223</v>
      </c>
      <c r="I97" s="67">
        <v>3039.7</v>
      </c>
      <c r="J97" s="67">
        <v>3047.7</v>
      </c>
      <c r="K97" s="67">
        <v>3055.7</v>
      </c>
      <c r="L97" s="67">
        <v>3047.7</v>
      </c>
      <c r="M97" s="67">
        <v>3071.8</v>
      </c>
      <c r="N97" s="67">
        <v>3080</v>
      </c>
      <c r="O97" s="67"/>
      <c r="P97" s="67"/>
      <c r="Q97" s="67">
        <v>200</v>
      </c>
      <c r="R97" s="67">
        <v>2198</v>
      </c>
      <c r="S97" s="67">
        <v>2198</v>
      </c>
      <c r="T97" s="67">
        <v>2198</v>
      </c>
      <c r="U97" s="67">
        <v>2198</v>
      </c>
      <c r="V97" s="67">
        <v>2198</v>
      </c>
      <c r="W97" s="67">
        <v>2198</v>
      </c>
      <c r="X97" s="67">
        <v>2232</v>
      </c>
      <c r="Y97" s="67">
        <v>2233</v>
      </c>
      <c r="Z97" s="67">
        <v>2134</v>
      </c>
      <c r="AA97" s="67">
        <v>2134</v>
      </c>
      <c r="AB97" s="67">
        <v>6132</v>
      </c>
      <c r="AM97" s="67">
        <v>7085</v>
      </c>
      <c r="CI97" s="114"/>
      <c r="CJ97" s="114"/>
      <c r="CK97" s="114"/>
      <c r="CL97" s="114"/>
      <c r="CM97" s="117">
        <f>834+60761</f>
        <v>61595</v>
      </c>
      <c r="CN97" s="117">
        <f>59377+2167</f>
        <v>61544</v>
      </c>
      <c r="CO97" s="117">
        <f>1428+59040</f>
        <v>60468</v>
      </c>
      <c r="CP97" s="117">
        <f>63170+1443</f>
        <v>64613</v>
      </c>
      <c r="CQ97" s="117">
        <f>3959+60061</f>
        <v>64020</v>
      </c>
      <c r="CR97" s="117">
        <f>57117+5528</f>
        <v>62645</v>
      </c>
      <c r="CS97" s="117">
        <f>3544+56854</f>
        <v>60398</v>
      </c>
    </row>
    <row r="98" spans="2:97">
      <c r="B98" s="4" t="s">
        <v>377</v>
      </c>
      <c r="F98" s="67"/>
      <c r="I98" s="67"/>
      <c r="J98" s="67"/>
      <c r="K98" s="67"/>
      <c r="L98" s="67"/>
      <c r="M98" s="67"/>
      <c r="N98" s="67">
        <v>42</v>
      </c>
      <c r="O98" s="67"/>
      <c r="P98" s="67"/>
      <c r="Q98" s="67">
        <v>128</v>
      </c>
      <c r="R98" s="67">
        <v>128</v>
      </c>
      <c r="S98" s="67">
        <v>124</v>
      </c>
      <c r="T98" s="67">
        <v>123</v>
      </c>
      <c r="U98" s="67">
        <v>118</v>
      </c>
      <c r="V98" s="67">
        <v>131</v>
      </c>
      <c r="W98" s="67">
        <v>183</v>
      </c>
      <c r="X98" s="67">
        <v>240</v>
      </c>
      <c r="Y98" s="67">
        <v>265</v>
      </c>
      <c r="Z98" s="67">
        <v>301</v>
      </c>
      <c r="AA98" s="67">
        <v>568</v>
      </c>
      <c r="AM98" s="67">
        <v>2179</v>
      </c>
      <c r="CI98" s="114"/>
      <c r="CJ98" s="114"/>
      <c r="CK98" s="114"/>
      <c r="CL98" s="114"/>
      <c r="CM98" s="117">
        <v>2532</v>
      </c>
      <c r="CN98" s="117">
        <v>2536</v>
      </c>
      <c r="CO98" s="117">
        <v>2305</v>
      </c>
      <c r="CP98" s="117">
        <v>2326</v>
      </c>
      <c r="CQ98" s="117">
        <v>2357</v>
      </c>
      <c r="CR98" s="117">
        <v>2363</v>
      </c>
      <c r="CS98" s="117">
        <v>2199</v>
      </c>
    </row>
    <row r="99" spans="2:97">
      <c r="B99" s="4" t="s">
        <v>378</v>
      </c>
      <c r="F99" s="67">
        <f>SUM(F94:F98)</f>
        <v>1225.9000000000001</v>
      </c>
      <c r="I99" s="67">
        <f t="shared" ref="I99:AA99" si="393">SUM(I94:I98)</f>
        <v>6076.2999999999993</v>
      </c>
      <c r="J99" s="67">
        <f t="shared" si="393"/>
        <v>6170.1</v>
      </c>
      <c r="K99" s="67">
        <f t="shared" si="393"/>
        <v>6226.0999999999995</v>
      </c>
      <c r="L99" s="67">
        <f t="shared" si="393"/>
        <v>6170.3</v>
      </c>
      <c r="M99" s="67">
        <f t="shared" si="393"/>
        <v>6411.5</v>
      </c>
      <c r="N99" s="67">
        <f t="shared" si="393"/>
        <v>6724</v>
      </c>
      <c r="O99" s="67">
        <f t="shared" si="393"/>
        <v>6408.1</v>
      </c>
      <c r="P99" s="67">
        <f t="shared" si="393"/>
        <v>6649.2</v>
      </c>
      <c r="Q99" s="67">
        <f t="shared" si="393"/>
        <v>7003</v>
      </c>
      <c r="R99" s="67">
        <f t="shared" si="393"/>
        <v>9516</v>
      </c>
      <c r="S99" s="67">
        <f t="shared" si="393"/>
        <v>8380</v>
      </c>
      <c r="T99" s="67">
        <f t="shared" si="393"/>
        <v>8457</v>
      </c>
      <c r="U99" s="67">
        <f t="shared" si="393"/>
        <v>8602</v>
      </c>
      <c r="V99" s="67">
        <f t="shared" si="393"/>
        <v>8846</v>
      </c>
      <c r="W99" s="67">
        <f t="shared" si="393"/>
        <v>13924</v>
      </c>
      <c r="X99" s="67">
        <f t="shared" si="393"/>
        <v>14449</v>
      </c>
      <c r="Y99" s="67">
        <f t="shared" si="393"/>
        <v>14865</v>
      </c>
      <c r="Z99" s="67">
        <f>SUM(Z94:Z98)</f>
        <v>14824</v>
      </c>
      <c r="AA99" s="67">
        <f t="shared" si="393"/>
        <v>12855</v>
      </c>
      <c r="AM99" s="67">
        <f>SUM(AM94:AM98)</f>
        <v>18027</v>
      </c>
      <c r="CI99" s="114"/>
      <c r="CJ99" s="114"/>
      <c r="CK99" s="114"/>
      <c r="CL99" s="114"/>
      <c r="CM99" s="117"/>
      <c r="CN99" s="117"/>
      <c r="CO99" s="117"/>
      <c r="CP99" s="117"/>
      <c r="CQ99" s="117"/>
      <c r="CR99" s="117"/>
      <c r="CS99" s="117"/>
    </row>
    <row r="100" spans="2:97">
      <c r="B100" s="4" t="s">
        <v>380</v>
      </c>
      <c r="F100" s="67">
        <v>5217.2</v>
      </c>
      <c r="I100" s="67">
        <v>17664.8</v>
      </c>
      <c r="J100" s="67">
        <v>18286</v>
      </c>
      <c r="K100" s="67">
        <v>18503.400000000001</v>
      </c>
      <c r="L100" s="67">
        <v>18286</v>
      </c>
      <c r="M100" s="67">
        <v>19457.3</v>
      </c>
      <c r="N100" s="67">
        <v>19389</v>
      </c>
      <c r="O100" s="67">
        <v>19571.3</v>
      </c>
      <c r="P100" s="67">
        <v>19410.8</v>
      </c>
      <c r="Q100" s="67">
        <v>19808</v>
      </c>
      <c r="R100" s="67">
        <v>19705</v>
      </c>
      <c r="S100" s="67">
        <v>19040</v>
      </c>
      <c r="T100" s="67">
        <v>19581</v>
      </c>
      <c r="U100" s="67">
        <v>20530</v>
      </c>
      <c r="V100" s="67">
        <v>20451</v>
      </c>
      <c r="W100" s="67">
        <v>17391</v>
      </c>
      <c r="X100" s="67">
        <v>16839</v>
      </c>
      <c r="Y100" s="67">
        <v>17721</v>
      </c>
      <c r="Z100" s="67">
        <v>18964</v>
      </c>
      <c r="AA100" s="67">
        <v>19715</v>
      </c>
      <c r="AM100" s="67">
        <v>22339</v>
      </c>
      <c r="CI100" s="114"/>
      <c r="CJ100" s="114"/>
      <c r="CK100" s="114"/>
      <c r="CL100" s="114"/>
      <c r="CM100" s="117">
        <v>5348</v>
      </c>
      <c r="CN100" s="117">
        <v>6781</v>
      </c>
      <c r="CO100" s="117">
        <v>7656</v>
      </c>
      <c r="CP100" s="117">
        <v>6232</v>
      </c>
      <c r="CQ100" s="117">
        <v>5022</v>
      </c>
      <c r="CR100" s="117">
        <v>5925</v>
      </c>
      <c r="CS100" s="117">
        <v>7527</v>
      </c>
    </row>
    <row r="101" spans="2:97">
      <c r="B101" s="16" t="s">
        <v>1092</v>
      </c>
      <c r="F101" s="67">
        <f>F100+F99</f>
        <v>6443.1</v>
      </c>
      <c r="I101" s="67">
        <f t="shared" ref="I101:AA101" si="394">I100+I99</f>
        <v>23741.1</v>
      </c>
      <c r="J101" s="67">
        <f t="shared" si="394"/>
        <v>24456.1</v>
      </c>
      <c r="K101" s="67">
        <f t="shared" si="394"/>
        <v>24729.5</v>
      </c>
      <c r="L101" s="67">
        <f t="shared" si="394"/>
        <v>24456.3</v>
      </c>
      <c r="M101" s="67">
        <f t="shared" si="394"/>
        <v>25868.799999999999</v>
      </c>
      <c r="N101" s="67">
        <f t="shared" si="394"/>
        <v>26113</v>
      </c>
      <c r="O101" s="67">
        <f t="shared" si="394"/>
        <v>25979.4</v>
      </c>
      <c r="P101" s="67">
        <f t="shared" si="394"/>
        <v>26060</v>
      </c>
      <c r="Q101" s="67">
        <f t="shared" si="394"/>
        <v>26811</v>
      </c>
      <c r="R101" s="67">
        <f t="shared" si="394"/>
        <v>29221</v>
      </c>
      <c r="S101" s="67">
        <f t="shared" si="394"/>
        <v>27420</v>
      </c>
      <c r="T101" s="67">
        <f t="shared" si="394"/>
        <v>28038</v>
      </c>
      <c r="U101" s="67">
        <f t="shared" si="394"/>
        <v>29132</v>
      </c>
      <c r="V101" s="67">
        <f t="shared" si="394"/>
        <v>29297</v>
      </c>
      <c r="W101" s="67">
        <f t="shared" si="394"/>
        <v>31315</v>
      </c>
      <c r="X101" s="67">
        <f t="shared" si="394"/>
        <v>31288</v>
      </c>
      <c r="Y101" s="67">
        <f t="shared" si="394"/>
        <v>32586</v>
      </c>
      <c r="Z101" s="67">
        <f t="shared" si="394"/>
        <v>33788</v>
      </c>
      <c r="AA101" s="67">
        <f t="shared" si="394"/>
        <v>32570</v>
      </c>
      <c r="AM101" s="67">
        <f>AM100+AM99</f>
        <v>40366</v>
      </c>
      <c r="CI101" s="114"/>
      <c r="CJ101" s="114"/>
      <c r="CK101" s="114"/>
      <c r="CL101" s="114"/>
      <c r="CM101" s="117">
        <f>SUM(CM91:CM100)</f>
        <v>88720</v>
      </c>
      <c r="CN101" s="117">
        <f t="shared" ref="CN101" si="395">SUM(CN91:CN100)</f>
        <v>90269</v>
      </c>
      <c r="CO101" s="117">
        <f t="shared" ref="CO101" si="396">SUM(CO91:CO100)</f>
        <v>90534</v>
      </c>
      <c r="CP101" s="117">
        <f t="shared" ref="CP101" si="397">SUM(CP91:CP100)</f>
        <v>97154</v>
      </c>
      <c r="CQ101" s="117">
        <f>SUM(CQ91:CQ100)</f>
        <v>92980</v>
      </c>
      <c r="CR101" s="117">
        <f>SUM(CR91:CR100)</f>
        <v>90907</v>
      </c>
      <c r="CS101" s="117">
        <f>SUM(CS91:CS100)</f>
        <v>90883</v>
      </c>
    </row>
    <row r="102" spans="2:97">
      <c r="X102" s="67"/>
      <c r="Y102" s="67"/>
      <c r="CI102" s="114"/>
      <c r="CJ102" s="114"/>
      <c r="CK102" s="114"/>
      <c r="CL102" s="114"/>
    </row>
    <row r="103" spans="2:97">
      <c r="B103" s="112" t="s">
        <v>1353</v>
      </c>
      <c r="E103" s="67">
        <f t="shared" ref="E103:AA103" si="398">E51</f>
        <v>140.80000000000001</v>
      </c>
      <c r="F103" s="67">
        <f t="shared" si="398"/>
        <v>0</v>
      </c>
      <c r="G103" s="67">
        <f t="shared" si="398"/>
        <v>342.60000000000008</v>
      </c>
      <c r="H103" s="67">
        <f t="shared" si="398"/>
        <v>417.49999999999994</v>
      </c>
      <c r="I103" s="67">
        <f t="shared" si="398"/>
        <v>436.7999999999999</v>
      </c>
      <c r="J103" s="67">
        <f t="shared" si="398"/>
        <v>471.70000000000027</v>
      </c>
      <c r="K103" s="67">
        <f t="shared" si="398"/>
        <v>563.20000000000016</v>
      </c>
      <c r="L103" s="67">
        <f t="shared" si="398"/>
        <v>658.39999999999986</v>
      </c>
      <c r="M103" s="67">
        <f t="shared" si="398"/>
        <v>714.29999999999973</v>
      </c>
      <c r="N103" s="67">
        <f t="shared" si="398"/>
        <v>614.79999999999995</v>
      </c>
      <c r="O103" s="67">
        <f t="shared" si="398"/>
        <v>756.89999999999941</v>
      </c>
      <c r="P103" s="67">
        <f t="shared" si="398"/>
        <v>813.89999999999986</v>
      </c>
      <c r="Q103" s="67">
        <f t="shared" si="398"/>
        <v>838.8</v>
      </c>
      <c r="R103" s="67">
        <f t="shared" si="398"/>
        <v>755.2</v>
      </c>
      <c r="S103" s="67">
        <f t="shared" si="398"/>
        <v>924</v>
      </c>
      <c r="T103" s="67">
        <f t="shared" si="398"/>
        <v>1104</v>
      </c>
      <c r="U103" s="67">
        <f t="shared" si="398"/>
        <v>1067</v>
      </c>
      <c r="V103" s="67">
        <f t="shared" si="398"/>
        <v>928</v>
      </c>
      <c r="W103" s="67">
        <f t="shared" si="398"/>
        <v>1101</v>
      </c>
      <c r="X103" s="67">
        <f t="shared" si="398"/>
        <v>1235</v>
      </c>
      <c r="Y103" s="67">
        <f t="shared" si="398"/>
        <v>1224</v>
      </c>
      <c r="Z103" s="67">
        <f t="shared" si="398"/>
        <v>1060</v>
      </c>
      <c r="AA103" s="67">
        <f t="shared" si="398"/>
        <v>1270</v>
      </c>
      <c r="AM103" s="67">
        <f>AM51</f>
        <v>1282</v>
      </c>
      <c r="CI103" s="114"/>
      <c r="CJ103" s="114"/>
      <c r="CK103" s="114"/>
      <c r="CL103" s="114"/>
      <c r="CM103" s="117">
        <f t="shared" ref="CM103:CS103" si="399">+CM51</f>
        <v>1993</v>
      </c>
      <c r="CN103" s="117">
        <f t="shared" si="399"/>
        <v>2653</v>
      </c>
      <c r="CO103" s="117">
        <f t="shared" si="399"/>
        <v>2667</v>
      </c>
      <c r="CP103" s="117">
        <f t="shared" si="399"/>
        <v>2543</v>
      </c>
      <c r="CQ103" s="117">
        <f t="shared" si="399"/>
        <v>2035</v>
      </c>
      <c r="CR103" s="117">
        <f t="shared" si="399"/>
        <v>2604</v>
      </c>
      <c r="CS103" s="117">
        <f t="shared" si="399"/>
        <v>2997</v>
      </c>
    </row>
    <row r="104" spans="2:97">
      <c r="B104" s="112" t="s">
        <v>1354</v>
      </c>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M104" s="67"/>
      <c r="CI104" s="114"/>
      <c r="CJ104" s="114"/>
      <c r="CK104" s="114"/>
      <c r="CL104" s="114"/>
      <c r="CM104" s="117">
        <v>2841</v>
      </c>
      <c r="CN104" s="117">
        <f>4220-CM104</f>
        <v>1379</v>
      </c>
      <c r="CO104" s="117">
        <f>5950-CN104-CM104</f>
        <v>1730</v>
      </c>
      <c r="CP104" s="117">
        <f>6717-CO104-CN104-CM104</f>
        <v>767</v>
      </c>
      <c r="CQ104" s="117">
        <v>-113</v>
      </c>
      <c r="CR104" s="117">
        <f>633-CQ104</f>
        <v>746</v>
      </c>
      <c r="CS104" s="117">
        <f>3463-CR104-CQ104</f>
        <v>2830</v>
      </c>
    </row>
    <row r="105" spans="2:97">
      <c r="B105" s="112" t="s">
        <v>1355</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v>252</v>
      </c>
      <c r="CI105" s="114"/>
      <c r="CJ105" s="114"/>
      <c r="CK105" s="114"/>
      <c r="CL105" s="114"/>
      <c r="CM105" s="117">
        <v>900</v>
      </c>
      <c r="CN105" s="117">
        <f>1796-CM105</f>
        <v>896</v>
      </c>
      <c r="CO105" s="117">
        <f>2691-CN105-CM105</f>
        <v>895</v>
      </c>
      <c r="CP105" s="117">
        <f>4071-CO105-CN105-CM105</f>
        <v>1380</v>
      </c>
      <c r="CQ105" s="117">
        <v>1399</v>
      </c>
      <c r="CR105" s="117">
        <f>2799-CQ105</f>
        <v>1400</v>
      </c>
      <c r="CS105" s="117">
        <f>4195-CR105-CQ105</f>
        <v>1396</v>
      </c>
    </row>
    <row r="106" spans="2:97">
      <c r="B106" s="112" t="s">
        <v>1356</v>
      </c>
      <c r="E106" s="67"/>
      <c r="F106" s="67"/>
      <c r="G106" s="67"/>
      <c r="H106" s="67"/>
      <c r="I106" s="67"/>
      <c r="J106" s="67"/>
      <c r="K106" s="67"/>
      <c r="L106" s="67"/>
      <c r="M106" s="67"/>
      <c r="N106" s="67"/>
      <c r="O106" s="67"/>
      <c r="P106" s="67"/>
      <c r="Q106" s="67"/>
      <c r="R106" s="67"/>
      <c r="S106" s="67"/>
      <c r="T106" s="67"/>
      <c r="U106" s="67"/>
      <c r="V106" s="67"/>
      <c r="W106" s="71">
        <f>29+37</f>
        <v>66</v>
      </c>
      <c r="X106" s="71">
        <f>1+28+24</f>
        <v>53</v>
      </c>
      <c r="Y106" s="71">
        <f>4+21+25</f>
        <v>50</v>
      </c>
      <c r="Z106" s="67"/>
      <c r="AA106" s="67"/>
      <c r="AM106" s="67"/>
      <c r="CI106" s="114"/>
      <c r="CJ106" s="114"/>
      <c r="CK106" s="114"/>
      <c r="CL106" s="114"/>
      <c r="CM106" s="117">
        <v>0</v>
      </c>
      <c r="CN106" s="114">
        <v>0</v>
      </c>
      <c r="CO106" s="114">
        <v>0</v>
      </c>
      <c r="CP106" s="117">
        <f>431-CO106-CN106-CM106</f>
        <v>431</v>
      </c>
      <c r="CQ106" s="117">
        <v>103</v>
      </c>
      <c r="CR106" s="117">
        <f>260-CQ106</f>
        <v>157</v>
      </c>
      <c r="CS106" s="117">
        <f>396-CR106-CQ106</f>
        <v>136</v>
      </c>
    </row>
    <row r="107" spans="2:97">
      <c r="B107" s="112" t="s">
        <v>1357</v>
      </c>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M107" s="67"/>
      <c r="CI107" s="114"/>
      <c r="CJ107" s="114"/>
      <c r="CK107" s="114"/>
      <c r="CL107" s="114"/>
      <c r="CM107" s="117">
        <v>-49</v>
      </c>
      <c r="CN107" s="117">
        <f>-203-CM107</f>
        <v>-154</v>
      </c>
      <c r="CO107" s="117">
        <f>-650-CN107-CM107</f>
        <v>-447</v>
      </c>
      <c r="CP107" s="117">
        <f>-1273-CO107-CN107-CM107</f>
        <v>-623</v>
      </c>
      <c r="CQ107" s="117">
        <v>-401</v>
      </c>
      <c r="CR107" s="117">
        <f>-784-CQ107</f>
        <v>-383</v>
      </c>
      <c r="CS107" s="117">
        <f>-894-CR107-CQ107</f>
        <v>-110</v>
      </c>
    </row>
    <row r="108" spans="2:97">
      <c r="B108" s="112" t="s">
        <v>1358</v>
      </c>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M108" s="67"/>
      <c r="CI108" s="114"/>
      <c r="CJ108" s="114"/>
      <c r="CK108" s="114"/>
      <c r="CL108" s="114"/>
      <c r="CM108" s="117">
        <f>-31-1830</f>
        <v>-1861</v>
      </c>
      <c r="CN108" s="117">
        <f>-3-1169-CM108</f>
        <v>689</v>
      </c>
      <c r="CO108" s="117">
        <f>-17-1304-CN108-CM108</f>
        <v>-149</v>
      </c>
      <c r="CP108" s="117">
        <f>11-1565-CO108-CN108-CM108</f>
        <v>-233</v>
      </c>
      <c r="CQ108" s="117">
        <f>-27+515</f>
        <v>488</v>
      </c>
      <c r="CR108" s="117">
        <f>-39+916-CQ108</f>
        <v>389</v>
      </c>
      <c r="CS108" s="117">
        <f>-11-717-CR108-CQ108</f>
        <v>-1605</v>
      </c>
    </row>
    <row r="109" spans="2:97">
      <c r="B109" s="112" t="s">
        <v>448</v>
      </c>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M109" s="67"/>
      <c r="CI109" s="114"/>
      <c r="CJ109" s="114"/>
      <c r="CK109" s="114"/>
      <c r="CL109" s="114"/>
      <c r="CM109" s="117">
        <v>-13</v>
      </c>
      <c r="CN109" s="117">
        <f>171-CM109</f>
        <v>184</v>
      </c>
      <c r="CO109" s="117">
        <f>849-CN109-CM109</f>
        <v>678</v>
      </c>
      <c r="CP109" s="117">
        <f>563-CO109-CN109-CM109</f>
        <v>-286</v>
      </c>
      <c r="CQ109" s="117">
        <v>-95</v>
      </c>
      <c r="CR109" s="117">
        <f>-67-CQ109</f>
        <v>28</v>
      </c>
      <c r="CS109" s="117">
        <f>1-CR109-CQ109</f>
        <v>68</v>
      </c>
    </row>
    <row r="110" spans="2:97">
      <c r="B110" s="112" t="s">
        <v>1359</v>
      </c>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M110" s="67"/>
      <c r="CI110" s="114"/>
      <c r="CJ110" s="114"/>
      <c r="CK110" s="114"/>
      <c r="CL110" s="114"/>
      <c r="CM110" s="117">
        <f>-144-58-139-253+443+107-710</f>
        <v>-754</v>
      </c>
      <c r="CN110" s="117">
        <f>-240-28-69-371+471+196+402-CM110</f>
        <v>1115</v>
      </c>
      <c r="CO110" s="117">
        <f>-582-82-332-215+998+293+334-CN110-CM110</f>
        <v>53</v>
      </c>
      <c r="CP110" s="117">
        <f>-1015+491-564-402-1031+371+935+731-CO110-CN110-CM110</f>
        <v>-898</v>
      </c>
      <c r="CQ110" s="117">
        <f>486+806-89+23+223-715-1054-316-56</f>
        <v>-692</v>
      </c>
      <c r="CR110" s="117">
        <f>310+1528-339+666-1311-637-361-393-33-CQ110</f>
        <v>122</v>
      </c>
      <c r="CS110" s="117">
        <f>-32+2209-638+544-1064-561-636+536-72-CR110-CQ110</f>
        <v>856</v>
      </c>
    </row>
    <row r="111" spans="2:97">
      <c r="B111" s="4" t="s">
        <v>381</v>
      </c>
      <c r="E111" s="67">
        <f>954.7-D111-C111</f>
        <v>954.7</v>
      </c>
      <c r="F111" s="67">
        <f>1480.2-E111-D111-C111</f>
        <v>525.5</v>
      </c>
      <c r="G111" s="67">
        <v>486.9</v>
      </c>
      <c r="H111" s="67">
        <f>1124.6-G111</f>
        <v>637.69999999999993</v>
      </c>
      <c r="I111" s="67">
        <f>1428.7-H111-G111</f>
        <v>304.10000000000014</v>
      </c>
      <c r="J111" s="67">
        <f>2248.8-I111-H111-G111</f>
        <v>820.1</v>
      </c>
      <c r="K111" s="67">
        <v>780.8</v>
      </c>
      <c r="L111" s="67">
        <f>1720.5-K111</f>
        <v>939.7</v>
      </c>
      <c r="M111" s="67">
        <f>2369-L111-K111</f>
        <v>648.5</v>
      </c>
      <c r="N111" s="67">
        <f>3566.6-M111-L111-K111</f>
        <v>1197.5999999999999</v>
      </c>
      <c r="O111" s="67">
        <v>399</v>
      </c>
      <c r="P111" s="67">
        <f>1514-O111</f>
        <v>1115</v>
      </c>
      <c r="Q111" s="67">
        <f>2587-P111-O111</f>
        <v>1073</v>
      </c>
      <c r="R111" s="67">
        <f>3697-Q111-P111-O111</f>
        <v>1110</v>
      </c>
      <c r="S111" s="67">
        <v>1123</v>
      </c>
      <c r="T111" s="67">
        <f>2340-S111</f>
        <v>1217</v>
      </c>
      <c r="U111" s="67">
        <f>3782-T111-S111</f>
        <v>1442</v>
      </c>
      <c r="V111" s="67">
        <f>4911-U111-T111-S111</f>
        <v>1129</v>
      </c>
      <c r="W111" s="67">
        <v>1183</v>
      </c>
      <c r="X111" s="67">
        <f>2574-W111</f>
        <v>1391</v>
      </c>
      <c r="Y111" s="67">
        <f>4147-X111-W111</f>
        <v>1573</v>
      </c>
      <c r="Z111" s="67"/>
      <c r="AA111" s="67">
        <v>893</v>
      </c>
      <c r="AM111" s="71">
        <v>913</v>
      </c>
      <c r="CI111" s="114"/>
      <c r="CJ111" s="114"/>
      <c r="CK111" s="114"/>
      <c r="CL111" s="114"/>
      <c r="CM111" s="117">
        <f>SUM(CM104:CM110)</f>
        <v>1064</v>
      </c>
      <c r="CN111" s="117">
        <f>SUM(CN104:CN110)</f>
        <v>4109</v>
      </c>
      <c r="CO111" s="117">
        <f>SUM(CO104:CO110)</f>
        <v>2760</v>
      </c>
      <c r="CP111" s="117">
        <f t="shared" ref="CP111" si="400">SUM(CP104:CP110)</f>
        <v>538</v>
      </c>
      <c r="CQ111" s="117">
        <f>SUM(CQ104:CQ110)</f>
        <v>689</v>
      </c>
      <c r="CR111" s="117">
        <f>SUM(CR104:CR110)</f>
        <v>2459</v>
      </c>
      <c r="CS111" s="117">
        <f>SUM(CS104:CS110)</f>
        <v>3571</v>
      </c>
    </row>
    <row r="112" spans="2:9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c r="CQ112" s="117"/>
      <c r="CR112" s="117"/>
    </row>
    <row r="113" spans="2:128">
      <c r="B113" s="112" t="s">
        <v>1361</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I113" s="114"/>
      <c r="CJ113" s="114"/>
      <c r="CK113" s="114"/>
      <c r="CL113" s="114"/>
      <c r="CM113" s="117">
        <f>1124+550</f>
        <v>1674</v>
      </c>
      <c r="CN113" s="117">
        <f>1125+550-CM113</f>
        <v>1</v>
      </c>
      <c r="CO113" s="117">
        <f>-1+1125+550-CN113-CM113</f>
        <v>-1</v>
      </c>
      <c r="CP113" s="117">
        <f>-1+1123+550-CO113-CN113-CM113</f>
        <v>-2</v>
      </c>
      <c r="CQ113" s="117">
        <v>-230</v>
      </c>
      <c r="CR113" s="117">
        <f>34-CQ113</f>
        <v>264</v>
      </c>
      <c r="CS113" s="117">
        <f>0-CR113-CQ113+81</f>
        <v>47</v>
      </c>
    </row>
    <row r="114" spans="2:128">
      <c r="B114" s="112" t="s">
        <v>448</v>
      </c>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v>28</v>
      </c>
      <c r="CN114" s="117">
        <f>87-CM114</f>
        <v>59</v>
      </c>
      <c r="CO114" s="117">
        <f>74-CN114-CM114</f>
        <v>-13</v>
      </c>
      <c r="CP114" s="117">
        <f>225-CO114-CN114-CM114</f>
        <v>151</v>
      </c>
      <c r="CQ114" s="117"/>
      <c r="CR114" s="117"/>
    </row>
    <row r="115" spans="2:128">
      <c r="B115" s="112" t="s">
        <v>1381</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v>0</v>
      </c>
      <c r="CN115" s="117">
        <v>0</v>
      </c>
      <c r="CO115" s="117">
        <v>0</v>
      </c>
      <c r="CP115" s="117">
        <f>-26989-CO115-CN115-CM115</f>
        <v>-26989</v>
      </c>
      <c r="CQ115" s="117"/>
      <c r="CR115" s="117"/>
    </row>
    <row r="116" spans="2:128">
      <c r="B116" s="112" t="s">
        <v>1362</v>
      </c>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v>-344</v>
      </c>
      <c r="CN116" s="117">
        <f>-615-CM116</f>
        <v>-271</v>
      </c>
      <c r="CO116" s="117">
        <f>-863-CN116-CM116</f>
        <v>-248</v>
      </c>
      <c r="CP116" s="117">
        <f>-1112-CO116-CN116-CM116</f>
        <v>-249</v>
      </c>
      <c r="CQ116" s="117">
        <v>13</v>
      </c>
      <c r="CR116" s="117">
        <f>-468-CQ116</f>
        <v>-481</v>
      </c>
      <c r="CS116" s="117">
        <f>-725-CR116-CQ116</f>
        <v>-257</v>
      </c>
    </row>
    <row r="117" spans="2:128">
      <c r="B117" s="112" t="s">
        <v>1360</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f>SUM(CM113:CM116)</f>
        <v>1358</v>
      </c>
      <c r="CN117" s="117">
        <f>SUM(CN113:CN116)</f>
        <v>-211</v>
      </c>
      <c r="CO117" s="117">
        <f>SUM(CO113:CO116)</f>
        <v>-262</v>
      </c>
      <c r="CP117" s="117">
        <f>SUM(CP113:CP116)</f>
        <v>-27089</v>
      </c>
      <c r="CQ117" s="117">
        <f t="shared" ref="CQ117:CS117" si="401">SUM(CQ113:CQ116)</f>
        <v>-217</v>
      </c>
      <c r="CR117" s="117">
        <f t="shared" si="401"/>
        <v>-217</v>
      </c>
      <c r="CS117" s="117">
        <f t="shared" si="401"/>
        <v>-210</v>
      </c>
    </row>
    <row r="118" spans="2:128">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c r="CQ118" s="117"/>
      <c r="CR118" s="117"/>
    </row>
    <row r="119" spans="2:128">
      <c r="B119" s="112" t="s">
        <v>1011</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I119" s="114"/>
      <c r="CJ119" s="114"/>
      <c r="CK119" s="114"/>
      <c r="CL119" s="114"/>
      <c r="CM119" s="117">
        <f>23798-420-704</f>
        <v>22674</v>
      </c>
      <c r="CN119" s="117">
        <f>23780-420-704-CM119</f>
        <v>-18</v>
      </c>
      <c r="CO119" s="117">
        <f>23781-550-1454-CN119-CM119</f>
        <v>-879</v>
      </c>
      <c r="CP119" s="117">
        <f>27777-647-1454-CO119-CN119-CM119</f>
        <v>3899</v>
      </c>
      <c r="CQ119" s="117">
        <f>-410-1208</f>
        <v>-1618</v>
      </c>
      <c r="CR119" s="117">
        <f>-410-1400-CQ119</f>
        <v>-192</v>
      </c>
      <c r="CS119" s="117">
        <f>-659-3600-CR119-CQ119</f>
        <v>-2449</v>
      </c>
    </row>
    <row r="120" spans="2:128">
      <c r="B120" s="112" t="s">
        <v>1364</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I120" s="114"/>
      <c r="CJ120" s="114"/>
      <c r="CK120" s="114"/>
      <c r="CL120" s="114"/>
      <c r="CM120" s="117">
        <v>-1137</v>
      </c>
      <c r="CN120" s="117">
        <f>-2276-CM120</f>
        <v>-1139</v>
      </c>
      <c r="CO120" s="117">
        <f>-3416-CN120-CM120</f>
        <v>-1140</v>
      </c>
      <c r="CP120" s="117">
        <f>-4556-CO120-CN120-CM120</f>
        <v>-1140</v>
      </c>
      <c r="CQ120" s="117">
        <v>-90</v>
      </c>
      <c r="CR120" s="117">
        <f>-2417-CQ120</f>
        <v>-2327</v>
      </c>
      <c r="CS120" s="117">
        <f>-3627-CR120-CQ120</f>
        <v>-1210</v>
      </c>
    </row>
    <row r="121" spans="2:128">
      <c r="B121" s="112" t="s">
        <v>448</v>
      </c>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M121" s="117">
        <v>-28</v>
      </c>
      <c r="CN121" s="117">
        <f>-81-CM121</f>
        <v>-53</v>
      </c>
      <c r="CO121" s="117">
        <f>-67-CN121-CM121</f>
        <v>14</v>
      </c>
      <c r="CP121" s="117">
        <f>-72-CO121-CN121-CM121</f>
        <v>-5</v>
      </c>
      <c r="CQ121" s="117">
        <v>0</v>
      </c>
      <c r="CR121" s="117">
        <f>-130-CQ121</f>
        <v>-130</v>
      </c>
      <c r="CS121" s="117">
        <f>-122-CR121-CQ121</f>
        <v>8</v>
      </c>
    </row>
    <row r="122" spans="2:128">
      <c r="B122" s="112" t="s">
        <v>1363</v>
      </c>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CI122" s="114"/>
      <c r="CJ122" s="114"/>
      <c r="CK122" s="114"/>
      <c r="CL122" s="114"/>
      <c r="CM122" s="117">
        <f t="shared" ref="CM122:CS122" si="402">SUM(CM119:CM121)</f>
        <v>21509</v>
      </c>
      <c r="CN122" s="117">
        <f t="shared" si="402"/>
        <v>-1210</v>
      </c>
      <c r="CO122" s="117">
        <f t="shared" si="402"/>
        <v>-2005</v>
      </c>
      <c r="CP122" s="117">
        <f t="shared" si="402"/>
        <v>2754</v>
      </c>
      <c r="CQ122" s="117">
        <f t="shared" si="402"/>
        <v>-1708</v>
      </c>
      <c r="CR122" s="117">
        <f t="shared" si="402"/>
        <v>-2649</v>
      </c>
      <c r="CS122" s="117">
        <f t="shared" si="402"/>
        <v>-3651</v>
      </c>
    </row>
    <row r="123" spans="2:128">
      <c r="B123" s="112" t="s">
        <v>1365</v>
      </c>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CI123" s="114"/>
      <c r="CJ123" s="114"/>
      <c r="CK123" s="114"/>
      <c r="CL123" s="114"/>
      <c r="CM123" s="117">
        <f t="shared" ref="CM123:CS123" si="403">+CM122+CM117+CM111</f>
        <v>23931</v>
      </c>
      <c r="CN123" s="117">
        <f t="shared" si="403"/>
        <v>2688</v>
      </c>
      <c r="CO123" s="117">
        <f t="shared" si="403"/>
        <v>493</v>
      </c>
      <c r="CP123" s="117">
        <f t="shared" si="403"/>
        <v>-23797</v>
      </c>
      <c r="CQ123" s="117">
        <f t="shared" si="403"/>
        <v>-1236</v>
      </c>
      <c r="CR123" s="117">
        <f t="shared" si="403"/>
        <v>-407</v>
      </c>
      <c r="CS123" s="117">
        <f t="shared" si="403"/>
        <v>-290</v>
      </c>
    </row>
    <row r="124" spans="2:128">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CI124" s="114"/>
      <c r="CJ124" s="114"/>
      <c r="CK124" s="114"/>
      <c r="CL124" s="114"/>
      <c r="CR124" s="117"/>
    </row>
    <row r="125" spans="2:128">
      <c r="B125" s="4" t="s">
        <v>382</v>
      </c>
      <c r="CI125" s="114"/>
      <c r="CJ125" s="114"/>
      <c r="CK125" s="114"/>
      <c r="CL125" s="114"/>
      <c r="DC125" s="67">
        <v>2084</v>
      </c>
      <c r="DD125" s="67">
        <v>2686</v>
      </c>
      <c r="DE125" s="67">
        <v>3406</v>
      </c>
      <c r="DF125" s="67">
        <v>4760</v>
      </c>
      <c r="DV125" s="71">
        <v>14783</v>
      </c>
      <c r="DW125" s="71">
        <v>15443</v>
      </c>
      <c r="DX125" s="71">
        <v>16625</v>
      </c>
    </row>
    <row r="126" spans="2:128">
      <c r="B126" s="4" t="s">
        <v>383</v>
      </c>
      <c r="CI126" s="114"/>
      <c r="CJ126" s="114"/>
      <c r="CK126" s="114"/>
      <c r="CL126" s="114"/>
      <c r="DC126" s="67">
        <v>989</v>
      </c>
      <c r="DD126" s="67">
        <v>1596</v>
      </c>
      <c r="DE126" s="67">
        <v>1683</v>
      </c>
      <c r="DF126" s="67">
        <v>2370</v>
      </c>
      <c r="DV126" s="71">
        <v>7681</v>
      </c>
      <c r="DW126" s="71">
        <v>8319</v>
      </c>
      <c r="DX126" s="71">
        <v>9775</v>
      </c>
    </row>
    <row r="127" spans="2:128">
      <c r="B127" s="4" t="s">
        <v>384</v>
      </c>
      <c r="CI127" s="114"/>
      <c r="CJ127" s="114"/>
      <c r="CK127" s="114"/>
      <c r="CL127" s="114"/>
      <c r="DC127" s="67">
        <v>844</v>
      </c>
      <c r="DD127" s="67">
        <v>1340</v>
      </c>
      <c r="DE127" s="67">
        <v>1809</v>
      </c>
      <c r="DF127" s="67">
        <v>2140</v>
      </c>
      <c r="DV127" s="71">
        <v>15187</v>
      </c>
      <c r="DW127" s="71">
        <v>17305</v>
      </c>
      <c r="DX127" s="71">
        <v>19035</v>
      </c>
    </row>
    <row r="128" spans="2:128">
      <c r="B128" s="4" t="s">
        <v>386</v>
      </c>
      <c r="CI128" s="114"/>
      <c r="CJ128" s="114"/>
      <c r="CK128" s="114"/>
      <c r="CL128" s="114"/>
      <c r="DC128" s="67"/>
      <c r="DD128" s="67">
        <v>1359</v>
      </c>
      <c r="DE128" s="67">
        <v>2592</v>
      </c>
      <c r="DF128" s="67">
        <v>3794</v>
      </c>
    </row>
    <row r="129" spans="2:110">
      <c r="CI129" s="114"/>
      <c r="CJ129" s="114"/>
      <c r="CK129" s="114"/>
      <c r="CL129" s="114"/>
      <c r="DD129" s="67"/>
      <c r="DE129" s="67"/>
      <c r="DF129" s="67"/>
    </row>
    <row r="130" spans="2:110">
      <c r="CI130" s="114"/>
      <c r="CJ130" s="114"/>
      <c r="CK130" s="114"/>
      <c r="CL130" s="114"/>
    </row>
    <row r="131" spans="2:110">
      <c r="B131" s="4" t="s">
        <v>385</v>
      </c>
      <c r="CI131" s="114"/>
      <c r="CJ131" s="114"/>
      <c r="CK131" s="114"/>
      <c r="CL131" s="114"/>
      <c r="DC131" s="67">
        <v>10100</v>
      </c>
      <c r="DD131" s="67">
        <v>12900</v>
      </c>
      <c r="DE131" s="67">
        <v>14400</v>
      </c>
      <c r="DF131" s="67">
        <v>16500</v>
      </c>
    </row>
    <row r="132" spans="2:110">
      <c r="B132" s="4" t="s">
        <v>443</v>
      </c>
      <c r="CI132" s="114"/>
      <c r="CJ132" s="114"/>
      <c r="CK132" s="114"/>
      <c r="CL132" s="114"/>
      <c r="DC132" s="67">
        <v>3400</v>
      </c>
      <c r="DD132" s="67">
        <v>4700</v>
      </c>
      <c r="DE132" s="67">
        <v>5600</v>
      </c>
      <c r="DF132" s="67">
        <v>6500</v>
      </c>
    </row>
    <row r="133" spans="2:110">
      <c r="B133" s="4" t="s">
        <v>444</v>
      </c>
      <c r="CI133" s="114"/>
      <c r="CJ133" s="114"/>
      <c r="CK133" s="114"/>
      <c r="CL133" s="114"/>
      <c r="DC133" s="67">
        <v>2200</v>
      </c>
      <c r="DD133" s="67">
        <v>2600</v>
      </c>
      <c r="DE133" s="67">
        <v>2700</v>
      </c>
      <c r="DF133" s="67">
        <v>3000</v>
      </c>
    </row>
    <row r="134" spans="2:110">
      <c r="CI134" s="114"/>
      <c r="CJ134" s="114"/>
      <c r="CK134" s="114"/>
      <c r="CL134" s="114"/>
    </row>
    <row r="135" spans="2:110">
      <c r="B135" s="4" t="s">
        <v>522</v>
      </c>
      <c r="K135" s="80">
        <f t="shared" ref="K135:AA135" si="404">K55</f>
        <v>0.84193493442343725</v>
      </c>
      <c r="L135" s="80">
        <f t="shared" si="404"/>
        <v>0.8411640781931311</v>
      </c>
      <c r="M135" s="80">
        <f t="shared" si="404"/>
        <v>0.84783986957703106</v>
      </c>
      <c r="N135" s="80">
        <f t="shared" si="404"/>
        <v>0.8365720617062985</v>
      </c>
      <c r="O135" s="80">
        <f t="shared" si="404"/>
        <v>0.84143582739340128</v>
      </c>
      <c r="P135" s="80">
        <f t="shared" si="404"/>
        <v>0.83169542675849262</v>
      </c>
      <c r="Q135" s="80">
        <f t="shared" si="404"/>
        <v>0.83523774419461849</v>
      </c>
      <c r="R135" s="80">
        <f t="shared" si="404"/>
        <v>0.83636988655895494</v>
      </c>
      <c r="S135" s="80">
        <f t="shared" si="404"/>
        <v>0.82739145781856693</v>
      </c>
      <c r="T135" s="80">
        <f t="shared" si="404"/>
        <v>0.83291298865069352</v>
      </c>
      <c r="U135" s="80">
        <f t="shared" si="404"/>
        <v>0.83988585922637915</v>
      </c>
      <c r="V135" s="80">
        <f t="shared" si="404"/>
        <v>0.84377866095995113</v>
      </c>
      <c r="W135" s="80">
        <f t="shared" si="404"/>
        <v>0.82841156356854218</v>
      </c>
      <c r="X135" s="80">
        <f t="shared" si="404"/>
        <v>0.86348501664816868</v>
      </c>
      <c r="Y135" s="80">
        <f t="shared" si="404"/>
        <v>0.86572535991140642</v>
      </c>
      <c r="Z135" s="80">
        <f t="shared" si="404"/>
        <v>0.85632333767926994</v>
      </c>
      <c r="AA135" s="80">
        <f t="shared" si="404"/>
        <v>0.84838622186059132</v>
      </c>
      <c r="CI135" s="114"/>
      <c r="CJ135" s="114"/>
      <c r="CK135" s="114"/>
      <c r="CL135" s="114"/>
    </row>
    <row r="136" spans="2:110" ht="13">
      <c r="B136" s="14" t="s">
        <v>1006</v>
      </c>
      <c r="K136" s="87">
        <f>K139+K142+K145+K148+K151</f>
        <v>0.82697041957644934</v>
      </c>
      <c r="L136" s="87">
        <f>L139+L142+L145+L148+L151</f>
        <v>0.83118465533290853</v>
      </c>
      <c r="M136" s="87">
        <f>M139+M142+M145+M148+M151</f>
        <v>0.83268906801920117</v>
      </c>
      <c r="N136" s="87">
        <f>N139+N142+N145+N148+N151</f>
        <v>0.83712477627205317</v>
      </c>
      <c r="O136" s="87">
        <f t="shared" ref="O136:AA136" si="405">O139+O142+O145+O148+O151</f>
        <v>0.83289726407443776</v>
      </c>
      <c r="P136" s="87">
        <f t="shared" si="405"/>
        <v>0.83182117155459245</v>
      </c>
      <c r="Q136" s="87">
        <f t="shared" si="405"/>
        <v>0.8328179137486178</v>
      </c>
      <c r="R136" s="87">
        <f t="shared" si="405"/>
        <v>0.83671983499484348</v>
      </c>
      <c r="S136" s="87">
        <f t="shared" si="405"/>
        <v>0.83914719378750435</v>
      </c>
      <c r="T136" s="87">
        <f t="shared" si="405"/>
        <v>0.84101576292559899</v>
      </c>
      <c r="U136" s="87">
        <f t="shared" si="405"/>
        <v>0.83964013950538996</v>
      </c>
      <c r="V136" s="87">
        <f t="shared" si="405"/>
        <v>0.84082788138184039</v>
      </c>
      <c r="W136" s="87">
        <f t="shared" si="405"/>
        <v>0.84216195212931289</v>
      </c>
      <c r="X136" s="87">
        <f t="shared" si="405"/>
        <v>0.8605649278579357</v>
      </c>
      <c r="Y136" s="87">
        <f t="shared" si="405"/>
        <v>0.86576550387596896</v>
      </c>
      <c r="Z136" s="87">
        <f t="shared" si="405"/>
        <v>0.86224250325945251</v>
      </c>
      <c r="AA136" s="87">
        <f t="shared" si="405"/>
        <v>0.85791971792785471</v>
      </c>
      <c r="CI136" s="114"/>
      <c r="CJ136" s="114"/>
      <c r="CK136" s="114"/>
      <c r="CL136" s="114"/>
    </row>
    <row r="137" spans="2:110">
      <c r="B137" s="4" t="s">
        <v>1007</v>
      </c>
      <c r="K137" s="62">
        <f t="shared" ref="K137:AA137" si="406">K5/K41</f>
        <v>0.45528870720490555</v>
      </c>
      <c r="L137" s="62">
        <f t="shared" si="406"/>
        <v>0.46974670520797607</v>
      </c>
      <c r="M137" s="62">
        <f t="shared" si="406"/>
        <v>0.4819309845122724</v>
      </c>
      <c r="N137" s="62">
        <f t="shared" si="406"/>
        <v>0.49160487513849821</v>
      </c>
      <c r="O137" s="62">
        <f t="shared" si="406"/>
        <v>0.48358871484058225</v>
      </c>
      <c r="P137" s="62">
        <f t="shared" si="406"/>
        <v>0.48347906832778764</v>
      </c>
      <c r="Q137" s="62">
        <f t="shared" si="406"/>
        <v>0.47511979358643569</v>
      </c>
      <c r="R137" s="62">
        <f t="shared" si="406"/>
        <v>0.48195256101753181</v>
      </c>
      <c r="S137" s="62">
        <f t="shared" si="406"/>
        <v>0.46099541122484999</v>
      </c>
      <c r="T137" s="62">
        <f t="shared" si="406"/>
        <v>0.46784363177805799</v>
      </c>
      <c r="U137" s="62">
        <f t="shared" si="406"/>
        <v>0.45624603677869374</v>
      </c>
      <c r="V137" s="62">
        <f t="shared" si="406"/>
        <v>0.4582696423112198</v>
      </c>
      <c r="W137" s="62">
        <f t="shared" si="406"/>
        <v>0.46534037923531241</v>
      </c>
      <c r="X137" s="62">
        <f t="shared" si="406"/>
        <v>0.462819089900111</v>
      </c>
      <c r="Y137" s="62">
        <f t="shared" si="406"/>
        <v>0.47065337763012183</v>
      </c>
      <c r="Z137" s="62">
        <f t="shared" si="406"/>
        <v>0.46075619295958281</v>
      </c>
      <c r="AA137" s="62">
        <f t="shared" si="406"/>
        <v>0.44616219148359099</v>
      </c>
      <c r="CI137" s="114"/>
      <c r="CJ137" s="114"/>
      <c r="CK137" s="114"/>
      <c r="CL137" s="114"/>
    </row>
    <row r="138" spans="2:110" ht="13">
      <c r="B138" s="4" t="s">
        <v>1008</v>
      </c>
      <c r="K138" s="79">
        <v>0.87</v>
      </c>
      <c r="L138" s="79">
        <v>0.87</v>
      </c>
      <c r="M138" s="79">
        <v>0.87</v>
      </c>
      <c r="N138" s="79">
        <v>0.87</v>
      </c>
      <c r="O138" s="79">
        <v>0.87</v>
      </c>
      <c r="P138" s="79">
        <v>0.87</v>
      </c>
      <c r="Q138" s="79">
        <f>P138+0.001</f>
        <v>0.871</v>
      </c>
      <c r="R138" s="79">
        <f t="shared" ref="R138:X138" si="407">Q138+0.001</f>
        <v>0.872</v>
      </c>
      <c r="S138" s="79">
        <f t="shared" si="407"/>
        <v>0.873</v>
      </c>
      <c r="T138" s="79">
        <f t="shared" si="407"/>
        <v>0.874</v>
      </c>
      <c r="U138" s="79">
        <f t="shared" si="407"/>
        <v>0.875</v>
      </c>
      <c r="V138" s="79">
        <f t="shared" si="407"/>
        <v>0.876</v>
      </c>
      <c r="W138" s="79">
        <f t="shared" si="407"/>
        <v>0.877</v>
      </c>
      <c r="X138" s="79">
        <f t="shared" si="407"/>
        <v>0.878</v>
      </c>
      <c r="Y138" s="79">
        <v>0.9</v>
      </c>
      <c r="Z138" s="79">
        <v>0.9</v>
      </c>
      <c r="AA138" s="79">
        <v>0.9</v>
      </c>
      <c r="CI138" s="114"/>
      <c r="CJ138" s="114"/>
      <c r="CK138" s="114"/>
      <c r="CL138" s="114"/>
    </row>
    <row r="139" spans="2:110" ht="13">
      <c r="B139" s="4" t="s">
        <v>182</v>
      </c>
      <c r="K139" s="88">
        <f>K138*K137</f>
        <v>0.39610117526826782</v>
      </c>
      <c r="L139" s="88">
        <f>L138*L137</f>
        <v>0.40867963353093917</v>
      </c>
      <c r="M139" s="88">
        <f>M138*M137</f>
        <v>0.41927995652567701</v>
      </c>
      <c r="N139" s="88">
        <f>N138*N137</f>
        <v>0.42769624137049345</v>
      </c>
      <c r="O139" s="88">
        <f t="shared" ref="O139:X139" si="408">O138*O137</f>
        <v>0.42072218191130656</v>
      </c>
      <c r="P139" s="88">
        <f t="shared" si="408"/>
        <v>0.42062678944517523</v>
      </c>
      <c r="Q139" s="88">
        <f t="shared" si="408"/>
        <v>0.41382934021378548</v>
      </c>
      <c r="R139" s="88">
        <f t="shared" si="408"/>
        <v>0.42026263320728774</v>
      </c>
      <c r="S139" s="88">
        <f t="shared" si="408"/>
        <v>0.40244899399929407</v>
      </c>
      <c r="T139" s="88">
        <f t="shared" si="408"/>
        <v>0.40889533417402268</v>
      </c>
      <c r="U139" s="88">
        <f t="shared" si="408"/>
        <v>0.39921528218135705</v>
      </c>
      <c r="V139" s="88">
        <f t="shared" si="408"/>
        <v>0.40144420666462854</v>
      </c>
      <c r="W139" s="88">
        <f t="shared" si="408"/>
        <v>0.408103512589369</v>
      </c>
      <c r="X139" s="88">
        <f t="shared" si="408"/>
        <v>0.40635516093229745</v>
      </c>
      <c r="Y139" s="88">
        <f>Y138*Y137</f>
        <v>0.42358803986710963</v>
      </c>
      <c r="Z139" s="88">
        <f>Z138*Z137</f>
        <v>0.41468057366362454</v>
      </c>
      <c r="AA139" s="88">
        <f>AA138*AA137</f>
        <v>0.40154597233523187</v>
      </c>
      <c r="CI139" s="114"/>
      <c r="CJ139" s="114"/>
      <c r="CK139" s="114"/>
      <c r="CL139" s="114"/>
    </row>
    <row r="140" spans="2:110">
      <c r="B140" s="4" t="s">
        <v>180</v>
      </c>
      <c r="K140" s="62">
        <f t="shared" ref="K140:AA140" si="409">(K6+K7)/K41</f>
        <v>0.30772724691988873</v>
      </c>
      <c r="L140" s="62">
        <f t="shared" si="409"/>
        <v>0.31076380383126745</v>
      </c>
      <c r="M140" s="62">
        <f t="shared" si="409"/>
        <v>0.29752739788062676</v>
      </c>
      <c r="N140" s="62">
        <f t="shared" si="409"/>
        <v>0.29357368107048498</v>
      </c>
      <c r="O140" s="62">
        <f t="shared" si="409"/>
        <v>0.28328140338896246</v>
      </c>
      <c r="P140" s="62">
        <f t="shared" si="409"/>
        <v>0.27899868451597926</v>
      </c>
      <c r="Q140" s="62">
        <f t="shared" si="409"/>
        <v>0.27718392922963508</v>
      </c>
      <c r="R140" s="62">
        <f t="shared" si="409"/>
        <v>0.26744585768305257</v>
      </c>
      <c r="S140" s="62">
        <f t="shared" si="409"/>
        <v>0.2806212495587716</v>
      </c>
      <c r="T140" s="62">
        <f t="shared" si="409"/>
        <v>0.28341740226986128</v>
      </c>
      <c r="U140" s="62">
        <f t="shared" si="409"/>
        <v>0.27964489537095749</v>
      </c>
      <c r="V140" s="62">
        <f t="shared" si="409"/>
        <v>0.28370528890247632</v>
      </c>
      <c r="W140" s="62">
        <f t="shared" si="409"/>
        <v>0.27852036058439539</v>
      </c>
      <c r="X140" s="62">
        <f t="shared" si="409"/>
        <v>0.27885682574916759</v>
      </c>
      <c r="Y140" s="62">
        <f t="shared" si="409"/>
        <v>0.27630121816168329</v>
      </c>
      <c r="Z140" s="62">
        <f t="shared" si="409"/>
        <v>0.26701434159061277</v>
      </c>
      <c r="AA140" s="62">
        <f t="shared" si="409"/>
        <v>0.27610523460808245</v>
      </c>
      <c r="CI140" s="114"/>
      <c r="CJ140" s="114"/>
      <c r="CK140" s="114"/>
      <c r="CL140" s="114"/>
    </row>
    <row r="141" spans="2:110">
      <c r="B141" s="4" t="s">
        <v>181</v>
      </c>
      <c r="K141" s="62">
        <v>0.85</v>
      </c>
      <c r="L141" s="62">
        <v>0.85</v>
      </c>
      <c r="M141" s="62">
        <v>0.85</v>
      </c>
      <c r="N141" s="62">
        <v>0.85</v>
      </c>
      <c r="O141" s="62">
        <v>0.85</v>
      </c>
      <c r="P141" s="62">
        <v>0.85</v>
      </c>
      <c r="Q141" s="62">
        <v>0.85</v>
      </c>
      <c r="R141" s="62">
        <v>0.85</v>
      </c>
      <c r="S141" s="62">
        <v>0.85</v>
      </c>
      <c r="T141" s="62">
        <v>0.85</v>
      </c>
      <c r="U141" s="62">
        <v>0.85</v>
      </c>
      <c r="V141" s="62">
        <v>0.85</v>
      </c>
      <c r="W141" s="62">
        <v>0.85</v>
      </c>
      <c r="X141" s="62">
        <v>0.92</v>
      </c>
      <c r="Y141" s="62">
        <v>0.9</v>
      </c>
      <c r="Z141" s="62">
        <v>0.9</v>
      </c>
      <c r="AA141" s="62">
        <v>0.9</v>
      </c>
      <c r="CI141" s="114"/>
      <c r="CJ141" s="114"/>
      <c r="CK141" s="114"/>
      <c r="CL141" s="114"/>
    </row>
    <row r="142" spans="2:110" ht="13">
      <c r="B142" s="4" t="s">
        <v>183</v>
      </c>
      <c r="K142" s="88">
        <f>K141*K140</f>
        <v>0.2615681598819054</v>
      </c>
      <c r="L142" s="88">
        <f>L141*L140</f>
        <v>0.2641492332565773</v>
      </c>
      <c r="M142" s="88">
        <f>M141*M140</f>
        <v>0.25289828819853272</v>
      </c>
      <c r="N142" s="88">
        <f>N141*N140</f>
        <v>0.24953762890991224</v>
      </c>
      <c r="O142" s="88">
        <f>O141*O140</f>
        <v>0.24078919288061809</v>
      </c>
      <c r="P142" s="88">
        <f t="shared" ref="P142:X142" si="410">P141*P140</f>
        <v>0.23714888183858235</v>
      </c>
      <c r="Q142" s="88">
        <f t="shared" si="410"/>
        <v>0.2356063398451898</v>
      </c>
      <c r="R142" s="88">
        <f t="shared" si="410"/>
        <v>0.22732897903059468</v>
      </c>
      <c r="S142" s="88">
        <f t="shared" si="410"/>
        <v>0.23852806212495586</v>
      </c>
      <c r="T142" s="88">
        <f t="shared" si="410"/>
        <v>0.24090479192938208</v>
      </c>
      <c r="U142" s="88">
        <f t="shared" si="410"/>
        <v>0.23769816106531386</v>
      </c>
      <c r="V142" s="88">
        <f t="shared" si="410"/>
        <v>0.24114949556710485</v>
      </c>
      <c r="W142" s="88">
        <f t="shared" si="410"/>
        <v>0.23674230649673608</v>
      </c>
      <c r="X142" s="88">
        <f t="shared" si="410"/>
        <v>0.25654827968923422</v>
      </c>
      <c r="Y142" s="88">
        <f>Y141*Y140</f>
        <v>0.24867109634551496</v>
      </c>
      <c r="Z142" s="88">
        <f>Z141*Z140</f>
        <v>0.24031290743155151</v>
      </c>
      <c r="AA142" s="88">
        <f>AA141*AA140</f>
        <v>0.2484947111472742</v>
      </c>
      <c r="CI142" s="114"/>
      <c r="CJ142" s="114"/>
      <c r="CK142" s="114"/>
      <c r="CL142" s="114"/>
    </row>
    <row r="143" spans="2:110">
      <c r="B143" s="4" t="s">
        <v>642</v>
      </c>
      <c r="K143" s="62">
        <f t="shared" ref="K143:AA143" si="411">K8/K41</f>
        <v>0.1555669108045194</v>
      </c>
      <c r="L143" s="62">
        <f t="shared" si="411"/>
        <v>0.14893929743765616</v>
      </c>
      <c r="M143" s="62">
        <f t="shared" si="411"/>
        <v>0.1548772756090934</v>
      </c>
      <c r="N143" s="62">
        <f t="shared" si="411"/>
        <v>0.16193641864825706</v>
      </c>
      <c r="O143" s="62">
        <f t="shared" si="411"/>
        <v>0.16944811985146616</v>
      </c>
      <c r="P143" s="62">
        <f t="shared" si="411"/>
        <v>0.17039387139209161</v>
      </c>
      <c r="Q143" s="62">
        <f t="shared" si="411"/>
        <v>0.18282344268337633</v>
      </c>
      <c r="R143" s="62">
        <f t="shared" si="411"/>
        <v>0.19491234101065658</v>
      </c>
      <c r="S143" s="62">
        <f t="shared" si="411"/>
        <v>0.20896576067772679</v>
      </c>
      <c r="T143" s="62">
        <f t="shared" si="411"/>
        <v>0.20145018915510718</v>
      </c>
      <c r="U143" s="62">
        <f t="shared" si="411"/>
        <v>0.21179454660748256</v>
      </c>
      <c r="V143" s="62">
        <f t="shared" si="411"/>
        <v>0.20605319474166922</v>
      </c>
      <c r="W143" s="62">
        <f t="shared" si="411"/>
        <v>0.20453838980416536</v>
      </c>
      <c r="X143" s="62">
        <f t="shared" si="411"/>
        <v>0.20088790233074361</v>
      </c>
      <c r="Y143" s="62">
        <f t="shared" si="411"/>
        <v>0.1951827242524917</v>
      </c>
      <c r="Z143" s="62">
        <f t="shared" si="411"/>
        <v>0.20651890482398957</v>
      </c>
      <c r="AA143" s="62">
        <f t="shared" si="411"/>
        <v>0.19799294819636562</v>
      </c>
      <c r="CI143" s="114"/>
      <c r="CJ143" s="114"/>
      <c r="CK143" s="114"/>
      <c r="CL143" s="114"/>
    </row>
    <row r="144" spans="2:110" ht="13">
      <c r="B144" s="4" t="s">
        <v>643</v>
      </c>
      <c r="K144" s="79">
        <v>0.82</v>
      </c>
      <c r="L144" s="79">
        <v>0.82</v>
      </c>
      <c r="M144" s="79">
        <v>0.82</v>
      </c>
      <c r="N144" s="79">
        <v>0.82</v>
      </c>
      <c r="O144" s="79">
        <v>0.82</v>
      </c>
      <c r="P144" s="79">
        <v>0.82</v>
      </c>
      <c r="Q144" s="79">
        <f>P144+0.001</f>
        <v>0.82099999999999995</v>
      </c>
      <c r="R144" s="79">
        <f t="shared" ref="R144:Y144" si="412">Q144+0.001</f>
        <v>0.82199999999999995</v>
      </c>
      <c r="S144" s="79">
        <f t="shared" si="412"/>
        <v>0.82299999999999995</v>
      </c>
      <c r="T144" s="79">
        <f t="shared" si="412"/>
        <v>0.82399999999999995</v>
      </c>
      <c r="U144" s="79">
        <f t="shared" si="412"/>
        <v>0.82499999999999996</v>
      </c>
      <c r="V144" s="79">
        <f t="shared" si="412"/>
        <v>0.82599999999999996</v>
      </c>
      <c r="W144" s="79">
        <f t="shared" si="412"/>
        <v>0.82699999999999996</v>
      </c>
      <c r="X144" s="79">
        <f t="shared" si="412"/>
        <v>0.82799999999999996</v>
      </c>
      <c r="Y144" s="79">
        <f t="shared" si="412"/>
        <v>0.82899999999999996</v>
      </c>
      <c r="Z144" s="79">
        <v>0.82499999999999996</v>
      </c>
      <c r="AA144" s="79">
        <v>0.82499999999999996</v>
      </c>
      <c r="CI144" s="114"/>
      <c r="CJ144" s="114"/>
      <c r="CK144" s="114"/>
      <c r="CL144" s="114"/>
    </row>
    <row r="145" spans="2:90" ht="13">
      <c r="B145" s="4" t="s">
        <v>644</v>
      </c>
      <c r="K145" s="88">
        <f>K144*K143</f>
        <v>0.12756486685970589</v>
      </c>
      <c r="L145" s="88">
        <f>L144*L143</f>
        <v>0.12213022389887804</v>
      </c>
      <c r="M145" s="88">
        <f>M144*M143</f>
        <v>0.12699936599945658</v>
      </c>
      <c r="N145" s="88">
        <f>N144*N143</f>
        <v>0.13278786329157077</v>
      </c>
      <c r="O145" s="88">
        <f>O144*O143</f>
        <v>0.13894745827820223</v>
      </c>
      <c r="P145" s="88">
        <f t="shared" ref="P145:X145" si="413">P144*P143</f>
        <v>0.13972297454151511</v>
      </c>
      <c r="Q145" s="88">
        <f t="shared" si="413"/>
        <v>0.15009804644305197</v>
      </c>
      <c r="R145" s="88">
        <f t="shared" si="413"/>
        <v>0.1602179443107597</v>
      </c>
      <c r="S145" s="88">
        <f t="shared" si="413"/>
        <v>0.17197882103776915</v>
      </c>
      <c r="T145" s="88">
        <f t="shared" si="413"/>
        <v>0.1659949558638083</v>
      </c>
      <c r="U145" s="88">
        <f t="shared" si="413"/>
        <v>0.1747305009511731</v>
      </c>
      <c r="V145" s="88">
        <f t="shared" si="413"/>
        <v>0.17019993885661877</v>
      </c>
      <c r="W145" s="88">
        <f t="shared" si="413"/>
        <v>0.16915324836804474</v>
      </c>
      <c r="X145" s="88">
        <f t="shared" si="413"/>
        <v>0.16633518312985571</v>
      </c>
      <c r="Y145" s="88">
        <f>Y144*Y143</f>
        <v>0.16180647840531562</v>
      </c>
      <c r="Z145" s="88">
        <f>Z144*Z143</f>
        <v>0.17037809647979138</v>
      </c>
      <c r="AA145" s="88">
        <f>AA144*AA143</f>
        <v>0.16334418226200162</v>
      </c>
      <c r="CI145" s="114"/>
      <c r="CJ145" s="114"/>
      <c r="CK145" s="114"/>
      <c r="CL145" s="114"/>
    </row>
    <row r="146" spans="2:90">
      <c r="B146" s="4" t="s">
        <v>648</v>
      </c>
      <c r="K146" s="62">
        <f t="shared" ref="K146:AA146" si="414">(K15+K16+K18)/K41</f>
        <v>1.0276500312269348E-2</v>
      </c>
      <c r="L146" s="62">
        <f t="shared" si="414"/>
        <v>9.5046788496398991E-3</v>
      </c>
      <c r="M146" s="62">
        <f t="shared" si="414"/>
        <v>6.7928629653111134E-3</v>
      </c>
      <c r="N146" s="62">
        <f t="shared" si="414"/>
        <v>6.6053012869683797E-3</v>
      </c>
      <c r="O146" s="62">
        <f t="shared" si="414"/>
        <v>5.9755004481625348E-3</v>
      </c>
      <c r="P146" s="62">
        <f t="shared" si="414"/>
        <v>7.5833784724909084E-3</v>
      </c>
      <c r="Q146" s="62">
        <f t="shared" si="414"/>
        <v>8.4776999631404355E-3</v>
      </c>
      <c r="R146" s="62">
        <f t="shared" si="414"/>
        <v>1.0656583018219319E-2</v>
      </c>
      <c r="S146" s="62">
        <f t="shared" si="414"/>
        <v>1.4825273561595482E-2</v>
      </c>
      <c r="T146" s="62">
        <f t="shared" si="414"/>
        <v>1.5762925598991173E-2</v>
      </c>
      <c r="U146" s="62">
        <f t="shared" si="414"/>
        <v>1.8389346861128725E-2</v>
      </c>
      <c r="V146" s="62">
        <f t="shared" si="414"/>
        <v>2.0483032711708957E-2</v>
      </c>
      <c r="W146" s="62">
        <f t="shared" si="414"/>
        <v>2.3624494870997825E-2</v>
      </c>
      <c r="X146" s="62">
        <f t="shared" si="414"/>
        <v>2.6082130965593784E-2</v>
      </c>
      <c r="Y146" s="62">
        <f t="shared" si="414"/>
        <v>2.768549280177187E-2</v>
      </c>
      <c r="Z146" s="62">
        <f t="shared" si="414"/>
        <v>4.0156453715775753E-2</v>
      </c>
      <c r="AA146" s="62">
        <f t="shared" si="414"/>
        <v>4.6650393273664228E-2</v>
      </c>
      <c r="CI146" s="114"/>
      <c r="CJ146" s="114"/>
      <c r="CK146" s="114"/>
      <c r="CL146" s="114"/>
    </row>
    <row r="147" spans="2:90" ht="13">
      <c r="B147" s="4" t="s">
        <v>649</v>
      </c>
      <c r="K147" s="86">
        <v>0.6</v>
      </c>
      <c r="L147" s="86">
        <v>0.6</v>
      </c>
      <c r="M147" s="86">
        <v>0.6</v>
      </c>
      <c r="N147" s="86">
        <v>0.6</v>
      </c>
      <c r="O147" s="86">
        <v>0.6</v>
      </c>
      <c r="P147" s="86">
        <v>0.6</v>
      </c>
      <c r="Q147" s="86">
        <v>0.6</v>
      </c>
      <c r="R147" s="86">
        <v>0.6</v>
      </c>
      <c r="S147" s="86">
        <v>0.6</v>
      </c>
      <c r="T147" s="86">
        <v>0.6</v>
      </c>
      <c r="U147" s="86">
        <v>0.6</v>
      </c>
      <c r="V147" s="86">
        <v>0.6</v>
      </c>
      <c r="W147" s="86">
        <v>0.6</v>
      </c>
      <c r="X147" s="86">
        <v>0.6</v>
      </c>
      <c r="Y147" s="86">
        <v>0.6</v>
      </c>
      <c r="Z147" s="86">
        <v>0.6</v>
      </c>
      <c r="AA147" s="86">
        <v>0.6</v>
      </c>
      <c r="CI147" s="114"/>
      <c r="CJ147" s="114"/>
      <c r="CK147" s="114"/>
      <c r="CL147" s="114"/>
    </row>
    <row r="148" spans="2:90" ht="13">
      <c r="B148" s="4" t="s">
        <v>650</v>
      </c>
      <c r="K148" s="88">
        <f>K147*K146</f>
        <v>6.1659001873616091E-3</v>
      </c>
      <c r="L148" s="88">
        <f>L147*L146</f>
        <v>5.7028073097839397E-3</v>
      </c>
      <c r="M148" s="88">
        <f>M147*M146</f>
        <v>4.0757177791866678E-3</v>
      </c>
      <c r="N148" s="88">
        <f>N147*N146</f>
        <v>3.9631807721810276E-3</v>
      </c>
      <c r="O148" s="88">
        <f>O147*O146</f>
        <v>3.5853002688975206E-3</v>
      </c>
      <c r="P148" s="88">
        <f t="shared" ref="P148:X148" si="415">P147*P146</f>
        <v>4.5500270834945445E-3</v>
      </c>
      <c r="Q148" s="88">
        <f t="shared" si="415"/>
        <v>5.0866199778842611E-3</v>
      </c>
      <c r="R148" s="88">
        <f t="shared" si="415"/>
        <v>6.3939498109315913E-3</v>
      </c>
      <c r="S148" s="88">
        <f t="shared" si="415"/>
        <v>8.8951641369572881E-3</v>
      </c>
      <c r="T148" s="88">
        <f t="shared" si="415"/>
        <v>9.4577553593947032E-3</v>
      </c>
      <c r="U148" s="88">
        <f t="shared" si="415"/>
        <v>1.1033608116677234E-2</v>
      </c>
      <c r="V148" s="88">
        <f t="shared" si="415"/>
        <v>1.2289819627025375E-2</v>
      </c>
      <c r="W148" s="88">
        <f t="shared" si="415"/>
        <v>1.4174696922598694E-2</v>
      </c>
      <c r="X148" s="88">
        <f t="shared" si="415"/>
        <v>1.564927857935627E-2</v>
      </c>
      <c r="Y148" s="88">
        <f>Y147*Y146</f>
        <v>1.6611295681063121E-2</v>
      </c>
      <c r="Z148" s="88">
        <f>Z147*Z146</f>
        <v>2.4093872229465452E-2</v>
      </c>
      <c r="AA148" s="88">
        <f>AA147*AA146</f>
        <v>2.7990235964198536E-2</v>
      </c>
      <c r="CI148" s="114"/>
      <c r="CJ148" s="114"/>
      <c r="CK148" s="114"/>
      <c r="CL148" s="114"/>
    </row>
    <row r="149" spans="2:90">
      <c r="B149" s="4" t="s">
        <v>647</v>
      </c>
      <c r="K149" s="62">
        <f t="shared" ref="K149:AA149" si="416">K40/K41</f>
        <v>7.1140634758417073E-2</v>
      </c>
      <c r="L149" s="62">
        <f t="shared" si="416"/>
        <v>6.1045514673460387E-2</v>
      </c>
      <c r="M149" s="62">
        <f t="shared" si="416"/>
        <v>5.8871479032696315E-2</v>
      </c>
      <c r="N149" s="62">
        <f t="shared" si="416"/>
        <v>4.6279723855791356E-2</v>
      </c>
      <c r="O149" s="62">
        <f t="shared" si="416"/>
        <v>5.7706261470826754E-2</v>
      </c>
      <c r="P149" s="62">
        <f t="shared" si="416"/>
        <v>5.9544997291650553E-2</v>
      </c>
      <c r="Q149" s="62">
        <f t="shared" si="416"/>
        <v>5.6395134537412461E-2</v>
      </c>
      <c r="R149" s="62">
        <f t="shared" si="416"/>
        <v>4.5032657270539705E-2</v>
      </c>
      <c r="S149" s="62">
        <f t="shared" si="416"/>
        <v>3.4592304977056121E-2</v>
      </c>
      <c r="T149" s="62">
        <f t="shared" si="416"/>
        <v>3.1525851197982346E-2</v>
      </c>
      <c r="U149" s="62">
        <f t="shared" si="416"/>
        <v>3.3925174381737477E-2</v>
      </c>
      <c r="V149" s="62">
        <f t="shared" si="416"/>
        <v>3.1488841332925711E-2</v>
      </c>
      <c r="W149" s="62">
        <f t="shared" si="416"/>
        <v>2.7976375505129002E-2</v>
      </c>
      <c r="X149" s="62">
        <f t="shared" si="416"/>
        <v>3.1354051054384019E-2</v>
      </c>
      <c r="Y149" s="62">
        <f t="shared" si="416"/>
        <v>3.0177187153931341E-2</v>
      </c>
      <c r="Z149" s="62">
        <f t="shared" si="416"/>
        <v>2.5554106910039114E-2</v>
      </c>
      <c r="AA149" s="62">
        <f t="shared" si="416"/>
        <v>3.3089232438296722E-2</v>
      </c>
      <c r="CI149" s="114"/>
      <c r="CJ149" s="114"/>
      <c r="CK149" s="114"/>
      <c r="CL149" s="114"/>
    </row>
    <row r="150" spans="2:90" ht="13">
      <c r="B150" s="4" t="s">
        <v>743</v>
      </c>
      <c r="K150" s="86">
        <v>0.5</v>
      </c>
      <c r="L150" s="86">
        <v>0.5</v>
      </c>
      <c r="M150" s="86">
        <v>0.5</v>
      </c>
      <c r="N150" s="86">
        <v>0.5</v>
      </c>
      <c r="O150" s="86">
        <v>0.5</v>
      </c>
      <c r="P150" s="86">
        <v>0.5</v>
      </c>
      <c r="Q150" s="86">
        <v>0.5</v>
      </c>
      <c r="R150" s="86">
        <v>0.5</v>
      </c>
      <c r="S150" s="86">
        <v>0.5</v>
      </c>
      <c r="T150" s="86">
        <v>0.5</v>
      </c>
      <c r="U150" s="86">
        <v>0.5</v>
      </c>
      <c r="V150" s="86">
        <v>0.5</v>
      </c>
      <c r="W150" s="86">
        <v>0.5</v>
      </c>
      <c r="X150" s="86">
        <v>0.5</v>
      </c>
      <c r="Y150" s="86">
        <v>0.5</v>
      </c>
      <c r="Z150" s="86">
        <v>0.5</v>
      </c>
      <c r="AA150" s="86">
        <v>0.5</v>
      </c>
      <c r="CI150" s="114"/>
      <c r="CJ150" s="114"/>
      <c r="CK150" s="114"/>
      <c r="CL150" s="114"/>
    </row>
    <row r="151" spans="2:90">
      <c r="B151" s="4" t="s">
        <v>645</v>
      </c>
      <c r="K151" s="62">
        <f>K150*K149</f>
        <v>3.5570317379208537E-2</v>
      </c>
      <c r="L151" s="62">
        <f>L150*L149</f>
        <v>3.0522757336730193E-2</v>
      </c>
      <c r="M151" s="62">
        <f>M150*M149</f>
        <v>2.9435739516348158E-2</v>
      </c>
      <c r="N151" s="62">
        <f>N150*N149</f>
        <v>2.3139861927895678E-2</v>
      </c>
      <c r="O151" s="62">
        <f>O150*O149</f>
        <v>2.8853130735413377E-2</v>
      </c>
      <c r="P151" s="62">
        <f t="shared" ref="P151:Z151" si="417">P150*P149</f>
        <v>2.9772498645825277E-2</v>
      </c>
      <c r="Q151" s="62">
        <f t="shared" si="417"/>
        <v>2.8197567268706231E-2</v>
      </c>
      <c r="R151" s="62">
        <f t="shared" si="417"/>
        <v>2.2516328635269853E-2</v>
      </c>
      <c r="S151" s="62">
        <f t="shared" si="417"/>
        <v>1.729615248852806E-2</v>
      </c>
      <c r="T151" s="62">
        <f t="shared" si="417"/>
        <v>1.5762925598991173E-2</v>
      </c>
      <c r="U151" s="62">
        <f t="shared" si="417"/>
        <v>1.6962587190868739E-2</v>
      </c>
      <c r="V151" s="62">
        <f t="shared" si="417"/>
        <v>1.5744420666462856E-2</v>
      </c>
      <c r="W151" s="62">
        <f t="shared" si="417"/>
        <v>1.3988187752564501E-2</v>
      </c>
      <c r="X151" s="62">
        <f t="shared" si="417"/>
        <v>1.5677025527192009E-2</v>
      </c>
      <c r="Y151" s="62">
        <f t="shared" si="417"/>
        <v>1.5088593576965671E-2</v>
      </c>
      <c r="Z151" s="62">
        <f t="shared" si="417"/>
        <v>1.2777053455019557E-2</v>
      </c>
      <c r="AA151" s="62">
        <f>AA150*AA149</f>
        <v>1.6544616219148361E-2</v>
      </c>
      <c r="CI151" s="114"/>
      <c r="CJ151" s="114"/>
      <c r="CK151" s="114"/>
      <c r="CL151" s="114"/>
    </row>
    <row r="152" spans="2:90">
      <c r="CI152" s="114"/>
      <c r="CJ152" s="114"/>
      <c r="CK152" s="114"/>
      <c r="CL152" s="114"/>
    </row>
    <row r="153" spans="2:90">
      <c r="B153" s="4" t="s">
        <v>455</v>
      </c>
      <c r="X153" s="67">
        <v>965</v>
      </c>
      <c r="CI153" s="114"/>
      <c r="CJ153" s="114"/>
      <c r="CK153" s="114"/>
      <c r="CL153" s="114"/>
    </row>
    <row r="154" spans="2:90">
      <c r="B154" s="4" t="s">
        <v>456</v>
      </c>
      <c r="X154" s="67">
        <v>634</v>
      </c>
      <c r="CI154" s="114"/>
      <c r="CJ154" s="114"/>
      <c r="CK154" s="114"/>
      <c r="CL154" s="114"/>
    </row>
    <row r="155" spans="2:90">
      <c r="B155" s="4" t="s">
        <v>457</v>
      </c>
      <c r="X155" s="67">
        <v>668</v>
      </c>
      <c r="CI155" s="114"/>
      <c r="CJ155" s="114"/>
      <c r="CK155" s="114"/>
      <c r="CL155" s="114"/>
    </row>
    <row r="156" spans="2:90">
      <c r="B156" s="4" t="s">
        <v>458</v>
      </c>
      <c r="X156" s="67">
        <v>302</v>
      </c>
      <c r="CI156" s="114"/>
      <c r="CJ156" s="114"/>
      <c r="CK156" s="114"/>
      <c r="CL156" s="114"/>
    </row>
    <row r="157" spans="2:90">
      <c r="B157" s="4" t="s">
        <v>766</v>
      </c>
      <c r="X157" s="67">
        <v>694</v>
      </c>
      <c r="CI157" s="114"/>
      <c r="CJ157" s="114"/>
      <c r="CK157" s="114"/>
      <c r="CL157" s="114"/>
    </row>
    <row r="158" spans="2:90">
      <c r="B158" s="4" t="s">
        <v>469</v>
      </c>
      <c r="X158" s="71">
        <v>3470</v>
      </c>
      <c r="AN158" s="67">
        <v>3740.5</v>
      </c>
      <c r="CI158" s="114"/>
      <c r="CJ158" s="114"/>
      <c r="CK158" s="114"/>
      <c r="CL158" s="114"/>
    </row>
    <row r="159" spans="2:90">
      <c r="B159" s="4" t="s">
        <v>470</v>
      </c>
      <c r="X159" s="62">
        <v>0.84</v>
      </c>
      <c r="CI159" s="114"/>
      <c r="CJ159" s="114"/>
      <c r="CK159" s="114"/>
      <c r="CL159" s="114"/>
    </row>
    <row r="160" spans="2:90">
      <c r="B160" s="4" t="s">
        <v>602</v>
      </c>
      <c r="X160" s="71">
        <v>721</v>
      </c>
      <c r="CI160" s="114"/>
      <c r="CJ160" s="114"/>
      <c r="CK160" s="114"/>
      <c r="CL160" s="114"/>
    </row>
    <row r="161" spans="2:135">
      <c r="B161" s="4" t="s">
        <v>603</v>
      </c>
      <c r="X161" s="71">
        <v>708</v>
      </c>
      <c r="CI161" s="114"/>
      <c r="CJ161" s="114"/>
      <c r="CK161" s="114"/>
      <c r="CL161" s="114"/>
    </row>
    <row r="162" spans="2:135">
      <c r="B162" s="4" t="s">
        <v>604</v>
      </c>
      <c r="X162" s="62">
        <v>0.24</v>
      </c>
      <c r="CI162" s="114"/>
      <c r="CJ162" s="114"/>
      <c r="CK162" s="114"/>
      <c r="CL162" s="114"/>
    </row>
    <row r="163" spans="2:135">
      <c r="B163" s="4" t="s">
        <v>1041</v>
      </c>
      <c r="X163" s="71">
        <v>0.91</v>
      </c>
      <c r="CI163" s="114"/>
      <c r="CJ163" s="114"/>
      <c r="CK163" s="114"/>
      <c r="CL163" s="114"/>
    </row>
    <row r="164" spans="2:135">
      <c r="B164" s="4" t="s">
        <v>1042</v>
      </c>
      <c r="X164" s="71">
        <v>0.94</v>
      </c>
      <c r="CI164" s="114"/>
      <c r="CJ164" s="114"/>
      <c r="CK164" s="114"/>
      <c r="CL164" s="114"/>
    </row>
    <row r="165" spans="2:135">
      <c r="CI165" s="114"/>
      <c r="CJ165" s="114"/>
      <c r="CK165" s="114"/>
      <c r="CL165" s="114"/>
    </row>
    <row r="166" spans="2:135" s="26" customFormat="1">
      <c r="B166" s="97" t="s">
        <v>1371</v>
      </c>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67"/>
      <c r="BL166" s="67"/>
      <c r="BM166" s="67"/>
      <c r="BN166" s="67"/>
      <c r="BO166" s="67"/>
      <c r="BP166" s="67"/>
      <c r="BQ166" s="67"/>
      <c r="BR166" s="67"/>
      <c r="BS166" s="67"/>
      <c r="BT166" s="67"/>
      <c r="BU166" s="67"/>
      <c r="BV166" s="67"/>
      <c r="BW166" s="67"/>
      <c r="BX166" s="67"/>
      <c r="BY166" s="67"/>
      <c r="BZ166" s="67"/>
      <c r="CA166" s="67"/>
      <c r="CB166" s="67"/>
      <c r="CC166" s="67"/>
      <c r="CD166" s="67"/>
      <c r="CE166" s="67"/>
      <c r="CF166" s="67"/>
      <c r="CG166" s="67"/>
      <c r="CH166" s="67"/>
      <c r="CI166" s="117"/>
      <c r="CJ166" s="117"/>
      <c r="CK166" s="117"/>
      <c r="CL166" s="117"/>
      <c r="CM166" s="117"/>
      <c r="CN166" s="117"/>
      <c r="CO166" s="117"/>
      <c r="CP166" s="117"/>
      <c r="CQ166" s="117"/>
      <c r="CR166" s="117"/>
      <c r="CS166" s="117"/>
      <c r="CT166" s="117"/>
      <c r="CU166" s="117"/>
      <c r="CV166" s="117"/>
      <c r="CW166" s="117"/>
      <c r="CX166" s="117"/>
      <c r="CY166" s="117"/>
      <c r="CZ166" s="67"/>
      <c r="DA166" s="67"/>
      <c r="DB166" s="67"/>
      <c r="DC166" s="67"/>
      <c r="DD166" s="67"/>
      <c r="DE166" s="67"/>
      <c r="DF166" s="67"/>
      <c r="DG166" s="67"/>
      <c r="DH166" s="67"/>
      <c r="DI166" s="67"/>
      <c r="DJ166" s="67"/>
      <c r="DK166" s="67"/>
      <c r="DL166" s="67"/>
      <c r="DM166" s="67"/>
      <c r="DN166" s="67"/>
      <c r="DO166" s="67"/>
      <c r="DP166" s="67"/>
      <c r="DQ166" s="67"/>
      <c r="DR166" s="67"/>
      <c r="DS166" s="67"/>
      <c r="DT166" s="67"/>
      <c r="DU166" s="67"/>
      <c r="DV166" s="67">
        <v>17286</v>
      </c>
      <c r="DW166" s="67">
        <v>17743</v>
      </c>
      <c r="DX166" s="67">
        <v>19272</v>
      </c>
      <c r="DY166" s="67"/>
      <c r="DZ166" s="67"/>
      <c r="EA166" s="67"/>
      <c r="EB166" s="67"/>
      <c r="EC166" s="67"/>
      <c r="ED166" s="67"/>
      <c r="EE166" s="67"/>
    </row>
    <row r="167" spans="2:135" s="26" customFormat="1">
      <c r="B167" s="97" t="s">
        <v>1372</v>
      </c>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117"/>
      <c r="CJ167" s="117"/>
      <c r="CK167" s="117"/>
      <c r="CL167" s="117"/>
      <c r="CM167" s="117"/>
      <c r="CN167" s="117"/>
      <c r="CO167" s="117"/>
      <c r="CP167" s="117"/>
      <c r="CQ167" s="117"/>
      <c r="CR167" s="117"/>
      <c r="CS167" s="117"/>
      <c r="CT167" s="117"/>
      <c r="CU167" s="117"/>
      <c r="CV167" s="117"/>
      <c r="CW167" s="117"/>
      <c r="CX167" s="117"/>
      <c r="CY167" s="117"/>
      <c r="CZ167" s="67"/>
      <c r="DA167" s="67"/>
      <c r="DB167" s="67"/>
      <c r="DC167" s="67"/>
      <c r="DD167" s="67"/>
      <c r="DE167" s="67"/>
      <c r="DF167" s="67"/>
      <c r="DG167" s="67"/>
      <c r="DH167" s="67"/>
      <c r="DI167" s="67"/>
      <c r="DJ167" s="67"/>
      <c r="DK167" s="67"/>
      <c r="DL167" s="67"/>
      <c r="DM167" s="67"/>
      <c r="DN167" s="67"/>
      <c r="DO167" s="67"/>
      <c r="DP167" s="67"/>
      <c r="DQ167" s="67"/>
      <c r="DR167" s="67"/>
      <c r="DS167" s="67"/>
      <c r="DT167" s="67"/>
      <c r="DU167" s="67"/>
      <c r="DV167" s="67">
        <v>7011</v>
      </c>
      <c r="DW167" s="67">
        <v>7058</v>
      </c>
      <c r="DX167" s="67">
        <v>7638</v>
      </c>
      <c r="DY167" s="67"/>
      <c r="DZ167" s="67"/>
      <c r="EA167" s="67"/>
      <c r="EB167" s="67"/>
      <c r="EC167" s="67"/>
      <c r="ED167" s="67"/>
      <c r="EE167" s="67"/>
    </row>
    <row r="168" spans="2:135" s="32" customFormat="1" ht="13">
      <c r="B168" s="32" t="s">
        <v>442</v>
      </c>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c r="CI168" s="119"/>
      <c r="CJ168" s="119"/>
      <c r="CK168" s="119"/>
      <c r="CL168" s="119"/>
      <c r="CM168" s="119"/>
      <c r="CN168" s="119"/>
      <c r="CO168" s="119"/>
      <c r="CP168" s="119"/>
      <c r="CQ168" s="119"/>
      <c r="CR168" s="119"/>
      <c r="CS168" s="119"/>
      <c r="CT168" s="119"/>
      <c r="CU168" s="119"/>
      <c r="CV168" s="119"/>
      <c r="CW168" s="119"/>
      <c r="CX168" s="119"/>
      <c r="CY168" s="119"/>
      <c r="CZ168" s="75"/>
      <c r="DA168" s="75"/>
      <c r="DB168" s="75"/>
      <c r="DC168" s="75"/>
      <c r="DD168" s="75"/>
      <c r="DE168" s="75"/>
      <c r="DF168" s="75"/>
      <c r="DG168" s="75"/>
      <c r="DH168" s="75"/>
      <c r="DI168" s="75"/>
      <c r="DJ168" s="75"/>
      <c r="DK168" s="75"/>
      <c r="DL168" s="75"/>
      <c r="DM168" s="75"/>
      <c r="DN168" s="75"/>
      <c r="DO168" s="75"/>
      <c r="DP168" s="75"/>
      <c r="DQ168" s="75"/>
      <c r="DR168" s="75"/>
      <c r="DS168" s="75"/>
      <c r="DT168" s="75"/>
      <c r="DU168" s="75"/>
      <c r="DV168" s="75">
        <f>+DV167+DV166</f>
        <v>24297</v>
      </c>
      <c r="DW168" s="75">
        <f>+DW167+DW166</f>
        <v>24801</v>
      </c>
      <c r="DX168" s="75">
        <f>+DX167+DX166</f>
        <v>26910</v>
      </c>
      <c r="DY168" s="75"/>
      <c r="DZ168" s="75"/>
      <c r="EA168" s="75"/>
      <c r="EB168" s="75"/>
      <c r="EC168" s="75"/>
      <c r="ED168" s="75"/>
      <c r="EE168" s="75"/>
    </row>
    <row r="169" spans="2:135">
      <c r="CI169" s="114"/>
      <c r="CJ169" s="114"/>
      <c r="CK169" s="114"/>
      <c r="CL169" s="114"/>
    </row>
    <row r="170" spans="2:135">
      <c r="CI170" s="114"/>
      <c r="CJ170" s="114"/>
      <c r="CK170" s="114"/>
      <c r="CL170" s="114"/>
    </row>
    <row r="171" spans="2:135">
      <c r="CI171" s="114"/>
      <c r="CJ171" s="114"/>
      <c r="CK171" s="114"/>
      <c r="CL171" s="114"/>
    </row>
    <row r="172" spans="2:135">
      <c r="CI172" s="114"/>
      <c r="CJ172" s="114"/>
      <c r="CK172" s="114"/>
      <c r="CL172" s="114"/>
    </row>
    <row r="173" spans="2:135">
      <c r="CI173" s="114"/>
      <c r="CJ173" s="114"/>
      <c r="CK173" s="114"/>
      <c r="CL173" s="114"/>
    </row>
    <row r="174" spans="2:135">
      <c r="CI174" s="114"/>
      <c r="CJ174" s="114"/>
      <c r="CK174" s="114"/>
      <c r="CL174" s="114"/>
    </row>
    <row r="175" spans="2:135">
      <c r="CI175" s="114"/>
      <c r="CJ175" s="114"/>
      <c r="CK175" s="114"/>
      <c r="CL175" s="114"/>
    </row>
    <row r="176" spans="2:135">
      <c r="CI176" s="114"/>
      <c r="CJ176" s="114"/>
      <c r="CK176" s="114"/>
      <c r="CL176" s="114"/>
    </row>
    <row r="177" spans="4:90">
      <c r="D177" s="90">
        <f>EM57/Main!J3</f>
        <v>315.06048256970598</v>
      </c>
      <c r="CI177" s="114"/>
      <c r="CJ177" s="114"/>
      <c r="CK177" s="114"/>
      <c r="CL177" s="114"/>
    </row>
    <row r="178" spans="4:90">
      <c r="CI178" s="114"/>
      <c r="CJ178" s="114"/>
      <c r="CK178" s="114"/>
      <c r="CL178" s="114"/>
    </row>
    <row r="179" spans="4:90">
      <c r="CI179" s="114"/>
      <c r="CJ179" s="114"/>
      <c r="CK179" s="114"/>
      <c r="CL179" s="114"/>
    </row>
    <row r="180" spans="4:90">
      <c r="CI180" s="114"/>
      <c r="CJ180" s="114"/>
      <c r="CK180" s="114"/>
      <c r="CL180" s="114"/>
    </row>
    <row r="181" spans="4:90">
      <c r="CI181" s="114"/>
      <c r="CJ181" s="114"/>
      <c r="CK181" s="114"/>
      <c r="CL181" s="114"/>
    </row>
    <row r="182" spans="4:90">
      <c r="CI182" s="114"/>
      <c r="CJ182" s="114"/>
      <c r="CK182" s="114"/>
      <c r="CL182" s="114"/>
    </row>
    <row r="183" spans="4:90">
      <c r="CI183" s="114"/>
      <c r="CJ183" s="114"/>
      <c r="CK183" s="114"/>
      <c r="CL183" s="114"/>
    </row>
    <row r="184" spans="4:90">
      <c r="CI184" s="114"/>
      <c r="CJ184" s="114"/>
      <c r="CK184" s="114"/>
      <c r="CL184" s="114"/>
    </row>
    <row r="185" spans="4:90">
      <c r="CI185" s="114"/>
      <c r="CJ185" s="114"/>
      <c r="CK185" s="114"/>
      <c r="CL185" s="114"/>
    </row>
    <row r="186" spans="4:90">
      <c r="CI186" s="114"/>
      <c r="CJ186" s="114"/>
      <c r="CK186" s="114"/>
      <c r="CL186" s="114"/>
    </row>
    <row r="187" spans="4:90">
      <c r="CI187" s="114"/>
      <c r="CJ187" s="114"/>
      <c r="CK187" s="114"/>
      <c r="CL187" s="114"/>
    </row>
    <row r="188" spans="4:90">
      <c r="CI188" s="114"/>
      <c r="CJ188" s="114"/>
      <c r="CK188" s="114"/>
      <c r="CL188" s="114"/>
    </row>
    <row r="189" spans="4:90">
      <c r="CI189" s="114"/>
      <c r="CJ189" s="114"/>
      <c r="CK189" s="114"/>
      <c r="CL189" s="114"/>
    </row>
    <row r="190" spans="4:90">
      <c r="CI190" s="114"/>
      <c r="CJ190" s="114"/>
      <c r="CK190" s="114"/>
      <c r="CL190" s="114"/>
    </row>
    <row r="191" spans="4:90">
      <c r="CI191" s="114"/>
      <c r="CJ191" s="114"/>
      <c r="CK191" s="114"/>
      <c r="CL191" s="114"/>
    </row>
    <row r="192" spans="4: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row r="237" spans="87:90">
      <c r="CI237" s="114"/>
      <c r="CJ237" s="114"/>
      <c r="CK237" s="114"/>
      <c r="CL237" s="114"/>
    </row>
    <row r="238" spans="87:90">
      <c r="CI238" s="114"/>
      <c r="CJ238" s="114"/>
      <c r="CK238" s="114"/>
      <c r="CL238"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41:Z41"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1640625" defaultRowHeight="12.5"/>
  <sheetData>
    <row r="1" spans="1:8">
      <c r="A1" s="11" t="s">
        <v>5</v>
      </c>
    </row>
    <row r="3" spans="1:8">
      <c r="B3" t="s">
        <v>432</v>
      </c>
    </row>
    <row r="8" spans="1:8" s="4" customFormat="1" ht="13">
      <c r="B8" s="22" t="s">
        <v>732</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454</v>
      </c>
    </row>
    <row r="15" spans="1:8">
      <c r="C15" t="s">
        <v>845</v>
      </c>
    </row>
    <row r="16" spans="1:8">
      <c r="B16" t="s">
        <v>316</v>
      </c>
    </row>
    <row r="17" spans="2:3">
      <c r="B17" t="s">
        <v>339</v>
      </c>
    </row>
    <row r="18" spans="2:3">
      <c r="B18" t="s">
        <v>343</v>
      </c>
    </row>
    <row r="19" spans="2:3">
      <c r="C19" t="s">
        <v>344</v>
      </c>
    </row>
    <row r="20" spans="2:3">
      <c r="C20" t="s">
        <v>345</v>
      </c>
    </row>
    <row r="21" spans="2:3">
      <c r="B21" t="s">
        <v>346</v>
      </c>
    </row>
    <row r="23" spans="2:3">
      <c r="B23" t="s">
        <v>347</v>
      </c>
    </row>
    <row r="24" spans="2:3">
      <c r="B24" t="s">
        <v>408</v>
      </c>
    </row>
    <row r="25" spans="2:3">
      <c r="B25" t="s">
        <v>409</v>
      </c>
    </row>
    <row r="27" spans="2:3">
      <c r="B27" t="s">
        <v>410</v>
      </c>
    </row>
    <row r="28" spans="2:3">
      <c r="B28" t="s">
        <v>411</v>
      </c>
    </row>
    <row r="29" spans="2:3">
      <c r="B29" t="s">
        <v>669</v>
      </c>
    </row>
    <row r="30" spans="2:3">
      <c r="B30" t="s">
        <v>670</v>
      </c>
    </row>
    <row r="31" spans="2:3">
      <c r="B31" t="s">
        <v>671</v>
      </c>
    </row>
    <row r="33" spans="2:2">
      <c r="B33" t="s">
        <v>672</v>
      </c>
    </row>
    <row r="34" spans="2:2">
      <c r="B34" t="s">
        <v>482</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97</v>
      </c>
    </row>
    <row r="3" spans="1:3">
      <c r="B3" s="4" t="s">
        <v>287</v>
      </c>
      <c r="C3" s="4" t="s">
        <v>486</v>
      </c>
    </row>
    <row r="4" spans="1:3">
      <c r="B4" s="4" t="s">
        <v>806</v>
      </c>
      <c r="C4" s="4" t="s">
        <v>487</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F8D-4883-44B7-A16D-E402D8A9D559}">
  <dimension ref="A1:C6"/>
  <sheetViews>
    <sheetView zoomScale="190" zoomScaleNormal="190" workbookViewId="0"/>
  </sheetViews>
  <sheetFormatPr defaultRowHeight="12.5"/>
  <cols>
    <col min="1" max="1" width="4.6328125" bestFit="1" customWidth="1"/>
    <col min="2" max="2" width="11.7265625" bestFit="1" customWidth="1"/>
  </cols>
  <sheetData>
    <row r="1" spans="1:3">
      <c r="A1" s="11" t="s">
        <v>5</v>
      </c>
    </row>
    <row r="2" spans="1:3">
      <c r="B2" s="102" t="s">
        <v>1201</v>
      </c>
      <c r="C2" s="102" t="s">
        <v>1528</v>
      </c>
    </row>
    <row r="3" spans="1:3">
      <c r="B3" s="102" t="s">
        <v>1210</v>
      </c>
    </row>
    <row r="4" spans="1:3">
      <c r="B4" s="102" t="s">
        <v>1202</v>
      </c>
      <c r="C4" s="102" t="s">
        <v>1325</v>
      </c>
    </row>
    <row r="5" spans="1:3">
      <c r="B5" s="102" t="s">
        <v>322</v>
      </c>
    </row>
    <row r="6" spans="1:3" ht="13">
      <c r="C6" s="48" t="s">
        <v>1529</v>
      </c>
    </row>
  </sheetData>
  <hyperlinks>
    <hyperlink ref="A1" location="Main!A1" display="Main" xr:uid="{891AD7B5-9455-4F7C-AFC9-A44E6693FA2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796875" defaultRowHeight="12.5"/>
  <cols>
    <col min="1" max="1" width="5.453125" style="4" customWidth="1"/>
    <col min="2" max="2" width="13" style="4" customWidth="1"/>
    <col min="3" max="16384" width="9.1796875" style="4"/>
  </cols>
  <sheetData>
    <row r="1" spans="1:3">
      <c r="A1" s="10" t="s">
        <v>5</v>
      </c>
    </row>
    <row r="2" spans="1:3">
      <c r="B2" s="4" t="s">
        <v>286</v>
      </c>
      <c r="C2" s="4" t="s">
        <v>594</v>
      </c>
    </row>
    <row r="3" spans="1:3">
      <c r="B3" s="4" t="s">
        <v>287</v>
      </c>
      <c r="C3" s="4" t="s">
        <v>1040</v>
      </c>
    </row>
    <row r="4" spans="1:3">
      <c r="B4" s="4" t="s">
        <v>806</v>
      </c>
      <c r="C4" s="4" t="s">
        <v>699</v>
      </c>
    </row>
    <row r="5" spans="1:3">
      <c r="C5" s="4" t="s">
        <v>273</v>
      </c>
    </row>
    <row r="6" spans="1:3">
      <c r="C6" s="4" t="s">
        <v>976</v>
      </c>
    </row>
    <row r="7" spans="1:3">
      <c r="B7" s="4" t="s">
        <v>451</v>
      </c>
      <c r="C7" s="4" t="s">
        <v>982</v>
      </c>
    </row>
    <row r="8" spans="1:3">
      <c r="B8" s="4" t="s">
        <v>981</v>
      </c>
      <c r="C8" s="4" t="s">
        <v>338</v>
      </c>
    </row>
    <row r="9" spans="1:3">
      <c r="B9" s="4" t="s">
        <v>322</v>
      </c>
    </row>
    <row r="10" spans="1:3" ht="13">
      <c r="C10" s="22" t="s">
        <v>709</v>
      </c>
    </row>
    <row r="11" spans="1:3">
      <c r="C11" s="16" t="s">
        <v>595</v>
      </c>
    </row>
    <row r="12" spans="1:3">
      <c r="C12" s="16"/>
    </row>
    <row r="13" spans="1:3" ht="13">
      <c r="C13" s="22" t="s">
        <v>809</v>
      </c>
    </row>
    <row r="14" spans="1:3">
      <c r="C14" s="4" t="s">
        <v>223</v>
      </c>
    </row>
    <row r="15" spans="1:3">
      <c r="C15" s="4" t="s">
        <v>888</v>
      </c>
    </row>
    <row r="16" spans="1:3">
      <c r="C16" s="4" t="s">
        <v>746</v>
      </c>
    </row>
    <row r="17" spans="3:4">
      <c r="C17" s="4" t="s">
        <v>747</v>
      </c>
    </row>
    <row r="18" spans="3:4">
      <c r="C18" s="4" t="s">
        <v>810</v>
      </c>
    </row>
    <row r="20" spans="3:4" ht="13">
      <c r="C20" s="22" t="s">
        <v>516</v>
      </c>
    </row>
    <row r="21" spans="3:4">
      <c r="C21" s="16" t="s">
        <v>635</v>
      </c>
    </row>
    <row r="22" spans="3:4" ht="13">
      <c r="C22" s="14"/>
    </row>
    <row r="23" spans="3:4" ht="13">
      <c r="C23" s="22" t="s">
        <v>710</v>
      </c>
    </row>
    <row r="24" spans="3:4">
      <c r="C24" s="16" t="s">
        <v>711</v>
      </c>
    </row>
    <row r="25" spans="3:4">
      <c r="C25" s="16"/>
    </row>
    <row r="26" spans="3:4" ht="13">
      <c r="C26" s="28" t="s">
        <v>846</v>
      </c>
    </row>
    <row r="27" spans="3:4">
      <c r="C27" s="4" t="s">
        <v>274</v>
      </c>
      <c r="D27" s="4" t="s">
        <v>275</v>
      </c>
    </row>
    <row r="28" spans="3:4">
      <c r="C28" s="4" t="s">
        <v>357</v>
      </c>
      <c r="D28" s="4" t="s">
        <v>323</v>
      </c>
    </row>
    <row r="29" spans="3:4">
      <c r="C29" s="4" t="s">
        <v>324</v>
      </c>
      <c r="D29" s="4" t="s">
        <v>298</v>
      </c>
    </row>
    <row r="30" spans="3:4">
      <c r="C30" s="4" t="s">
        <v>10</v>
      </c>
      <c r="D30" s="4" t="s">
        <v>276</v>
      </c>
    </row>
    <row r="31" spans="3:4">
      <c r="C31" s="4" t="s">
        <v>11</v>
      </c>
      <c r="D31" s="4" t="s">
        <v>299</v>
      </c>
    </row>
    <row r="32" spans="3:4">
      <c r="D32" s="4" t="s">
        <v>300</v>
      </c>
    </row>
    <row r="33" spans="3:4">
      <c r="D33" s="4" t="s">
        <v>301</v>
      </c>
    </row>
    <row r="34" spans="3:4">
      <c r="C34" s="4" t="s">
        <v>1005</v>
      </c>
      <c r="D34" s="4" t="s">
        <v>302</v>
      </c>
    </row>
    <row r="35" spans="3:4">
      <c r="D35" s="4" t="s">
        <v>277</v>
      </c>
    </row>
    <row r="36" spans="3:4">
      <c r="D36" s="4" t="s">
        <v>278</v>
      </c>
    </row>
    <row r="38" spans="3:4" ht="13">
      <c r="C38" s="22" t="s">
        <v>889</v>
      </c>
    </row>
    <row r="39" spans="3:4">
      <c r="C39" s="4" t="s">
        <v>770</v>
      </c>
    </row>
    <row r="41" spans="3:4" ht="13">
      <c r="C41" s="22" t="s">
        <v>637</v>
      </c>
    </row>
    <row r="42" spans="3:4">
      <c r="C42" s="16" t="s">
        <v>638</v>
      </c>
    </row>
    <row r="43" spans="3:4" ht="13">
      <c r="C43" s="14"/>
    </row>
    <row r="44" spans="3:4">
      <c r="C44" s="16" t="s">
        <v>676</v>
      </c>
    </row>
    <row r="45" spans="3:4">
      <c r="C45" s="16" t="s">
        <v>677</v>
      </c>
    </row>
    <row r="46" spans="3:4">
      <c r="C46" s="16"/>
    </row>
    <row r="47" spans="3:4">
      <c r="C47" s="4" t="s">
        <v>224</v>
      </c>
    </row>
    <row r="48" spans="3:4" ht="13">
      <c r="C48" s="14" t="s">
        <v>636</v>
      </c>
    </row>
    <row r="49" spans="3:4" ht="13">
      <c r="C49" s="14"/>
    </row>
    <row r="50" spans="3:4">
      <c r="C50" s="4" t="s">
        <v>692</v>
      </c>
    </row>
    <row r="51" spans="3:4">
      <c r="D51" s="4" t="s">
        <v>693</v>
      </c>
    </row>
    <row r="52" spans="3:4">
      <c r="C52" s="4" t="s">
        <v>434</v>
      </c>
    </row>
    <row r="54" spans="3:4" ht="13">
      <c r="C54" s="22" t="s">
        <v>903</v>
      </c>
    </row>
    <row r="55" spans="3:4">
      <c r="C55" s="4" t="s">
        <v>834</v>
      </c>
    </row>
    <row r="56" spans="3:4">
      <c r="C56" s="4" t="s">
        <v>835</v>
      </c>
    </row>
    <row r="57" spans="3:4">
      <c r="C57" s="4" t="s">
        <v>440</v>
      </c>
    </row>
    <row r="58" spans="3:4">
      <c r="C58" s="4" t="s">
        <v>340</v>
      </c>
    </row>
    <row r="59" spans="3:4">
      <c r="C59" s="4" t="s">
        <v>341</v>
      </c>
    </row>
    <row r="60" spans="3:4">
      <c r="C60" s="4" t="s">
        <v>901</v>
      </c>
    </row>
    <row r="61" spans="3:4">
      <c r="C61" s="4" t="s">
        <v>902</v>
      </c>
    </row>
    <row r="63" spans="3:4">
      <c r="C63" s="4" t="s">
        <v>459</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1640625" defaultRowHeight="12.5"/>
  <sheetData>
    <row r="2" spans="2:2">
      <c r="B2" t="s">
        <v>628</v>
      </c>
    </row>
    <row r="4" spans="2:2">
      <c r="B4" t="s">
        <v>967</v>
      </c>
    </row>
  </sheetData>
  <phoneticPr fontId="3"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1640625" defaultRowHeight="12.5"/>
  <cols>
    <col min="1" max="1" width="5" bestFit="1" customWidth="1"/>
  </cols>
  <sheetData>
    <row r="1" spans="1:2">
      <c r="A1" s="11" t="s">
        <v>5</v>
      </c>
    </row>
    <row r="2" spans="1:2">
      <c r="B2" t="s">
        <v>342</v>
      </c>
    </row>
    <row r="4" spans="1:2">
      <c r="B4" t="s">
        <v>717</v>
      </c>
    </row>
    <row r="5" spans="1:2">
      <c r="B5" t="s">
        <v>435</v>
      </c>
    </row>
    <row r="7" spans="1:2">
      <c r="B7" t="s">
        <v>433</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851</v>
      </c>
    </row>
    <row r="3" spans="1:3">
      <c r="B3" t="s">
        <v>287</v>
      </c>
    </row>
    <row r="4" spans="1:3">
      <c r="B4" t="s">
        <v>322</v>
      </c>
    </row>
    <row r="5" spans="1:3" ht="13">
      <c r="C5" s="48" t="s">
        <v>852</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279</v>
      </c>
    </row>
    <row r="3" spans="1:3">
      <c r="B3" t="s">
        <v>806</v>
      </c>
      <c r="C3" t="s">
        <v>921</v>
      </c>
    </row>
    <row r="4" spans="1:3">
      <c r="B4" t="s">
        <v>322</v>
      </c>
    </row>
    <row r="5" spans="1:3" ht="13">
      <c r="C5" s="48" t="s">
        <v>1101</v>
      </c>
    </row>
    <row r="6" spans="1:3">
      <c r="C6" s="53" t="s">
        <v>1102</v>
      </c>
    </row>
    <row r="7" spans="1:3">
      <c r="C7" s="53"/>
    </row>
    <row r="8" spans="1:3">
      <c r="C8" s="53"/>
    </row>
    <row r="10" spans="1:3" ht="13">
      <c r="C10" s="48" t="s">
        <v>922</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1640625" defaultRowHeight="12.5"/>
  <cols>
    <col min="1" max="1" width="5" bestFit="1" customWidth="1"/>
    <col min="2" max="2" width="12.81640625" bestFit="1" customWidth="1"/>
  </cols>
  <sheetData>
    <row r="1" spans="1:4">
      <c r="A1" s="11" t="s">
        <v>5</v>
      </c>
    </row>
    <row r="2" spans="1:4">
      <c r="B2" t="s">
        <v>286</v>
      </c>
      <c r="C2" t="s">
        <v>126</v>
      </c>
    </row>
    <row r="3" spans="1:4">
      <c r="B3" t="s">
        <v>287</v>
      </c>
    </row>
    <row r="4" spans="1:4">
      <c r="B4" t="s">
        <v>806</v>
      </c>
      <c r="C4" t="s">
        <v>722</v>
      </c>
    </row>
    <row r="5" spans="1:4">
      <c r="C5" t="s">
        <v>913</v>
      </c>
    </row>
    <row r="6" spans="1:4">
      <c r="C6" t="s">
        <v>914</v>
      </c>
    </row>
    <row r="7" spans="1:4">
      <c r="C7" t="s">
        <v>280</v>
      </c>
    </row>
    <row r="8" spans="1:4">
      <c r="C8" t="s">
        <v>320</v>
      </c>
    </row>
    <row r="9" spans="1:4">
      <c r="C9" t="s">
        <v>753</v>
      </c>
    </row>
    <row r="10" spans="1:4">
      <c r="C10" t="s">
        <v>755</v>
      </c>
    </row>
    <row r="12" spans="1:4">
      <c r="B12" t="s">
        <v>7</v>
      </c>
      <c r="C12" t="s">
        <v>754</v>
      </c>
    </row>
    <row r="13" spans="1:4">
      <c r="C13" t="s">
        <v>756</v>
      </c>
    </row>
    <row r="14" spans="1:4">
      <c r="D14" t="s">
        <v>757</v>
      </c>
    </row>
    <row r="15" spans="1:4">
      <c r="C15" t="s">
        <v>758</v>
      </c>
    </row>
    <row r="16" spans="1:4">
      <c r="D16" t="s">
        <v>305</v>
      </c>
    </row>
    <row r="17" spans="2:4">
      <c r="C17" t="s">
        <v>438</v>
      </c>
    </row>
    <row r="18" spans="2:4">
      <c r="C18" t="s">
        <v>439</v>
      </c>
    </row>
    <row r="19" spans="2:4">
      <c r="C19" t="s">
        <v>995</v>
      </c>
    </row>
    <row r="20" spans="2:4">
      <c r="D20" t="s">
        <v>404</v>
      </c>
    </row>
    <row r="21" spans="2:4">
      <c r="C21" t="s">
        <v>405</v>
      </c>
    </row>
    <row r="23" spans="2:4">
      <c r="C23" t="s">
        <v>833</v>
      </c>
    </row>
    <row r="24" spans="2:4">
      <c r="C24" t="s">
        <v>127</v>
      </c>
    </row>
    <row r="25" spans="2:4">
      <c r="C25" t="s">
        <v>80</v>
      </c>
    </row>
    <row r="26" spans="2:4">
      <c r="C26" t="s">
        <v>406</v>
      </c>
    </row>
    <row r="27" spans="2:4">
      <c r="C27" t="s">
        <v>498</v>
      </c>
    </row>
    <row r="28" spans="2:4">
      <c r="C28" t="s">
        <v>407</v>
      </c>
    </row>
    <row r="29" spans="2:4">
      <c r="C29" t="s">
        <v>348</v>
      </c>
    </row>
    <row r="30" spans="2:4">
      <c r="C30" t="s">
        <v>349</v>
      </c>
    </row>
    <row r="31" spans="2:4">
      <c r="B31" t="s">
        <v>322</v>
      </c>
    </row>
    <row r="32" spans="2:4" ht="13">
      <c r="C32" s="48" t="s">
        <v>927</v>
      </c>
    </row>
    <row r="35" spans="3:3" ht="13">
      <c r="C35" s="48" t="s">
        <v>1103</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0" t="s">
        <v>5</v>
      </c>
    </row>
    <row r="2" spans="1:3">
      <c r="B2" s="4" t="s">
        <v>286</v>
      </c>
      <c r="C2" s="4" t="s">
        <v>219</v>
      </c>
    </row>
    <row r="3" spans="1:3">
      <c r="B3" s="4" t="s">
        <v>287</v>
      </c>
    </row>
    <row r="4" spans="1:3">
      <c r="B4" s="4" t="s">
        <v>806</v>
      </c>
      <c r="C4" s="4" t="s">
        <v>968</v>
      </c>
    </row>
    <row r="5" spans="1:3">
      <c r="B5" s="4" t="s">
        <v>322</v>
      </c>
      <c r="C5" s="4" t="s">
        <v>350</v>
      </c>
    </row>
    <row r="8" spans="1:3" ht="13">
      <c r="C8" s="22" t="s">
        <v>662</v>
      </c>
    </row>
    <row r="9" spans="1:3">
      <c r="C9" s="4" t="s">
        <v>533</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397E-B072-4B73-8353-E945D19C1CCD}">
  <dimension ref="A1:C11"/>
  <sheetViews>
    <sheetView zoomScale="175" zoomScaleNormal="175" workbookViewId="0"/>
  </sheetViews>
  <sheetFormatPr defaultRowHeight="12.5"/>
  <cols>
    <col min="1" max="1" width="4.6328125" bestFit="1" customWidth="1"/>
    <col min="2" max="2" width="11.26953125" bestFit="1" customWidth="1"/>
  </cols>
  <sheetData>
    <row r="1" spans="1:3">
      <c r="A1" s="11" t="s">
        <v>5</v>
      </c>
    </row>
    <row r="2" spans="1:3">
      <c r="B2" s="102" t="s">
        <v>1201</v>
      </c>
      <c r="C2" s="102" t="s">
        <v>1189</v>
      </c>
    </row>
    <row r="3" spans="1:3">
      <c r="B3" s="102" t="s">
        <v>1210</v>
      </c>
      <c r="C3" s="102" t="s">
        <v>1409</v>
      </c>
    </row>
    <row r="4" spans="1:3">
      <c r="B4" s="102" t="s">
        <v>3</v>
      </c>
      <c r="C4" s="102" t="s">
        <v>1410</v>
      </c>
    </row>
    <row r="5" spans="1:3">
      <c r="B5" s="102" t="s">
        <v>806</v>
      </c>
      <c r="C5" s="102" t="s">
        <v>1411</v>
      </c>
    </row>
    <row r="6" spans="1:3">
      <c r="B6" s="102" t="s">
        <v>899</v>
      </c>
      <c r="C6" s="102" t="s">
        <v>1412</v>
      </c>
    </row>
    <row r="7" spans="1:3">
      <c r="B7" s="102" t="s">
        <v>322</v>
      </c>
    </row>
    <row r="8" spans="1:3" ht="13">
      <c r="C8" s="48" t="s">
        <v>1413</v>
      </c>
    </row>
    <row r="11" spans="1:3" ht="13">
      <c r="C11" s="48" t="s">
        <v>1414</v>
      </c>
    </row>
  </sheetData>
  <hyperlinks>
    <hyperlink ref="A1" location="Main!A1" display="Main" xr:uid="{B9F3CBDE-A728-4727-BBA8-605155945F0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1640625" defaultRowHeight="12.5"/>
  <cols>
    <col min="1" max="1" width="5" bestFit="1" customWidth="1"/>
    <col min="2" max="2" width="12" bestFit="1" customWidth="1"/>
  </cols>
  <sheetData>
    <row r="1" spans="1:3">
      <c r="A1" s="11" t="s">
        <v>5</v>
      </c>
    </row>
    <row r="2" spans="1:3">
      <c r="B2" t="s">
        <v>286</v>
      </c>
      <c r="C2" s="53" t="s">
        <v>31</v>
      </c>
    </row>
    <row r="3" spans="1:3">
      <c r="B3" s="53" t="s">
        <v>806</v>
      </c>
      <c r="C3" s="53" t="s">
        <v>1056</v>
      </c>
    </row>
    <row r="4" spans="1:3">
      <c r="B4" s="53" t="s">
        <v>1104</v>
      </c>
      <c r="C4" s="53" t="s">
        <v>1105</v>
      </c>
    </row>
    <row r="5" spans="1:3" ht="13">
      <c r="B5" s="53" t="s">
        <v>322</v>
      </c>
      <c r="C5" s="48"/>
    </row>
    <row r="6" spans="1:3" ht="13">
      <c r="B6" s="53"/>
      <c r="C6" s="48" t="s">
        <v>1063</v>
      </c>
    </row>
    <row r="7" spans="1:3">
      <c r="B7" s="53"/>
      <c r="C7" s="53" t="s">
        <v>1064</v>
      </c>
    </row>
    <row r="8" spans="1:3" ht="13">
      <c r="B8" s="53"/>
      <c r="C8" s="48"/>
    </row>
    <row r="9" spans="1:3" ht="13">
      <c r="B9" s="53"/>
      <c r="C9" s="48"/>
    </row>
    <row r="10" spans="1:3" ht="13">
      <c r="C10" s="48" t="s">
        <v>1058</v>
      </c>
    </row>
    <row r="11" spans="1:3">
      <c r="C11" s="53" t="s">
        <v>1057</v>
      </c>
    </row>
  </sheetData>
  <hyperlinks>
    <hyperlink ref="A1" location="Main!A1" display="Main" xr:uid="{00000000-0004-0000-2C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1640625" defaultRowHeight="12.5"/>
  <cols>
    <col min="1" max="1" width="5" bestFit="1" customWidth="1"/>
    <col min="2" max="2" width="12" bestFit="1" customWidth="1"/>
  </cols>
  <sheetData>
    <row r="1" spans="1:3">
      <c r="A1" s="11" t="s">
        <v>5</v>
      </c>
    </row>
    <row r="2" spans="1:3">
      <c r="B2" t="s">
        <v>286</v>
      </c>
      <c r="C2" t="s">
        <v>108</v>
      </c>
    </row>
    <row r="3" spans="1:3">
      <c r="B3" t="s">
        <v>322</v>
      </c>
    </row>
    <row r="4" spans="1:3" ht="13">
      <c r="C4" s="48" t="s">
        <v>688</v>
      </c>
    </row>
    <row r="5" spans="1:3">
      <c r="C5" t="s">
        <v>689</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924</v>
      </c>
    </row>
    <row r="3" spans="1:3">
      <c r="B3" t="s">
        <v>806</v>
      </c>
      <c r="C3" t="s">
        <v>925</v>
      </c>
    </row>
    <row r="4" spans="1:3">
      <c r="B4" t="s">
        <v>322</v>
      </c>
    </row>
    <row r="5" spans="1:3" ht="13">
      <c r="C5" s="48" t="s">
        <v>926</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1640625" defaultRowHeight="12.5"/>
  <cols>
    <col min="1" max="1" width="5" bestFit="1" customWidth="1"/>
    <col min="2" max="2" width="12.81640625" bestFit="1" customWidth="1"/>
  </cols>
  <sheetData>
    <row r="1" spans="1:3">
      <c r="A1" s="11" t="s">
        <v>5</v>
      </c>
    </row>
    <row r="2" spans="1:3">
      <c r="B2" t="s">
        <v>286</v>
      </c>
      <c r="C2" t="s">
        <v>918</v>
      </c>
    </row>
    <row r="3" spans="1:3">
      <c r="B3" t="s">
        <v>806</v>
      </c>
      <c r="C3" t="s">
        <v>919</v>
      </c>
    </row>
    <row r="4" spans="1:3">
      <c r="B4" t="s">
        <v>322</v>
      </c>
    </row>
    <row r="5" spans="1:3" ht="13">
      <c r="C5" s="48" t="s">
        <v>920</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1640625" defaultRowHeight="12.5"/>
  <cols>
    <col min="1" max="1" width="5" bestFit="1" customWidth="1"/>
    <col min="2" max="2" width="12.81640625" bestFit="1" customWidth="1"/>
  </cols>
  <sheetData>
    <row r="1" spans="1:3">
      <c r="A1" s="11" t="s">
        <v>5</v>
      </c>
    </row>
    <row r="2" spans="1:3">
      <c r="B2" t="s">
        <v>286</v>
      </c>
      <c r="C2" t="s">
        <v>652</v>
      </c>
    </row>
    <row r="3" spans="1:3">
      <c r="B3" t="s">
        <v>806</v>
      </c>
      <c r="C3" t="s">
        <v>520</v>
      </c>
    </row>
    <row r="4" spans="1:3">
      <c r="B4" t="s">
        <v>328</v>
      </c>
      <c r="C4" t="s">
        <v>521</v>
      </c>
    </row>
    <row r="5" spans="1:3">
      <c r="B5" t="s">
        <v>322</v>
      </c>
      <c r="C5" t="s">
        <v>965</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1640625" defaultRowHeight="12.5"/>
  <sheetData>
    <row r="1" spans="1:10">
      <c r="A1" s="11" t="s">
        <v>5</v>
      </c>
    </row>
    <row r="3" spans="1:10">
      <c r="B3" t="s">
        <v>554</v>
      </c>
    </row>
    <row r="4" spans="1:10">
      <c r="B4" t="s">
        <v>555</v>
      </c>
    </row>
    <row r="5" spans="1:10">
      <c r="B5" t="s">
        <v>556</v>
      </c>
    </row>
    <row r="7" spans="1:10" s="4" customFormat="1">
      <c r="C7" s="5" t="s">
        <v>220</v>
      </c>
      <c r="D7" s="4" t="s">
        <v>229</v>
      </c>
      <c r="E7" s="4" t="s">
        <v>807</v>
      </c>
      <c r="F7" s="6">
        <v>2</v>
      </c>
      <c r="G7" s="6" t="s">
        <v>221</v>
      </c>
      <c r="H7" s="6"/>
      <c r="I7" s="24"/>
      <c r="J7" s="4" t="s">
        <v>864</v>
      </c>
    </row>
    <row r="8" spans="1:10" s="4" customFormat="1">
      <c r="C8" s="5" t="s">
        <v>220</v>
      </c>
      <c r="D8" s="4" t="s">
        <v>230</v>
      </c>
      <c r="E8" s="4" t="s">
        <v>807</v>
      </c>
      <c r="F8" s="6">
        <v>2</v>
      </c>
      <c r="G8" s="6"/>
      <c r="H8" s="6"/>
      <c r="I8" s="24"/>
    </row>
    <row r="10" spans="1:10">
      <c r="B10" t="s">
        <v>65</v>
      </c>
      <c r="C10" t="s">
        <v>254</v>
      </c>
      <c r="D10" t="s">
        <v>179</v>
      </c>
    </row>
    <row r="11" spans="1:10">
      <c r="B11" t="s">
        <v>69</v>
      </c>
    </row>
    <row r="12" spans="1:10">
      <c r="B12" t="s">
        <v>68</v>
      </c>
    </row>
    <row r="13" spans="1:10">
      <c r="B13" t="s">
        <v>750</v>
      </c>
    </row>
    <row r="14" spans="1:10">
      <c r="B14" t="s">
        <v>1037</v>
      </c>
    </row>
    <row r="15" spans="1:10">
      <c r="B15" t="s">
        <v>1038</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796875" defaultRowHeight="12.5"/>
  <cols>
    <col min="1" max="1" width="5" style="4" bestFit="1" customWidth="1"/>
    <col min="2" max="2" width="12.81640625" style="4" customWidth="1"/>
    <col min="3" max="16384" width="9.1796875" style="4"/>
  </cols>
  <sheetData>
    <row r="1" spans="1:3">
      <c r="A1" s="10" t="s">
        <v>5</v>
      </c>
    </row>
    <row r="2" spans="1:3">
      <c r="A2" s="10"/>
      <c r="B2" s="4" t="s">
        <v>291</v>
      </c>
    </row>
    <row r="3" spans="1:3">
      <c r="B3" s="4" t="s">
        <v>286</v>
      </c>
      <c r="C3" s="4" t="s">
        <v>474</v>
      </c>
    </row>
    <row r="4" spans="1:3">
      <c r="B4" s="4" t="s">
        <v>287</v>
      </c>
      <c r="C4" s="4" t="s">
        <v>56</v>
      </c>
    </row>
    <row r="5" spans="1:3">
      <c r="B5" s="4" t="s">
        <v>3</v>
      </c>
      <c r="C5" s="4" t="s">
        <v>881</v>
      </c>
    </row>
    <row r="6" spans="1:3">
      <c r="C6" s="4" t="s">
        <v>882</v>
      </c>
    </row>
    <row r="7" spans="1:3">
      <c r="B7" s="4" t="s">
        <v>806</v>
      </c>
      <c r="C7" s="4" t="s">
        <v>485</v>
      </c>
    </row>
    <row r="8" spans="1:3">
      <c r="B8" s="4" t="s">
        <v>441</v>
      </c>
      <c r="C8" s="4" t="s">
        <v>235</v>
      </c>
    </row>
    <row r="9" spans="1:3">
      <c r="C9" s="4" t="s">
        <v>236</v>
      </c>
    </row>
    <row r="10" spans="1:3">
      <c r="C10" s="4" t="s">
        <v>908</v>
      </c>
    </row>
    <row r="11" spans="1:3">
      <c r="B11" s="4" t="s">
        <v>453</v>
      </c>
      <c r="C11" s="4" t="s">
        <v>909</v>
      </c>
    </row>
    <row r="12" spans="1:3">
      <c r="C12" s="4" t="s">
        <v>910</v>
      </c>
    </row>
    <row r="13" spans="1:3">
      <c r="B13" s="4" t="s">
        <v>322</v>
      </c>
    </row>
    <row r="14" spans="1:3">
      <c r="C14" s="4" t="s">
        <v>911</v>
      </c>
    </row>
    <row r="16" spans="1:3">
      <c r="C16" s="4" t="s">
        <v>57</v>
      </c>
    </row>
    <row r="18" spans="2:2">
      <c r="B18" s="4" t="s">
        <v>330</v>
      </c>
    </row>
    <row r="19" spans="2:2">
      <c r="B19" s="4" t="s">
        <v>331</v>
      </c>
    </row>
    <row r="23" spans="2:2">
      <c r="B23" s="4" t="s">
        <v>414</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9081-5A72-4958-9392-17F4A8CB6636}">
  <dimension ref="A1:C29"/>
  <sheetViews>
    <sheetView zoomScale="175" zoomScaleNormal="175" workbookViewId="0"/>
  </sheetViews>
  <sheetFormatPr defaultRowHeight="12.5"/>
  <cols>
    <col min="1" max="1" width="4.6328125" bestFit="1" customWidth="1"/>
    <col min="2" max="2" width="13.26953125" customWidth="1"/>
  </cols>
  <sheetData>
    <row r="1" spans="1:3">
      <c r="A1" s="11" t="s">
        <v>5</v>
      </c>
    </row>
    <row r="2" spans="1:3">
      <c r="B2" s="102" t="s">
        <v>1201</v>
      </c>
      <c r="C2" s="102" t="s">
        <v>1506</v>
      </c>
    </row>
    <row r="3" spans="1:3">
      <c r="B3" s="102" t="s">
        <v>1210</v>
      </c>
      <c r="C3" s="102" t="s">
        <v>1504</v>
      </c>
    </row>
    <row r="4" spans="1:3">
      <c r="B4" s="102" t="s">
        <v>806</v>
      </c>
      <c r="C4" s="102" t="s">
        <v>1497</v>
      </c>
    </row>
    <row r="5" spans="1:3">
      <c r="B5" s="102" t="s">
        <v>3</v>
      </c>
      <c r="C5" s="102" t="s">
        <v>1299</v>
      </c>
    </row>
    <row r="6" spans="1:3">
      <c r="B6" s="102" t="s">
        <v>899</v>
      </c>
      <c r="C6" s="102" t="s">
        <v>1505</v>
      </c>
    </row>
    <row r="7" spans="1:3">
      <c r="B7" s="102" t="s">
        <v>981</v>
      </c>
      <c r="C7" s="102" t="s">
        <v>1507</v>
      </c>
    </row>
    <row r="8" spans="1:3">
      <c r="B8" s="102" t="s">
        <v>6</v>
      </c>
    </row>
    <row r="9" spans="1:3">
      <c r="B9" s="102" t="s">
        <v>322</v>
      </c>
    </row>
    <row r="10" spans="1:3" ht="13">
      <c r="B10" s="102"/>
      <c r="C10" s="48" t="s">
        <v>1508</v>
      </c>
    </row>
    <row r="11" spans="1:3">
      <c r="B11" s="102"/>
      <c r="C11" s="102" t="s">
        <v>1509</v>
      </c>
    </row>
    <row r="12" spans="1:3">
      <c r="B12" s="102"/>
    </row>
    <row r="13" spans="1:3">
      <c r="B13" s="102"/>
    </row>
    <row r="14" spans="1:3">
      <c r="B14" s="102"/>
    </row>
    <row r="15" spans="1:3" ht="13">
      <c r="C15" s="48" t="s">
        <v>1498</v>
      </c>
    </row>
    <row r="18" spans="3:3" ht="13">
      <c r="C18" s="48" t="s">
        <v>1499</v>
      </c>
    </row>
    <row r="21" spans="3:3" ht="13">
      <c r="C21" s="48" t="s">
        <v>1500</v>
      </c>
    </row>
    <row r="24" spans="3:3" ht="13">
      <c r="C24" s="48" t="s">
        <v>1501</v>
      </c>
    </row>
    <row r="27" spans="3:3" ht="13">
      <c r="C27" s="48" t="s">
        <v>1502</v>
      </c>
    </row>
    <row r="29" spans="3:3" ht="13">
      <c r="C29" s="48" t="s">
        <v>1503</v>
      </c>
    </row>
  </sheetData>
  <hyperlinks>
    <hyperlink ref="A1" location="Main!A1" display="Main" xr:uid="{63FA3FB4-D1A7-49B3-853F-990645F160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D5D4-3FD9-470E-8E64-F390D179BB28}">
  <dimension ref="A1:C11"/>
  <sheetViews>
    <sheetView workbookViewId="0"/>
  </sheetViews>
  <sheetFormatPr defaultRowHeight="12.5"/>
  <cols>
    <col min="1" max="1" width="4.6328125" bestFit="1" customWidth="1"/>
    <col min="2" max="2" width="11.26953125" bestFit="1" customWidth="1"/>
  </cols>
  <sheetData>
    <row r="1" spans="1:3">
      <c r="A1" s="11" t="s">
        <v>5</v>
      </c>
    </row>
    <row r="2" spans="1:3">
      <c r="B2" s="102" t="s">
        <v>1201</v>
      </c>
      <c r="C2" s="102" t="s">
        <v>1230</v>
      </c>
    </row>
    <row r="3" spans="1:3">
      <c r="B3" s="102" t="s">
        <v>1210</v>
      </c>
      <c r="C3" s="102" t="s">
        <v>1433</v>
      </c>
    </row>
    <row r="4" spans="1:3">
      <c r="B4" s="102" t="s">
        <v>3</v>
      </c>
      <c r="C4" s="102" t="s">
        <v>1367</v>
      </c>
    </row>
    <row r="5" spans="1:3">
      <c r="B5" s="102" t="s">
        <v>899</v>
      </c>
      <c r="C5" s="102" t="s">
        <v>1434</v>
      </c>
    </row>
    <row r="6" spans="1:3">
      <c r="B6" s="102" t="s">
        <v>806</v>
      </c>
    </row>
    <row r="7" spans="1:3">
      <c r="B7" s="102" t="s">
        <v>322</v>
      </c>
    </row>
    <row r="8" spans="1:3" ht="13">
      <c r="C8" s="48" t="s">
        <v>1431</v>
      </c>
    </row>
    <row r="9" spans="1:3">
      <c r="C9" s="102" t="s">
        <v>1432</v>
      </c>
    </row>
    <row r="11" spans="1:3" ht="13">
      <c r="C11" s="48" t="s">
        <v>1430</v>
      </c>
    </row>
  </sheetData>
  <hyperlinks>
    <hyperlink ref="A1" location="Main!A1" display="Main" xr:uid="{C072C92A-6B65-45C8-BCD5-B332FBB0D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A4C2-36DA-40D5-BCF5-9E7EF72B78E6}">
  <dimension ref="A1:C22"/>
  <sheetViews>
    <sheetView zoomScale="145" zoomScaleNormal="145" workbookViewId="0"/>
  </sheetViews>
  <sheetFormatPr defaultRowHeight="12.5"/>
  <cols>
    <col min="1" max="1" width="4.6328125" bestFit="1" customWidth="1"/>
    <col min="2" max="2" width="13.7265625" customWidth="1"/>
  </cols>
  <sheetData>
    <row r="1" spans="1:3">
      <c r="A1" s="11" t="s">
        <v>5</v>
      </c>
    </row>
    <row r="2" spans="1:3">
      <c r="B2" s="102" t="s">
        <v>1201</v>
      </c>
      <c r="C2" s="102" t="s">
        <v>1487</v>
      </c>
    </row>
    <row r="3" spans="1:3">
      <c r="B3" s="102" t="s">
        <v>1210</v>
      </c>
      <c r="C3" s="102" t="s">
        <v>1483</v>
      </c>
    </row>
    <row r="4" spans="1:3">
      <c r="B4" s="102" t="s">
        <v>3</v>
      </c>
      <c r="C4" s="102" t="s">
        <v>1484</v>
      </c>
    </row>
    <row r="5" spans="1:3">
      <c r="B5" s="102" t="s">
        <v>806</v>
      </c>
      <c r="C5" s="102" t="s">
        <v>1485</v>
      </c>
    </row>
    <row r="6" spans="1:3">
      <c r="B6" s="102" t="s">
        <v>899</v>
      </c>
      <c r="C6" s="102" t="s">
        <v>1486</v>
      </c>
    </row>
    <row r="7" spans="1:3">
      <c r="B7" s="102" t="s">
        <v>981</v>
      </c>
      <c r="C7" s="102" t="s">
        <v>1496</v>
      </c>
    </row>
    <row r="8" spans="1:3">
      <c r="B8" s="102" t="s">
        <v>6</v>
      </c>
    </row>
    <row r="9" spans="1:3">
      <c r="B9" s="102" t="s">
        <v>322</v>
      </c>
    </row>
    <row r="10" spans="1:3" ht="13">
      <c r="C10" s="48" t="s">
        <v>1488</v>
      </c>
    </row>
    <row r="11" spans="1:3">
      <c r="C11" s="102" t="s">
        <v>1489</v>
      </c>
    </row>
    <row r="14" spans="1:3" ht="13">
      <c r="C14" s="48" t="s">
        <v>1490</v>
      </c>
    </row>
    <row r="19" spans="3:3" ht="13">
      <c r="C19" s="48" t="s">
        <v>1494</v>
      </c>
    </row>
    <row r="22" spans="3:3" ht="13">
      <c r="C22" s="48" t="s">
        <v>1495</v>
      </c>
    </row>
  </sheetData>
  <hyperlinks>
    <hyperlink ref="A1" location="Main!A1" display="Main" xr:uid="{AC7CD245-464F-41F1-90F8-27ABAC88C8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A504-3832-44CF-BCF5-60E45D891A5E}">
  <dimension ref="A1:C21"/>
  <sheetViews>
    <sheetView workbookViewId="0"/>
  </sheetViews>
  <sheetFormatPr defaultRowHeight="12.5"/>
  <cols>
    <col min="1" max="1" width="4.6328125" bestFit="1" customWidth="1"/>
    <col min="2" max="2" width="12.26953125" bestFit="1" customWidth="1"/>
  </cols>
  <sheetData>
    <row r="1" spans="1:3">
      <c r="A1" s="11" t="s">
        <v>5</v>
      </c>
    </row>
    <row r="2" spans="1:3">
      <c r="B2" s="102" t="s">
        <v>1201</v>
      </c>
      <c r="C2" s="102" t="s">
        <v>1479</v>
      </c>
    </row>
    <row r="3" spans="1:3">
      <c r="B3" s="102" t="s">
        <v>1210</v>
      </c>
      <c r="C3" s="102" t="s">
        <v>1472</v>
      </c>
    </row>
    <row r="4" spans="1:3">
      <c r="B4" s="102" t="s">
        <v>3</v>
      </c>
      <c r="C4" s="102" t="s">
        <v>1473</v>
      </c>
    </row>
    <row r="5" spans="1:3">
      <c r="B5" s="102" t="s">
        <v>899</v>
      </c>
      <c r="C5" s="102" t="s">
        <v>1470</v>
      </c>
    </row>
    <row r="6" spans="1:3">
      <c r="B6" s="102" t="s">
        <v>806</v>
      </c>
      <c r="C6" s="102" t="s">
        <v>1471</v>
      </c>
    </row>
    <row r="7" spans="1:3">
      <c r="B7" s="102" t="s">
        <v>322</v>
      </c>
    </row>
    <row r="8" spans="1:3" ht="13">
      <c r="C8" s="48" t="s">
        <v>1474</v>
      </c>
    </row>
    <row r="11" spans="1:3" ht="13">
      <c r="C11" s="48" t="s">
        <v>1475</v>
      </c>
    </row>
    <row r="12" spans="1:3">
      <c r="C12" s="102" t="s">
        <v>1480</v>
      </c>
    </row>
    <row r="14" spans="1:3" ht="13">
      <c r="C14" s="48" t="s">
        <v>1476</v>
      </c>
    </row>
    <row r="15" spans="1:3">
      <c r="C15" s="102" t="s">
        <v>1481</v>
      </c>
    </row>
    <row r="17" spans="3:3" ht="13">
      <c r="C17" s="48" t="s">
        <v>1477</v>
      </c>
    </row>
    <row r="18" spans="3:3">
      <c r="C18" s="102" t="s">
        <v>1482</v>
      </c>
    </row>
    <row r="21" spans="3:3" ht="13">
      <c r="C21" s="48" t="s">
        <v>1478</v>
      </c>
    </row>
  </sheetData>
  <hyperlinks>
    <hyperlink ref="A1" location="Main!A1" display="Main" xr:uid="{DEFC525E-317C-4EA6-9633-91D8A89AD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7171-047C-474A-985E-96C9DAF46637}">
  <dimension ref="A1:C30"/>
  <sheetViews>
    <sheetView zoomScale="160" zoomScaleNormal="160" workbookViewId="0"/>
  </sheetViews>
  <sheetFormatPr defaultRowHeight="12.5"/>
  <cols>
    <col min="1" max="1" width="4.6328125" bestFit="1" customWidth="1"/>
    <col min="2" max="2" width="13" customWidth="1"/>
  </cols>
  <sheetData>
    <row r="1" spans="1:3">
      <c r="A1" s="11" t="s">
        <v>5</v>
      </c>
    </row>
    <row r="2" spans="1:3">
      <c r="B2" s="102" t="s">
        <v>1201</v>
      </c>
      <c r="C2" s="102" t="s">
        <v>1191</v>
      </c>
    </row>
    <row r="3" spans="1:3">
      <c r="B3" s="102" t="s">
        <v>1210</v>
      </c>
      <c r="C3" s="102" t="s">
        <v>1447</v>
      </c>
    </row>
    <row r="4" spans="1:3">
      <c r="B4" s="102" t="s">
        <v>3</v>
      </c>
      <c r="C4" s="102" t="s">
        <v>1450</v>
      </c>
    </row>
    <row r="5" spans="1:3">
      <c r="B5" s="102" t="s">
        <v>6</v>
      </c>
      <c r="C5" s="102" t="s">
        <v>1136</v>
      </c>
    </row>
    <row r="6" spans="1:3">
      <c r="B6" s="102" t="s">
        <v>806</v>
      </c>
    </row>
    <row r="7" spans="1:3">
      <c r="B7" s="102" t="s">
        <v>899</v>
      </c>
      <c r="C7" s="102" t="s">
        <v>1448</v>
      </c>
    </row>
    <row r="8" spans="1:3">
      <c r="B8" s="102"/>
      <c r="C8" s="102" t="s">
        <v>1453</v>
      </c>
    </row>
    <row r="9" spans="1:3">
      <c r="B9" s="102" t="s">
        <v>322</v>
      </c>
    </row>
    <row r="10" spans="1:3" ht="13">
      <c r="C10" s="48" t="s">
        <v>1451</v>
      </c>
    </row>
    <row r="13" spans="1:3" ht="13">
      <c r="C13" s="48" t="s">
        <v>1452</v>
      </c>
    </row>
    <row r="16" spans="1:3" ht="13">
      <c r="C16" s="48" t="s">
        <v>1454</v>
      </c>
    </row>
    <row r="20" spans="3:3" ht="13">
      <c r="C20" s="48" t="s">
        <v>1458</v>
      </c>
    </row>
    <row r="23" spans="3:3" ht="13">
      <c r="C23" s="48" t="s">
        <v>1455</v>
      </c>
    </row>
    <row r="26" spans="3:3" ht="13">
      <c r="C26" s="48" t="s">
        <v>1456</v>
      </c>
    </row>
    <row r="30" spans="3:3" ht="13">
      <c r="C30" s="48" t="s">
        <v>1457</v>
      </c>
    </row>
  </sheetData>
  <hyperlinks>
    <hyperlink ref="A1" location="Main!A1" display="Main" xr:uid="{71EB3325-D0DD-45EF-B8C7-26F1DCB8D6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1</vt:i4>
      </vt:variant>
    </vt:vector>
  </HeadingPairs>
  <TitlesOfParts>
    <vt:vector size="47" baseType="lpstr">
      <vt:lpstr>Master</vt:lpstr>
      <vt:lpstr>Main</vt:lpstr>
      <vt:lpstr>Model</vt:lpstr>
      <vt:lpstr>Repatha</vt:lpstr>
      <vt:lpstr>Imdelltra</vt:lpstr>
      <vt:lpstr>Krystexxa</vt:lpstr>
      <vt:lpstr>Blincyto</vt:lpstr>
      <vt:lpstr>Otezla</vt:lpstr>
      <vt:lpstr>Tezspire</vt:lpstr>
      <vt:lpstr>Tepezza</vt:lpstr>
      <vt:lpstr>Tavneos</vt:lpstr>
      <vt:lpstr>Uplizna</vt:lpstr>
      <vt:lpstr>Enbrel</vt:lpstr>
      <vt:lpstr>Lumakras</vt:lpstr>
      <vt:lpstr>Neulasta</vt:lpstr>
      <vt:lpstr>olpasiran</vt:lpstr>
      <vt:lpstr>xaluritamig</vt:lpstr>
      <vt:lpstr>bemarituzumab</vt:lpstr>
      <vt:lpstr>maridebart cafraglutide</vt:lpstr>
      <vt:lpstr>rocatinlimab</vt:lpstr>
      <vt:lpstr>Neupogen</vt:lpstr>
      <vt:lpstr>Epogen</vt:lpstr>
      <vt:lpstr>EPO safety</vt:lpstr>
      <vt:lpstr>Aranesp</vt:lpstr>
      <vt:lpstr>G-CSF</vt:lpstr>
      <vt:lpstr>Sensipar</vt:lpstr>
      <vt:lpstr>Nplate</vt:lpstr>
      <vt:lpstr>Vectibix</vt:lpstr>
      <vt:lpstr>Denosumab</vt:lpstr>
      <vt:lpstr>Denosumab trials</vt:lpstr>
      <vt:lpstr>Kineret</vt:lpstr>
      <vt:lpstr>193</vt:lpstr>
      <vt:lpstr>706</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2025-02-12T16:12:32Z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