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7AAA396-F43D-4C68-A82B-EBDB865FC286}" xr6:coauthVersionLast="47" xr6:coauthVersionMax="47" xr10:uidLastSave="{00000000-0000-0000-0000-000000000000}"/>
  <bookViews>
    <workbookView xWindow="12100" yWindow="390" windowWidth="26380" windowHeight="17850" firstSheet="1" activeTab="2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Q20" i="2" l="1"/>
  <c r="DU20" i="2" s="1"/>
  <c r="DQ29" i="2"/>
  <c r="DU25" i="2"/>
  <c r="DQ110" i="2"/>
  <c r="DQ121" i="2" s="1"/>
  <c r="DQ97" i="2"/>
  <c r="DQ103" i="2"/>
  <c r="DQ108" i="2" s="1"/>
  <c r="DK67" i="2"/>
  <c r="DM68" i="2"/>
  <c r="DQ68" i="2"/>
  <c r="DR41" i="2"/>
  <c r="DS41" i="2" s="1"/>
  <c r="DT41" i="2" s="1"/>
  <c r="DU41" i="2" s="1"/>
  <c r="DV41" i="2" s="1"/>
  <c r="DR39" i="2"/>
  <c r="DS39" i="2" s="1"/>
  <c r="DT39" i="2" s="1"/>
  <c r="DU39" i="2" s="1"/>
  <c r="DV39" i="2" s="1"/>
  <c r="DR36" i="2"/>
  <c r="DS36" i="2" s="1"/>
  <c r="DT36" i="2" s="1"/>
  <c r="DU36" i="2" s="1"/>
  <c r="DV36" i="2" s="1"/>
  <c r="DR35" i="2"/>
  <c r="DS35" i="2" s="1"/>
  <c r="DT35" i="2" s="1"/>
  <c r="DU35" i="2" s="1"/>
  <c r="DV35" i="2" s="1"/>
  <c r="DR34" i="2"/>
  <c r="DS34" i="2" s="1"/>
  <c r="DT34" i="2" s="1"/>
  <c r="DU34" i="2" s="1"/>
  <c r="DV34" i="2" s="1"/>
  <c r="DS33" i="2"/>
  <c r="DT33" i="2" s="1"/>
  <c r="DU33" i="2" s="1"/>
  <c r="DV33" i="2" s="1"/>
  <c r="DS32" i="2"/>
  <c r="DT32" i="2" s="1"/>
  <c r="DU32" i="2" s="1"/>
  <c r="DV32" i="2" s="1"/>
  <c r="DR13" i="2"/>
  <c r="DS13" i="2" s="1"/>
  <c r="DT13" i="2" s="1"/>
  <c r="DU13" i="2" s="1"/>
  <c r="DV13" i="2" s="1"/>
  <c r="DR30" i="2"/>
  <c r="DS30" i="2" s="1"/>
  <c r="DT30" i="2" s="1"/>
  <c r="DU30" i="2" s="1"/>
  <c r="DV30" i="2" s="1"/>
  <c r="DU29" i="2"/>
  <c r="DT29" i="2"/>
  <c r="DS29" i="2"/>
  <c r="DU26" i="2"/>
  <c r="DT26" i="2"/>
  <c r="DS26" i="2"/>
  <c r="DU24" i="2"/>
  <c r="DT24" i="2"/>
  <c r="DU23" i="2"/>
  <c r="DT23" i="2"/>
  <c r="DU22" i="2"/>
  <c r="DT22" i="2"/>
  <c r="DU21" i="2"/>
  <c r="DT21" i="2"/>
  <c r="DT20" i="2"/>
  <c r="DU19" i="2"/>
  <c r="DT19" i="2"/>
  <c r="DU18" i="2"/>
  <c r="DT18" i="2"/>
  <c r="DS18" i="2"/>
  <c r="DS19" i="2"/>
  <c r="DS20" i="2"/>
  <c r="DS21" i="2"/>
  <c r="DS22" i="2"/>
  <c r="DS23" i="2"/>
  <c r="DS24" i="2"/>
  <c r="DU17" i="2"/>
  <c r="DT17" i="2"/>
  <c r="DS17" i="2"/>
  <c r="DU16" i="2"/>
  <c r="DT16" i="2"/>
  <c r="DS16" i="2"/>
  <c r="DU15" i="2"/>
  <c r="DT15" i="2"/>
  <c r="DS15" i="2"/>
  <c r="DU14" i="2"/>
  <c r="DT14" i="2"/>
  <c r="DS14" i="2"/>
  <c r="DU10" i="2"/>
  <c r="DT10" i="2"/>
  <c r="DS10" i="2"/>
  <c r="DU9" i="2"/>
  <c r="DT9" i="2"/>
  <c r="DS9" i="2"/>
  <c r="DQ67" i="2" l="1"/>
  <c r="DQ69" i="2" s="1"/>
  <c r="DR7" i="2"/>
  <c r="DS7" i="2" s="1"/>
  <c r="DT7" i="2" s="1"/>
  <c r="DU7" i="2" s="1"/>
  <c r="DV7" i="2" s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P67" i="2"/>
  <c r="DO67" i="2"/>
  <c r="FK33" i="2"/>
  <c r="FK32" i="2"/>
  <c r="DR19" i="2"/>
  <c r="DV19" i="2" s="1"/>
  <c r="DR10" i="2"/>
  <c r="DV10" i="2" s="1"/>
  <c r="DR9" i="2"/>
  <c r="DV9" i="2" s="1"/>
  <c r="DR6" i="2"/>
  <c r="DS6" i="2" s="1"/>
  <c r="DT6" i="2" s="1"/>
  <c r="DU6" i="2" s="1"/>
  <c r="DV6" i="2" s="1"/>
  <c r="DR26" i="2"/>
  <c r="DV26" i="2" s="1"/>
  <c r="DR24" i="2"/>
  <c r="DV24" i="2" s="1"/>
  <c r="DR22" i="2"/>
  <c r="DV22" i="2" s="1"/>
  <c r="DR16" i="2"/>
  <c r="DV16" i="2" s="1"/>
  <c r="DR15" i="2"/>
  <c r="DV15" i="2" s="1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Q145" i="2" s="1"/>
  <c r="DP143" i="2"/>
  <c r="DQ143" i="2" s="1"/>
  <c r="DP142" i="2"/>
  <c r="DQ142" i="2" s="1"/>
  <c r="DP141" i="2"/>
  <c r="DQ141" i="2" s="1"/>
  <c r="DP140" i="2"/>
  <c r="DQ140" i="2" s="1"/>
  <c r="DP136" i="2"/>
  <c r="DQ136" i="2" s="1"/>
  <c r="DP137" i="2"/>
  <c r="DQ137" i="2" s="1"/>
  <c r="DP134" i="2"/>
  <c r="DQ134" i="2" s="1"/>
  <c r="DP131" i="2"/>
  <c r="DQ131" i="2" s="1"/>
  <c r="DP130" i="2"/>
  <c r="DQ130" i="2" s="1"/>
  <c r="DP129" i="2"/>
  <c r="DQ129" i="2" s="1"/>
  <c r="DP128" i="2"/>
  <c r="DQ128" i="2" s="1"/>
  <c r="DP127" i="2"/>
  <c r="DQ127" i="2" s="1"/>
  <c r="DP126" i="2"/>
  <c r="DQ126" i="2" s="1"/>
  <c r="DP125" i="2"/>
  <c r="DQ125" i="2" s="1"/>
  <c r="DP124" i="2"/>
  <c r="DQ124" i="2" s="1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Q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DQ144" i="2" l="1"/>
  <c r="DM67" i="2"/>
  <c r="DM69" i="2" s="1"/>
  <c r="DQ138" i="2"/>
  <c r="DQ132" i="2"/>
  <c r="FJ25" i="2"/>
  <c r="FJ17" i="2"/>
  <c r="DR17" i="2"/>
  <c r="DV17" i="2" s="1"/>
  <c r="FJ21" i="2"/>
  <c r="DR21" i="2"/>
  <c r="DV21" i="2" s="1"/>
  <c r="FJ23" i="2"/>
  <c r="DR23" i="2"/>
  <c r="DV23" i="2" s="1"/>
  <c r="FJ14" i="2"/>
  <c r="DR14" i="2"/>
  <c r="DV14" i="2" s="1"/>
  <c r="FJ18" i="2"/>
  <c r="DR18" i="2"/>
  <c r="DV18" i="2" s="1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DS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T5" i="2" l="1"/>
  <c r="DS3" i="2"/>
  <c r="DQ146" i="2"/>
  <c r="FJ29" i="2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U5" i="2" l="1"/>
  <c r="DT3" i="2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DV5" i="2" l="1"/>
  <c r="DU3" i="2"/>
  <c r="BK3" i="33"/>
  <c r="BK22" i="33" s="1"/>
  <c r="BK24" i="33" s="1"/>
  <c r="BK25" i="33" s="1"/>
  <c r="BJ10" i="33"/>
  <c r="DV3" i="2" l="1"/>
  <c r="BJ3" i="33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FJ79" i="2" l="1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FK71" i="2"/>
  <c r="FJ71" i="2"/>
  <c r="DP3" i="2"/>
  <c r="FI74" i="2"/>
  <c r="DK108" i="2"/>
  <c r="DN108" i="2"/>
  <c r="FJ108" i="2" s="1"/>
  <c r="DR72" i="2"/>
  <c r="FK19" i="2"/>
  <c r="FK16" i="2"/>
  <c r="DP72" i="2"/>
  <c r="FI70" i="2"/>
  <c r="FK15" i="2"/>
  <c r="FI71" i="2"/>
  <c r="DN95" i="2"/>
  <c r="FJ95" i="2" s="1"/>
  <c r="FK26" i="2"/>
  <c r="FK7" i="2"/>
  <c r="DR12" i="2"/>
  <c r="DS12" i="2" s="1"/>
  <c r="DT12" i="2" s="1"/>
  <c r="DU12" i="2" s="1"/>
  <c r="DV12" i="2" s="1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R79" i="2" l="1"/>
  <c r="DQ150" i="2"/>
  <c r="DQ72" i="2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S11" i="2" s="1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DT11" i="2" l="1"/>
  <c r="DS67" i="2"/>
  <c r="DS81" i="2" s="1"/>
  <c r="CM88" i="2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U11" i="2" l="1"/>
  <c r="DT67" i="2"/>
  <c r="DT81" i="2" s="1"/>
  <c r="DG146" i="2"/>
  <c r="FG90" i="2"/>
  <c r="FH67" i="2"/>
  <c r="DI135" i="2"/>
  <c r="DH138" i="2"/>
  <c r="DF138" i="2"/>
  <c r="DH144" i="2"/>
  <c r="DI141" i="2"/>
  <c r="FK27" i="2"/>
  <c r="DN67" i="2"/>
  <c r="DN69" i="2" s="1"/>
  <c r="DQ93" i="2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DV11" i="2" l="1"/>
  <c r="DV67" i="2" s="1"/>
  <c r="DV81" i="2" s="1"/>
  <c r="DU67" i="2"/>
  <c r="DU81" i="2" s="1"/>
  <c r="FL27" i="2"/>
  <c r="FM27" i="2" s="1"/>
  <c r="FN27" i="2" s="1"/>
  <c r="FO27" i="2" s="1"/>
  <c r="FP27" i="2" s="1"/>
  <c r="FQ27" i="2" s="1"/>
  <c r="FK67" i="2"/>
  <c r="FK81" i="2" s="1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DQ78" i="2" l="1"/>
  <c r="DQ123" i="2"/>
  <c r="FK69" i="2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FI6" authorId="6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7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8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8" authorId="9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8" authorId="10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9" authorId="11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9" authorId="12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0" authorId="13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0" authorId="14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16" authorId="17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18" authorId="20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5" authorId="23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5" authorId="24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5" authorId="25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28" authorId="2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1" authorId="28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1" authorId="29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36" authorId="30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37" authorId="31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2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49" authorId="33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4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67" authorId="35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67" authorId="36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67" authorId="37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67" authorId="38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67" authorId="39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67" authorId="40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67" authorId="41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67" authorId="42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67" authorId="43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67" authorId="44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6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67" authorId="47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8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77" authorId="49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77" authorId="50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77" authorId="51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78" authorId="5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3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78" authorId="54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78" authorId="55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6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</text>
    </comment>
    <comment ref="DN81" authorId="57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1" authorId="58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9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<sst xmlns="http://schemas.openxmlformats.org/spreadsheetml/2006/main" count="1493" uniqueCount="1008">
  <si>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</si>
  <si>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</si>
  <si>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</si>
  <si>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</si>
  <si>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</si>
  <si>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</si>
  <si>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</si>
  <si>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</si>
  <si>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</si>
  <si>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</si>
  <si>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</si>
  <si>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</si>
  <si>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</si>
  <si>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</si>
  <si>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</si>
  <si>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</si>
  <si>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</si>
  <si>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</si>
  <si>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</si>
  <si>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</si>
  <si>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</si>
  <si>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</si>
  <si>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</si>
  <si>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</si>
  <si>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</si>
  <si>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</si>
  <si>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</si>
  <si>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</si>
  <si>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</si>
  <si>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</si>
  <si>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</si>
  <si>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</si>
  <si>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</si>
  <si>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</si>
  <si>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</si>
  <si>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</si>
  <si>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</si>
  <si>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</si>
  <si>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</si>
  <si>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</si>
  <si>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</si>
  <si>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</si>
  <si>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</si>
  <si>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</si>
  <si>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</si>
  <si>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</si>
  <si>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</si>
  <si>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</si>
  <si>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</si>
  <si>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</si>
  <si>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</si>
  <si>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</si>
  <si>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</si>
  <si>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</si>
  <si>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</si>
  <si>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</si>
  <si>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</si>
  <si>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</si>
  <si>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</si>
  <si>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</si>
  <si>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</si>
  <si>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</si>
  <si>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</si>
  <si>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</si>
  <si>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</si>
  <si>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</si>
  <si>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</si>
  <si>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</si>
  <si>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</si>
  <si>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</si>
  <si>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</si>
  <si>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</si>
  <si>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</si>
  <si>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</si>
  <si>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</si>
  <si>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</si>
  <si>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</si>
  <si>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</si>
  <si>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</si>
  <si>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</si>
  <si>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</si>
  <si>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</si>
  <si>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</si>
  <si>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</si>
  <si>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</si>
  <si>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</si>
  <si>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</si>
  <si>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</si>
  <si>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</si>
  <si>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</si>
  <si>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</si>
  <si>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</si>
  <si>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</si>
  <si>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</si>
  <si>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</si>
  <si>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</si>
  <si>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</si>
  <si>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</si>
  <si>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</si>
  <si>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</si>
  <si>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</si>
  <si>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</si>
  <si>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</si>
  <si>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</si>
  <si>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</si>
  <si>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</si>
  <si>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</si>
  <si>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</si>
  <si>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</si>
  <si>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</si>
  <si>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</si>
  <si>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</si>
  <si>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</si>
  <si>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</si>
  <si>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</si>
  <si>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</si>
  <si>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</si>
  <si>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</si>
  <si>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</si>
  <si>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</si>
  <si>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</si>
  <si>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</si>
  <si>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</si>
  <si>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</si>
  <si>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</si>
  <si>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</si>
  <si>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</si>
  <si>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</si>
  <si>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</si>
  <si>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</si>
  <si>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</si>
  <si>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</si>
  <si>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</si>
  <si>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</si>
  <si>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</si>
  <si>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</si>
  <si>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</si>
  <si>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</si>
  <si>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</si>
  <si>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</si>
  <si>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</si>
  <si>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</si>
  <si>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</si>
  <si>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</si>
  <si>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</si>
  <si>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</si>
  <si>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</si>
  <si>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</si>
  <si>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</si>
  <si>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</si>
  <si>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</si>
  <si>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</si>
  <si>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</si>
  <si>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</si>
  <si>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</si>
  <si>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</si>
  <si>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</si>
  <si>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</si>
  <si>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</si>
  <si>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</si>
  <si>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</si>
  <si>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</si>
  <si>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</si>
  <si>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</si>
  <si>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</si>
  <si>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</si>
  <si>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</si>
  <si>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</si>
  <si>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</si>
  <si>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</si>
  <si>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</si>
  <si>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</si>
  <si>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</si>
  <si>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</si>
  <si>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</si>
  <si>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</si>
  <si>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</si>
  <si>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</si>
  <si>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</si>
  <si>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</si>
  <si>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</si>
  <si>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</si>
  <si>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</si>
  <si>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</si>
  <si>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</si>
  <si>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</si>
  <si>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</si>
  <si>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</si>
  <si>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</si>
  <si>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</si>
  <si>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</si>
  <si>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</si>
  <si>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</si>
  <si>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</si>
  <si>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</si>
  <si>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</si>
  <si>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</si>
  <si>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</si>
  <si>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</si>
  <si>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</si>
  <si>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</si>
  <si>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</si>
  <si>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</si>
  <si>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</si>
  <si>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</si>
  <si>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</si>
  <si>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</si>
  <si>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</si>
  <si>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</si>
  <si>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</si>
  <si>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</si>
  <si>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</si>
  <si>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</si>
  <si>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</si>
  <si>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</si>
  <si>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</si>
  <si>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</si>
  <si>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</si>
  <si>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</si>
  <si>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</si>
  <si>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</si>
  <si>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</si>
  <si>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</si>
  <si>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</si>
  <si>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</si>
  <si>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</si>
  <si>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</si>
  <si>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</si>
  <si>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</si>
  <si>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</si>
  <si>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</si>
  <si>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</si>
  <si>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</si>
  <si>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</si>
  <si>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</si>
  <si>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</si>
  <si>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</si>
  <si>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</si>
  <si>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</si>
  <si>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</si>
  <si>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</si>
  <si>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</si>
  <si>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</si>
  <si>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</si>
  <si>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</si>
  <si>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</si>
  <si>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</si>
  <si>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</si>
  <si>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</si>
  <si>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</si>
  <si>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</si>
  <si>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</si>
  <si>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</si>
  <si>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</si>
  <si>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</si>
  <si>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</si>
  <si>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</si>
  <si>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</si>
  <si>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</si>
  <si>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</si>
  <si>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</si>
  <si>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</si>
  <si>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</si>
  <si>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</si>
  <si>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</si>
  <si>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</si>
  <si>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</si>
  <si>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</si>
  <si>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</si>
  <si>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</si>
  <si>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</si>
  <si>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</si>
  <si>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</si>
  <si>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</si>
  <si>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</si>
  <si>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</si>
  <si>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</si>
  <si>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</si>
  <si>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</si>
  <si>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</si>
  <si>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</si>
  <si>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</si>
  <si>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</si>
  <si>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</si>
  <si>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</si>
  <si>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</si>
  <si>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</si>
  <si>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</si>
  <si>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</si>
  <si>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</si>
  <si>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</si>
  <si>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</si>
  <si>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</si>
  <si>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</si>
  <si>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</si>
  <si>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</si>
  <si>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</si>
  <si>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</si>
  <si>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</si>
  <si>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</si>
  <si>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</si>
  <si>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</si>
  <si>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</si>
  <si>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</si>
  <si>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</si>
  <si>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</si>
  <si>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</si>
  <si>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</si>
  <si>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</si>
  <si>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</si>
  <si>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</si>
  <si>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</si>
  <si>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</si>
  <si>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</si>
  <si>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</si>
  <si>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</si>
  <si>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</si>
  <si>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</si>
  <si>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</si>
  <si>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</si>
  <si>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</si>
  <si>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</si>
  <si>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</si>
  <si>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</si>
  <si>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</si>
  <si>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</si>
  <si>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</si>
  <si>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</si>
  <si>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</si>
  <si>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</si>
  <si>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</si>
  <si>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</si>
  <si>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</si>
  <si>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</si>
  <si>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</si>
  <si>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</si>
  <si>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</si>
  <si>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</si>
  <si>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</si>
  <si>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</si>
  <si>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</si>
  <si>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</si>
  <si>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</si>
  <si>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</si>
  <si>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</si>
  <si>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</si>
  <si>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</si>
  <si>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</si>
  <si>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</si>
  <si>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</si>
  <si>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</si>
  <si>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</si>
  <si>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</si>
  <si>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</si>
  <si>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</si>
  <si>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</si>
  <si>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</si>
  <si>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</si>
  <si>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</si>
  <si>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</si>
  <si>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</si>
  <si>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</si>
  <si>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</si>
  <si>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</si>
  <si>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</si>
  <si>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</si>
  <si>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</si>
  <si>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</si>
  <si>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</si>
  <si>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</si>
  <si>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</si>
  <si>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</si>
  <si>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</si>
  <si>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</si>
  <si>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</si>
  <si>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</si>
  <si>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</si>
  <si>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</si>
  <si>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</si>
  <si>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</si>
  <si>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</si>
  <si>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</si>
  <si>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</si>
  <si>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</si>
  <si>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</si>
  <si>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</si>
  <si>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</si>
  <si>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</si>
  <si>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</si>
  <si>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</si>
  <si>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</si>
  <si>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</si>
  <si>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</si>
  <si>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</si>
  <si>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</si>
  <si>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</si>
  <si>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</si>
  <si>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</si>
  <si>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</si>
  <si>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</si>
  <si>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</si>
  <si>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</si>
  <si>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</si>
  <si>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</si>
  <si>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</si>
  <si>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</si>
  <si>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</si>
  <si>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</si>
  <si>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</si>
  <si>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</si>
  <si>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</si>
  <si>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</si>
  <si>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</si>
  <si>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</si>
  <si>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</si>
  <si>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</si>
  <si>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</si>
  <si>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</si>
  <si>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</si>
  <si>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</si>
  <si>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</si>
  <si>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</si>
  <si>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</si>
  <si>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</si>
  <si>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</si>
  <si>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</si>
  <si>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</si>
  <si>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</si>
  <si>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</si>
  <si>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</si>
  <si>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</si>
  <si>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</si>
  <si>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</si>
  <si>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</si>
  <si>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</si>
  <si>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</si>
  <si>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</si>
  <si>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</si>
  <si>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</si>
  <si>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</si>
  <si>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</si>
  <si>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</si>
  <si>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</si>
  <si>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</si>
  <si>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</si>
  <si>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</si>
  <si>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</si>
  <si>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</si>
  <si>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</si>
  <si>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</si>
  <si>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</si>
  <si>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</si>
  <si>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</si>
  <si>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</si>
  <si>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</si>
  <si>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</si>
  <si>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</si>
  <si>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</si>
  <si>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</si>
  <si>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</si>
  <si>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</si>
  <si>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</si>
  <si>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</si>
  <si>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</si>
  <si>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</si>
  <si>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</si>
  <si>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</si>
  <si>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</si>
  <si>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</si>
  <si>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</si>
  <si>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</si>
  <si>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</si>
  <si>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</si>
  <si>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</si>
  <si>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</si>
  <si>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</si>
  <si>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</si>
  <si>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</si>
  <si>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</si>
  <si>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</si>
  <si>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</si>
  <si>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</si>
  <si>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</si>
  <si>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</si>
  <si>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</si>
  <si>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</si>
  <si>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</si>
  <si>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</si>
  <si>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</si>
  <si>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</si>
  <si>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</si>
  <si>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</si>
  <si>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</si>
  <si>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</si>
  <si>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</si>
  <si>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</si>
  <si>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</si>
  <si>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</si>
  <si>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</si>
  <si>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</si>
  <si>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</si>
  <si>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</si>
  <si>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</si>
  <si>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</si>
  <si>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</si>
  <si>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</si>
  <si>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</si>
  <si>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</si>
  <si>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</si>
  <si>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</si>
  <si>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</si>
  <si>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</si>
  <si>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</si>
  <si>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</si>
  <si>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</si>
  <si>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</si>
  <si>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</si>
  <si>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</si>
  <si>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</si>
  <si>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</si>
  <si>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</si>
  <si>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</si>
  <si>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</si>
  <si>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</si>
  <si>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</si>
  <si>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</si>
  <si>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</si>
  <si>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</si>
  <si>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</si>
  <si>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</si>
  <si>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</si>
  <si>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</si>
  <si>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</si>
  <si>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</si>
  <si>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</si>
  <si>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</si>
  <si>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</si>
  <si>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</si>
  <si>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</si>
  <si>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</si>
  <si>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</si>
  <si>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</si>
  <si>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</si>
  <si>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</si>
  <si>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</si>
  <si>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</si>
  <si>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</si>
  <si>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</si>
  <si>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</si>
  <si>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</si>
  <si>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</si>
  <si>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</si>
  <si>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</si>
  <si>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</si>
  <si>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</si>
  <si>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</si>
  <si>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</si>
  <si>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</si>
  <si>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</si>
  <si>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</si>
  <si>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</si>
  <si>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</si>
  <si>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</si>
  <si>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</si>
  <si>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</si>
  <si>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</si>
  <si>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</si>
  <si>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</si>
  <si>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</si>
  <si>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</si>
  <si>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</si>
  <si>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</si>
  <si>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</si>
  <si>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</si>
  <si>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</si>
  <si>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</si>
  <si>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</si>
  <si>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</si>
  <si>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</si>
  <si>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</si>
  <si>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</si>
  <si>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</si>
  <si>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</si>
  <si>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</si>
  <si>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</si>
  <si>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</si>
  <si>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</si>
  <si>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</si>
  <si>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</si>
  <si>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</si>
  <si>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</si>
  <si>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</si>
  <si>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</si>
  <si>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</si>
  <si>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</si>
  <si>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</si>
  <si>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</si>
  <si>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</si>
  <si>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</si>
  <si>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</si>
  <si>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</si>
  <si>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</si>
  <si>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</si>
  <si>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</si>
  <si>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</si>
  <si>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</si>
  <si>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</si>
  <si>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</si>
  <si>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</si>
  <si>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</si>
  <si>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</si>
  <si>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</si>
  <si>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</si>
  <si>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</si>
  <si>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</si>
  <si>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</si>
  <si>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</si>
  <si>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</si>
  <si>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</si>
  <si>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</si>
  <si>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</si>
  <si>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</si>
  <si>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</si>
  <si>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</si>
  <si>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</si>
  <si>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</si>
  <si>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</si>
  <si>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</si>
  <si>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</si>
  <si>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</si>
  <si>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</si>
  <si>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</si>
  <si>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</si>
  <si>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</si>
  <si>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</si>
  <si>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</si>
  <si>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</si>
  <si>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</si>
  <si>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</si>
  <si>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</si>
  <si>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</si>
  <si>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</si>
  <si>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</si>
  <si>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</si>
  <si>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</si>
  <si>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</si>
  <si>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</si>
  <si>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</si>
  <si>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</si>
  <si>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</si>
  <si>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</si>
  <si>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</si>
  <si>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</si>
  <si>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</si>
  <si>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</si>
  <si>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</si>
  <si>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</si>
  <si>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</si>
  <si>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</si>
  <si>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</si>
  <si>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</si>
  <si>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</si>
  <si>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</si>
  <si>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</si>
  <si>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</si>
  <si>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</si>
  <si>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</si>
  <si>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</si>
  <si>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</si>
  <si>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</si>
  <si>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</si>
  <si>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</si>
  <si>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</si>
  <si>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</si>
  <si>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</si>
  <si>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</si>
  <si>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</si>
  <si>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</si>
  <si>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</si>
  <si>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</si>
  <si>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</si>
  <si>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</si>
  <si>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</si>
  <si>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</si>
  <si>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</si>
  <si>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</si>
  <si>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</si>
  <si>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</si>
  <si>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</si>
  <si>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</si>
  <si>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</si>
  <si>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</si>
  <si>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</si>
  <si>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</si>
  <si>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</si>
  <si>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</si>
  <si>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</si>
  <si>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</si>
  <si>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</si>
  <si>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</si>
  <si>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</si>
  <si>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</si>
  <si>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</si>
  <si>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</si>
  <si>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</si>
  <si>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</si>
  <si>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</si>
  <si>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</si>
  <si>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</si>
  <si>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</si>
  <si>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</si>
  <si>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</si>
  <si>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</si>
  <si>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</si>
  <si>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</si>
  <si>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</si>
  <si>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</si>
  <si>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</si>
  <si>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</si>
  <si>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</si>
  <si>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</si>
  <si>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</si>
  <si>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</si>
  <si>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</si>
  <si>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</si>
  <si>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</si>
  <si>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</si>
  <si>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</si>
  <si>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</si>
  <si>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</si>
  <si>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</si>
  <si>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</si>
  <si>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</si>
  <si>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</si>
  <si>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</si>
  <si>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</si>
  <si>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</si>
  <si>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</si>
  <si>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</si>
  <si>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</si>
  <si>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</si>
  <si>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</si>
  <si>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</si>
  <si>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</si>
  <si>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</si>
  <si>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</si>
  <si>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</si>
  <si>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</si>
  <si>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</si>
  <si>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</si>
  <si>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</si>
  <si>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</si>
  <si>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</si>
  <si>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</si>
  <si>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</si>
  <si>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</si>
  <si>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</si>
  <si>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</si>
  <si>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</si>
  <si>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</si>
  <si>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</si>
  <si>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</si>
  <si>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</si>
  <si>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</si>
  <si>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</si>
  <si>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</si>
  <si>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</si>
  <si>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</si>
  <si>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</si>
  <si>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</si>
  <si>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</si>
  <si>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</si>
  <si>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</si>
  <si>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</si>
  <si>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</si>
  <si>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</si>
  <si>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</si>
  <si>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</si>
  <si>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</si>
  <si>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</si>
  <si>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</si>
  <si>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</si>
  <si>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</si>
  <si>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</si>
  <si>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</si>
  <si>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</si>
  <si>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</si>
  <si>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</si>
  <si>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</si>
  <si>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</si>
  <si>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</si>
  <si>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</si>
  <si>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</si>
  <si>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</si>
  <si>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</si>
  <si>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</si>
  <si>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</si>
  <si>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</si>
  <si>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</si>
  <si>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</si>
  <si>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</si>
  <si>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</si>
  <si>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</si>
  <si>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</si>
  <si>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</si>
  <si>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</si>
  <si>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</si>
  <si>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</si>
  <si>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</si>
  <si>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</si>
  <si>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</si>
  <si>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</si>
  <si>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</si>
  <si>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</si>
  <si>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</si>
  <si>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</si>
  <si>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</si>
  <si>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</si>
  <si>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</si>
  <si>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</si>
  <si>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</si>
  <si>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</si>
  <si>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</si>
  <si>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</si>
  <si>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</si>
  <si>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</si>
  <si>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</si>
  <si>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</si>
  <si>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</si>
  <si>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</si>
  <si>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</si>
  <si>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</si>
  <si>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</si>
  <si>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</si>
  <si>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</si>
  <si>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</si>
  <si>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</si>
  <si>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</si>
  <si>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</si>
  <si>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</si>
  <si>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</si>
  <si>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</si>
  <si>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</si>
  <si>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</si>
  <si>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</si>
  <si>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</si>
  <si>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</si>
  <si>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</si>
  <si>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</si>
  <si>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</si>
  <si>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</si>
  <si>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</si>
  <si>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</si>
  <si>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</si>
  <si>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</si>
  <si>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</si>
  <si>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</si>
  <si>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</si>
  <si>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</si>
  <si>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</si>
  <si>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</si>
  <si>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</si>
  <si>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</si>
  <si>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</si>
  <si>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</si>
  <si>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</si>
  <si>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</si>
  <si>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</si>
  <si>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</si>
  <si>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</si>
  <si>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</si>
  <si>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</si>
  <si>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</si>
  <si>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</si>
  <si>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</si>
  <si>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</si>
  <si>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</si>
  <si>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</si>
  <si>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</si>
  <si>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</si>
  <si>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</si>
  <si>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</si>
  <si>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</si>
  <si>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</si>
  <si>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</si>
  <si>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</si>
  <si>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</si>
  <si>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</si>
  <si>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</si>
  <si>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</si>
  <si>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</si>
  <si>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</si>
  <si>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</si>
  <si>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</si>
  <si>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</si>
  <si>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</si>
  <si>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</si>
  <si>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</si>
  <si>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</si>
  <si>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</si>
  <si>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</si>
  <si>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</si>
  <si>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</si>
  <si>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</si>
  <si>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</si>
  <si>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</si>
  <si>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</si>
  <si>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</si>
  <si>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</si>
  <si>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</si>
  <si>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</si>
  <si>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</si>
  <si>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</si>
  <si>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</si>
  <si>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</si>
  <si>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</si>
  <si>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</si>
  <si>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</si>
  <si>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</si>
  <si>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</si>
  <si>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</si>
  <si>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</si>
  <si>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</si>
  <si>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</si>
  <si>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</si>
  <si>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</si>
  <si>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</si>
  <si>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</si>
  <si>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</si>
  <si>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</si>
  <si>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</si>
  <si>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</si>
  <si>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</si>
  <si>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</si>
  <si>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</si>
  <si>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</si>
  <si>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</si>
  <si>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</si>
  <si>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</si>
  <si>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</si>
  <si>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</si>
  <si>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</si>
  <si>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</si>
  <si>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</si>
  <si>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</si>
  <si>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</si>
  <si>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</si>
  <si>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</si>
  <si>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</si>
  <si>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</si>
  <si>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</si>
  <si>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</si>
  <si>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</si>
  <si>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</si>
  <si>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</si>
  <si>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</si>
  <si>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</si>
  <si>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</si>
  <si>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</si>
  <si>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</si>
  <si>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</si>
  <si>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</si>
  <si>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</si>
  <si>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</si>
  <si>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</si>
  <si>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</si>
  <si>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</si>
  <si>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</si>
  <si>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</si>
  <si>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</si>
  <si>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</si>
  <si>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</si>
  <si>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</si>
  <si>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</si>
  <si>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</si>
  <si>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</si>
  <si>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</si>
  <si>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</si>
  <si>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</si>
  <si>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</si>
  <si>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</si>
  <si>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</si>
  <si>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</si>
  <si>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</si>
  <si>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</si>
  <si>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</si>
  <si>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</si>
  <si>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</si>
  <si>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</si>
  <si>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</si>
  <si>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</si>
  <si>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</si>
  <si>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</si>
  <si>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</si>
  <si>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</si>
  <si>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</si>
  <si>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</si>
  <si>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</si>
  <si>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</si>
  <si>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</si>
  <si>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</si>
  <si>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</si>
  <si>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</si>
  <si>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</si>
  <si>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</si>
  <si>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</si>
  <si>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</si>
  <si>
    <t>5/2024: NexPharm acquisition for $925m: Pleasant Prairie, Wisconsin 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</si>
</sst>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Q36" dT="2024-11-04T17:11:24.64" personId="{13399233-BA81-4949-9BE8-57EDDD85014C}" id="{FC35742F-78AD-4CF0-B81E-A497B85C76DA}">
    <text>Not launched in US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
Q324 guidance: 45.4-46.0B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1640625" defaultRowHeight="12.5" x14ac:dyDescent="0.25"/>
  <cols>
    <col min="1" max="1" width="5" bestFit="1" customWidth="1"/>
    <col min="2" max="2" width="13.453125" customWidth="1"/>
    <col min="3" max="3" width="12.1796875" customWidth="1"/>
    <col min="4" max="4" width="11.81640625" customWidth="1"/>
  </cols>
  <sheetData>
    <row r="1" spans="1:10" x14ac:dyDescent="0.25">
      <c r="A1" s="13" t="s">
        <v>6</v>
      </c>
    </row>
    <row r="2" spans="1:10" x14ac:dyDescent="0.2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25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25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25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5">
      <c r="B6" s="38" t="s">
        <v>993</v>
      </c>
      <c r="C6" s="38"/>
      <c r="D6" s="6"/>
      <c r="F6" s="40"/>
      <c r="G6" s="30"/>
      <c r="H6" s="6"/>
    </row>
    <row r="7" spans="1:10" x14ac:dyDescent="0.25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25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25">
      <c r="B9" s="38" t="s">
        <v>277</v>
      </c>
      <c r="C9" s="38"/>
      <c r="D9" s="38"/>
      <c r="E9" s="38"/>
    </row>
    <row r="10" spans="1:10" x14ac:dyDescent="0.25">
      <c r="B10" s="38" t="s">
        <v>454</v>
      </c>
      <c r="C10" s="38" t="s">
        <v>470</v>
      </c>
      <c r="D10" s="38"/>
      <c r="E10" s="38"/>
    </row>
    <row r="11" spans="1:10" x14ac:dyDescent="0.25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5">
      <c r="B12" s="38" t="s">
        <v>63</v>
      </c>
      <c r="C12" s="38" t="s">
        <v>769</v>
      </c>
      <c r="D12" s="38"/>
      <c r="E12" s="38"/>
    </row>
    <row r="13" spans="1:10" x14ac:dyDescent="0.25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5">
      <c r="B14" s="38" t="s">
        <v>801</v>
      </c>
      <c r="C14" s="110" t="s">
        <v>800</v>
      </c>
      <c r="D14" s="38" t="s">
        <v>79</v>
      </c>
      <c r="E14" s="38"/>
      <c r="G14" s="38" t="s">
        <v>789</v>
      </c>
    </row>
    <row r="15" spans="1:10" x14ac:dyDescent="0.25">
      <c r="B15" s="110" t="s">
        <v>989</v>
      </c>
      <c r="C15" s="110"/>
      <c r="D15" s="38"/>
      <c r="E15" s="38"/>
      <c r="G15" s="38"/>
    </row>
    <row r="16" spans="1:10" x14ac:dyDescent="0.25">
      <c r="B16" s="38" t="s">
        <v>802</v>
      </c>
      <c r="C16" s="110" t="s">
        <v>803</v>
      </c>
      <c r="D16" s="38" t="s">
        <v>79</v>
      </c>
      <c r="E16" s="38"/>
      <c r="G16" s="38"/>
    </row>
    <row r="17" spans="2:8" x14ac:dyDescent="0.25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25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25">
      <c r="B19" s="38" t="s">
        <v>370</v>
      </c>
      <c r="C19" s="38"/>
      <c r="D19" s="38"/>
      <c r="E19" s="38"/>
    </row>
    <row r="20" spans="2:8" x14ac:dyDescent="0.25">
      <c r="B20" s="38" t="s">
        <v>804</v>
      </c>
      <c r="C20" s="110" t="s">
        <v>805</v>
      </c>
      <c r="D20" s="38" t="s">
        <v>194</v>
      </c>
      <c r="E20" s="38"/>
    </row>
    <row r="21" spans="2:8" x14ac:dyDescent="0.25">
      <c r="B21" s="38" t="s">
        <v>757</v>
      </c>
      <c r="C21" s="38"/>
      <c r="D21" s="38" t="s">
        <v>194</v>
      </c>
      <c r="E21" s="38"/>
    </row>
    <row r="22" spans="2:8" x14ac:dyDescent="0.25">
      <c r="B22" s="38" t="s">
        <v>71</v>
      </c>
      <c r="C22" s="38" t="s">
        <v>806</v>
      </c>
      <c r="D22" s="38" t="s">
        <v>780</v>
      </c>
      <c r="E22" s="38"/>
    </row>
    <row r="23" spans="2:8" x14ac:dyDescent="0.25">
      <c r="B23" s="110" t="s">
        <v>990</v>
      </c>
      <c r="C23" s="38"/>
      <c r="D23" s="38"/>
      <c r="E23" s="38"/>
    </row>
    <row r="24" spans="2:8" x14ac:dyDescent="0.25">
      <c r="B24" s="38" t="s">
        <v>777</v>
      </c>
      <c r="C24" s="38" t="s">
        <v>807</v>
      </c>
      <c r="D24" s="38"/>
      <c r="E24" s="38" t="s">
        <v>778</v>
      </c>
    </row>
    <row r="25" spans="2:8" x14ac:dyDescent="0.25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5">
      <c r="B26" s="38" t="s">
        <v>788</v>
      </c>
      <c r="C26" s="38"/>
      <c r="D26" s="38" t="s">
        <v>308</v>
      </c>
      <c r="E26" s="38"/>
      <c r="F26" s="38"/>
    </row>
    <row r="27" spans="2:8" x14ac:dyDescent="0.25">
      <c r="B27" s="38" t="s">
        <v>987</v>
      </c>
      <c r="C27" s="38"/>
      <c r="D27" s="38"/>
      <c r="E27" s="38"/>
      <c r="F27" s="38"/>
    </row>
    <row r="28" spans="2:8" x14ac:dyDescent="0.25">
      <c r="B28" s="38" t="s">
        <v>375</v>
      </c>
      <c r="C28" s="38"/>
      <c r="D28" s="38"/>
      <c r="E28" s="38"/>
      <c r="F28" s="38"/>
    </row>
    <row r="29" spans="2:8" x14ac:dyDescent="0.25">
      <c r="B29" s="38" t="s">
        <v>17</v>
      </c>
      <c r="C29" s="38"/>
      <c r="D29" s="38" t="s">
        <v>111</v>
      </c>
      <c r="E29" s="38" t="s">
        <v>110</v>
      </c>
    </row>
    <row r="30" spans="2:8" x14ac:dyDescent="0.25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25">
      <c r="B31" s="38" t="s">
        <v>55</v>
      </c>
      <c r="C31" s="38" t="s">
        <v>437</v>
      </c>
      <c r="D31" s="38"/>
      <c r="E31" s="38"/>
    </row>
    <row r="32" spans="2:8" x14ac:dyDescent="0.25">
      <c r="B32" s="38" t="s">
        <v>494</v>
      </c>
      <c r="C32" s="38"/>
      <c r="D32" s="38"/>
      <c r="E32" s="38"/>
    </row>
    <row r="33" spans="2:6" x14ac:dyDescent="0.25">
      <c r="B33" s="38" t="s">
        <v>1000</v>
      </c>
      <c r="C33" s="38"/>
      <c r="D33" s="38"/>
      <c r="E33" s="38"/>
    </row>
    <row r="34" spans="2:6" x14ac:dyDescent="0.25">
      <c r="B34" s="38" t="s">
        <v>996</v>
      </c>
      <c r="C34" s="38"/>
      <c r="D34" s="38"/>
      <c r="E34" s="38"/>
    </row>
    <row r="35" spans="2:6" x14ac:dyDescent="0.25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25">
      <c r="B36" s="38" t="s">
        <v>991</v>
      </c>
      <c r="C36" s="38"/>
      <c r="D36" s="38"/>
      <c r="E36" s="38"/>
    </row>
    <row r="37" spans="2:6" x14ac:dyDescent="0.25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25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25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25">
      <c r="B40" s="38" t="s">
        <v>368</v>
      </c>
      <c r="C40" s="38"/>
      <c r="D40" s="38" t="s">
        <v>36</v>
      </c>
      <c r="E40" s="38"/>
    </row>
    <row r="41" spans="2:6" x14ac:dyDescent="0.25">
      <c r="B41" s="38" t="s">
        <v>1002</v>
      </c>
      <c r="C41" s="38"/>
      <c r="D41" s="38"/>
      <c r="E41" s="38"/>
    </row>
    <row r="42" spans="2:6" x14ac:dyDescent="0.25">
      <c r="B42" s="38" t="s">
        <v>760</v>
      </c>
      <c r="C42" s="110" t="s">
        <v>811</v>
      </c>
      <c r="D42" s="38"/>
      <c r="E42" s="38" t="s">
        <v>771</v>
      </c>
    </row>
    <row r="43" spans="2:6" x14ac:dyDescent="0.25">
      <c r="B43" s="38" t="s">
        <v>770</v>
      </c>
      <c r="C43" s="110" t="s">
        <v>811</v>
      </c>
      <c r="D43" s="38"/>
      <c r="E43" s="38" t="s">
        <v>771</v>
      </c>
    </row>
    <row r="44" spans="2:6" x14ac:dyDescent="0.25">
      <c r="B44" s="38" t="s">
        <v>775</v>
      </c>
      <c r="C44" s="110" t="s">
        <v>812</v>
      </c>
      <c r="D44" s="38"/>
      <c r="E44" s="38" t="s">
        <v>779</v>
      </c>
    </row>
    <row r="45" spans="2:6" x14ac:dyDescent="0.25">
      <c r="B45" s="38" t="s">
        <v>776</v>
      </c>
      <c r="C45" s="110" t="s">
        <v>813</v>
      </c>
      <c r="D45" s="38"/>
      <c r="E45" s="38" t="s">
        <v>779</v>
      </c>
    </row>
    <row r="46" spans="2:6" x14ac:dyDescent="0.25">
      <c r="B46" s="38" t="s">
        <v>507</v>
      </c>
      <c r="C46" s="110"/>
      <c r="D46" s="38"/>
      <c r="E46" s="38"/>
    </row>
    <row r="47" spans="2:6" x14ac:dyDescent="0.25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25">
      <c r="B48" s="38" t="s">
        <v>64</v>
      </c>
      <c r="C48" s="110" t="s">
        <v>814</v>
      </c>
      <c r="D48" s="38"/>
      <c r="E48" s="38" t="s">
        <v>793</v>
      </c>
      <c r="F48" s="38"/>
    </row>
    <row r="49" spans="2:10" x14ac:dyDescent="0.25">
      <c r="B49" s="38" t="s">
        <v>992</v>
      </c>
      <c r="C49" s="110"/>
      <c r="D49" s="38"/>
      <c r="E49" s="38"/>
      <c r="F49" s="38"/>
    </row>
    <row r="50" spans="2:10" x14ac:dyDescent="0.25">
      <c r="B50" s="38" t="s">
        <v>792</v>
      </c>
      <c r="C50" s="110" t="s">
        <v>815</v>
      </c>
      <c r="D50" s="38"/>
      <c r="E50" s="38" t="s">
        <v>779</v>
      </c>
      <c r="F50" s="38"/>
    </row>
    <row r="51" spans="2:10" x14ac:dyDescent="0.25">
      <c r="B51" s="38" t="s">
        <v>816</v>
      </c>
      <c r="C51" s="110" t="s">
        <v>817</v>
      </c>
      <c r="D51" s="38"/>
      <c r="E51" s="38"/>
      <c r="F51" s="38"/>
    </row>
    <row r="52" spans="2:10" x14ac:dyDescent="0.25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25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5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25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25">
      <c r="B56" s="38" t="s">
        <v>508</v>
      </c>
      <c r="C56" s="38"/>
      <c r="D56" s="38"/>
      <c r="E56" s="38"/>
      <c r="F56" s="38"/>
      <c r="G56" s="21"/>
    </row>
    <row r="57" spans="2:10" x14ac:dyDescent="0.25">
      <c r="B57" s="38" t="s">
        <v>994</v>
      </c>
      <c r="C57" s="38"/>
      <c r="D57" s="38"/>
      <c r="E57" s="38"/>
      <c r="F57" s="38"/>
      <c r="G57" s="21"/>
    </row>
    <row r="58" spans="2:10" x14ac:dyDescent="0.25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25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5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25">
      <c r="B61" s="38" t="s">
        <v>377</v>
      </c>
      <c r="C61" s="38"/>
      <c r="D61" s="38"/>
      <c r="E61" s="38"/>
      <c r="F61" s="38"/>
      <c r="G61" s="21"/>
    </row>
    <row r="62" spans="2:10" x14ac:dyDescent="0.25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5">
      <c r="B63" s="38" t="s">
        <v>999</v>
      </c>
      <c r="C63" s="38"/>
      <c r="D63" s="38"/>
      <c r="E63" s="38"/>
      <c r="F63" s="38"/>
      <c r="G63" s="21"/>
    </row>
    <row r="64" spans="2:10" ht="13" x14ac:dyDescent="0.3">
      <c r="B64" s="38" t="s">
        <v>15</v>
      </c>
      <c r="C64" s="38" t="s">
        <v>410</v>
      </c>
      <c r="D64" s="38" t="s">
        <v>38</v>
      </c>
      <c r="J64" s="16"/>
    </row>
    <row r="65" spans="2:10" x14ac:dyDescent="0.25">
      <c r="B65" s="38" t="s">
        <v>41</v>
      </c>
      <c r="C65" s="38"/>
      <c r="D65" s="38" t="s">
        <v>414</v>
      </c>
    </row>
    <row r="66" spans="2:10" x14ac:dyDescent="0.25">
      <c r="B66" s="38" t="s">
        <v>1001</v>
      </c>
      <c r="C66" s="38"/>
      <c r="D66" s="38"/>
    </row>
    <row r="67" spans="2:10" x14ac:dyDescent="0.25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5">
      <c r="B68" s="38" t="s">
        <v>995</v>
      </c>
      <c r="C68" s="38"/>
      <c r="D68" s="38"/>
      <c r="E68" s="38"/>
      <c r="F68" s="77"/>
    </row>
    <row r="69" spans="2:10" x14ac:dyDescent="0.25">
      <c r="B69" s="38" t="s">
        <v>774</v>
      </c>
      <c r="C69" s="38" t="s">
        <v>823</v>
      </c>
      <c r="D69" s="38"/>
      <c r="E69" s="38" t="s">
        <v>779</v>
      </c>
      <c r="F69" s="77"/>
    </row>
    <row r="70" spans="2:10" x14ac:dyDescent="0.25">
      <c r="B70" s="38" t="s">
        <v>492</v>
      </c>
      <c r="C70" s="38"/>
      <c r="D70" s="38" t="s">
        <v>36</v>
      </c>
      <c r="E70" s="38"/>
      <c r="F70" s="77"/>
    </row>
    <row r="71" spans="2:10" x14ac:dyDescent="0.25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5">
      <c r="B72" s="38" t="s">
        <v>66</v>
      </c>
      <c r="C72" s="38" t="s">
        <v>824</v>
      </c>
      <c r="D72" s="38"/>
      <c r="E72" s="38" t="s">
        <v>771</v>
      </c>
      <c r="F72" s="77"/>
      <c r="H72" s="38" t="s">
        <v>761</v>
      </c>
    </row>
    <row r="73" spans="2:10" x14ac:dyDescent="0.25">
      <c r="B73" s="38" t="s">
        <v>787</v>
      </c>
      <c r="C73" s="38" t="s">
        <v>825</v>
      </c>
      <c r="D73" s="38" t="s">
        <v>451</v>
      </c>
      <c r="E73" s="38"/>
      <c r="F73" s="77"/>
      <c r="H73" s="38"/>
    </row>
    <row r="74" spans="2:10" x14ac:dyDescent="0.25">
      <c r="B74" s="38" t="s">
        <v>369</v>
      </c>
      <c r="C74" s="38"/>
      <c r="D74" s="38"/>
      <c r="E74" s="38"/>
      <c r="F74" s="77"/>
    </row>
    <row r="75" spans="2:10" x14ac:dyDescent="0.25">
      <c r="B75" s="38" t="s">
        <v>997</v>
      </c>
      <c r="C75" s="38"/>
      <c r="D75" s="38"/>
      <c r="E75" s="38"/>
      <c r="F75" s="77"/>
    </row>
    <row r="76" spans="2:10" x14ac:dyDescent="0.25">
      <c r="B76" s="38" t="s">
        <v>416</v>
      </c>
      <c r="C76" s="38"/>
      <c r="D76" s="38"/>
      <c r="G76" s="21" t="s">
        <v>417</v>
      </c>
    </row>
    <row r="77" spans="2:10" x14ac:dyDescent="0.25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5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5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5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5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5">
      <c r="C88" s="38" t="s">
        <v>404</v>
      </c>
      <c r="D88" s="38" t="s">
        <v>39</v>
      </c>
    </row>
    <row r="89" spans="2:8" x14ac:dyDescent="0.25">
      <c r="C89" s="38" t="s">
        <v>49</v>
      </c>
      <c r="D89" s="38" t="s">
        <v>121</v>
      </c>
      <c r="E89" s="38" t="s">
        <v>456</v>
      </c>
    </row>
    <row r="90" spans="2:8" x14ac:dyDescent="0.25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5">
      <c r="C91" s="38" t="s">
        <v>322</v>
      </c>
      <c r="D91" s="38" t="s">
        <v>37</v>
      </c>
      <c r="E91" s="38" t="s">
        <v>193</v>
      </c>
    </row>
    <row r="92" spans="2:8" x14ac:dyDescent="0.25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5">
      <c r="B93" s="38" t="s">
        <v>423</v>
      </c>
    </row>
    <row r="94" spans="2:8" x14ac:dyDescent="0.25">
      <c r="B94" s="38" t="s">
        <v>432</v>
      </c>
      <c r="D94" t="s">
        <v>120</v>
      </c>
      <c r="E94" s="38" t="s">
        <v>431</v>
      </c>
    </row>
    <row r="95" spans="2:8" x14ac:dyDescent="0.25">
      <c r="B95" s="38" t="s">
        <v>424</v>
      </c>
    </row>
    <row r="96" spans="2:8" x14ac:dyDescent="0.25">
      <c r="B96" s="38" t="s">
        <v>425</v>
      </c>
    </row>
    <row r="97" spans="2:8" x14ac:dyDescent="0.25">
      <c r="C97" s="38" t="s">
        <v>473</v>
      </c>
      <c r="H97" t="s">
        <v>475</v>
      </c>
    </row>
    <row r="98" spans="2:8" x14ac:dyDescent="0.25">
      <c r="B98" s="38" t="s">
        <v>426</v>
      </c>
    </row>
    <row r="99" spans="2:8" x14ac:dyDescent="0.25">
      <c r="B99" s="38" t="s">
        <v>427</v>
      </c>
    </row>
    <row r="100" spans="2:8" x14ac:dyDescent="0.25">
      <c r="B100" s="38"/>
      <c r="C100" t="s">
        <v>476</v>
      </c>
      <c r="G100" t="s">
        <v>477</v>
      </c>
    </row>
    <row r="101" spans="2:8" x14ac:dyDescent="0.25">
      <c r="B101" s="38" t="s">
        <v>428</v>
      </c>
    </row>
    <row r="102" spans="2:8" x14ac:dyDescent="0.25">
      <c r="B102" s="38"/>
      <c r="C102" s="38" t="s">
        <v>430</v>
      </c>
    </row>
    <row r="103" spans="2:8" x14ac:dyDescent="0.25">
      <c r="B103" s="38"/>
      <c r="C103" t="s">
        <v>422</v>
      </c>
    </row>
    <row r="104" spans="2:8" x14ac:dyDescent="0.25">
      <c r="B104" s="38"/>
    </row>
    <row r="105" spans="2:8" x14ac:dyDescent="0.25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5">
      <c r="C106" s="38" t="s">
        <v>429</v>
      </c>
    </row>
    <row r="107" spans="2:8" x14ac:dyDescent="0.25">
      <c r="B107" s="5" t="s">
        <v>160</v>
      </c>
      <c r="D107" s="6" t="s">
        <v>159</v>
      </c>
      <c r="E107" s="6" t="s">
        <v>501</v>
      </c>
    </row>
    <row r="108" spans="2:8" x14ac:dyDescent="0.25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5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5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5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5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5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5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5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145" zoomScaleNormal="145" workbookViewId="0">
      <selection activeCell="C25" sqref="C25"/>
    </sheetView>
  </sheetViews>
  <sheetFormatPr defaultColWidth="11.453125" defaultRowHeight="12.5" x14ac:dyDescent="0.25"/>
  <cols>
    <col min="1" max="1" width="5.453125" customWidth="1"/>
    <col min="2" max="2" width="13" bestFit="1" customWidth="1"/>
  </cols>
  <sheetData>
    <row r="1" spans="1:3" x14ac:dyDescent="0.25">
      <c r="A1" s="13" t="s">
        <v>6</v>
      </c>
    </row>
    <row r="2" spans="1:3" x14ac:dyDescent="0.25">
      <c r="B2" s="38" t="s">
        <v>50</v>
      </c>
      <c r="C2" s="38" t="s">
        <v>845</v>
      </c>
    </row>
    <row r="3" spans="1:3" x14ac:dyDescent="0.25">
      <c r="B3" s="38" t="s">
        <v>48</v>
      </c>
      <c r="C3" s="38" t="s">
        <v>481</v>
      </c>
    </row>
    <row r="4" spans="1:3" x14ac:dyDescent="0.25">
      <c r="B4" s="38" t="s">
        <v>405</v>
      </c>
      <c r="C4" s="38" t="s">
        <v>846</v>
      </c>
    </row>
    <row r="5" spans="1:3" x14ac:dyDescent="0.25">
      <c r="B5" s="38" t="s">
        <v>847</v>
      </c>
      <c r="C5" s="38" t="s">
        <v>848</v>
      </c>
    </row>
    <row r="6" spans="1:3" x14ac:dyDescent="0.25">
      <c r="B6" s="38"/>
      <c r="C6" s="38" t="s">
        <v>852</v>
      </c>
    </row>
    <row r="7" spans="1:3" x14ac:dyDescent="0.25">
      <c r="B7" s="38"/>
      <c r="C7" s="38" t="s">
        <v>876</v>
      </c>
    </row>
    <row r="8" spans="1:3" x14ac:dyDescent="0.25">
      <c r="B8" s="38"/>
      <c r="C8" s="38" t="s">
        <v>875</v>
      </c>
    </row>
    <row r="9" spans="1:3" x14ac:dyDescent="0.25">
      <c r="B9" s="38" t="s">
        <v>92</v>
      </c>
    </row>
    <row r="10" spans="1:3" ht="13" x14ac:dyDescent="0.3">
      <c r="C10" s="20" t="s">
        <v>878</v>
      </c>
    </row>
    <row r="11" spans="1:3" x14ac:dyDescent="0.25">
      <c r="C11" s="38" t="s">
        <v>849</v>
      </c>
    </row>
    <row r="12" spans="1:3" x14ac:dyDescent="0.25">
      <c r="C12" s="38" t="s">
        <v>850</v>
      </c>
    </row>
    <row r="13" spans="1:3" x14ac:dyDescent="0.25">
      <c r="C13" s="38" t="s">
        <v>854</v>
      </c>
    </row>
    <row r="14" spans="1:3" x14ac:dyDescent="0.25">
      <c r="C14" s="38" t="s">
        <v>855</v>
      </c>
    </row>
    <row r="15" spans="1:3" x14ac:dyDescent="0.25">
      <c r="C15" s="38" t="s">
        <v>856</v>
      </c>
    </row>
    <row r="16" spans="1:3" x14ac:dyDescent="0.25">
      <c r="C16" s="38"/>
    </row>
    <row r="17" spans="3:3" ht="13" x14ac:dyDescent="0.3">
      <c r="C17" s="20" t="s">
        <v>853</v>
      </c>
    </row>
    <row r="18" spans="3:3" x14ac:dyDescent="0.25">
      <c r="C18" s="38" t="s">
        <v>851</v>
      </c>
    </row>
    <row r="19" spans="3:3" x14ac:dyDescent="0.25">
      <c r="C19" s="38" t="s">
        <v>854</v>
      </c>
    </row>
    <row r="22" spans="3:3" x14ac:dyDescent="0.25">
      <c r="C22" s="38" t="s">
        <v>879</v>
      </c>
    </row>
    <row r="23" spans="3:3" x14ac:dyDescent="0.25">
      <c r="C23" s="38" t="s">
        <v>880</v>
      </c>
    </row>
    <row r="25" spans="3:3" ht="13" x14ac:dyDescent="0.3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36328125" bestFit="1" customWidth="1"/>
  </cols>
  <sheetData>
    <row r="1" spans="1:3" x14ac:dyDescent="0.25">
      <c r="A1" s="13" t="s">
        <v>6</v>
      </c>
    </row>
    <row r="2" spans="1:3" x14ac:dyDescent="0.25">
      <c r="B2" s="38" t="s">
        <v>403</v>
      </c>
      <c r="C2" s="38" t="s">
        <v>905</v>
      </c>
    </row>
    <row r="3" spans="1:3" x14ac:dyDescent="0.25">
      <c r="B3" s="38" t="s">
        <v>51</v>
      </c>
      <c r="C3" s="38" t="s">
        <v>906</v>
      </c>
    </row>
    <row r="4" spans="1:3" x14ac:dyDescent="0.25">
      <c r="B4" s="38" t="s">
        <v>872</v>
      </c>
      <c r="C4" s="38" t="s">
        <v>910</v>
      </c>
    </row>
    <row r="5" spans="1:3" x14ac:dyDescent="0.25">
      <c r="B5" s="38" t="s">
        <v>92</v>
      </c>
    </row>
    <row r="6" spans="1:3" ht="13" x14ac:dyDescent="0.3">
      <c r="C6" s="20" t="s">
        <v>929</v>
      </c>
    </row>
    <row r="7" spans="1:3" x14ac:dyDescent="0.25">
      <c r="C7" s="38" t="s">
        <v>907</v>
      </c>
    </row>
    <row r="8" spans="1:3" x14ac:dyDescent="0.25">
      <c r="C8" s="38" t="s">
        <v>908</v>
      </c>
    </row>
    <row r="10" spans="1:3" ht="13" x14ac:dyDescent="0.3">
      <c r="C10" s="20" t="s">
        <v>944</v>
      </c>
    </row>
    <row r="11" spans="1:3" x14ac:dyDescent="0.25">
      <c r="C11" s="38" t="s">
        <v>941</v>
      </c>
    </row>
    <row r="12" spans="1:3" x14ac:dyDescent="0.25">
      <c r="C12" s="38" t="s">
        <v>942</v>
      </c>
    </row>
    <row r="13" spans="1:3" x14ac:dyDescent="0.25">
      <c r="C13" s="38" t="s">
        <v>943</v>
      </c>
    </row>
    <row r="15" spans="1:3" ht="13" x14ac:dyDescent="0.3">
      <c r="C15" s="20" t="s">
        <v>938</v>
      </c>
    </row>
    <row r="16" spans="1:3" x14ac:dyDescent="0.25">
      <c r="C16" s="38" t="s">
        <v>930</v>
      </c>
    </row>
    <row r="17" spans="3:3" x14ac:dyDescent="0.25">
      <c r="C17" s="38" t="s">
        <v>931</v>
      </c>
    </row>
    <row r="18" spans="3:3" x14ac:dyDescent="0.25">
      <c r="C18" s="38" t="s">
        <v>932</v>
      </c>
    </row>
    <row r="19" spans="3:3" x14ac:dyDescent="0.25">
      <c r="C19" s="38" t="s">
        <v>936</v>
      </c>
    </row>
    <row r="21" spans="3:3" ht="13" x14ac:dyDescent="0.3">
      <c r="C21" s="20" t="s">
        <v>939</v>
      </c>
    </row>
    <row r="22" spans="3:3" x14ac:dyDescent="0.25">
      <c r="C22" s="38" t="s">
        <v>933</v>
      </c>
    </row>
    <row r="23" spans="3:3" x14ac:dyDescent="0.25">
      <c r="C23" s="38" t="s">
        <v>934</v>
      </c>
    </row>
    <row r="24" spans="3:3" x14ac:dyDescent="0.25">
      <c r="C24" s="38" t="s">
        <v>935</v>
      </c>
    </row>
    <row r="25" spans="3:3" x14ac:dyDescent="0.25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="235" zoomScaleNormal="235" workbookViewId="0">
      <selection activeCell="C7" sqref="C7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</row>
    <row r="3" spans="1:3" x14ac:dyDescent="0.25">
      <c r="B3" s="38" t="s">
        <v>403</v>
      </c>
      <c r="C3" s="38" t="s">
        <v>1004</v>
      </c>
    </row>
    <row r="4" spans="1:3" x14ac:dyDescent="0.25">
      <c r="B4" s="38" t="s">
        <v>1</v>
      </c>
      <c r="C4" s="38" t="s">
        <v>487</v>
      </c>
    </row>
    <row r="5" spans="1:3" x14ac:dyDescent="0.25">
      <c r="B5" s="38" t="s">
        <v>405</v>
      </c>
      <c r="C5" s="38" t="s">
        <v>1005</v>
      </c>
    </row>
    <row r="6" spans="1:3" x14ac:dyDescent="0.25">
      <c r="B6" s="38" t="s">
        <v>92</v>
      </c>
    </row>
    <row r="7" spans="1:3" ht="13" x14ac:dyDescent="0.3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1640625"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857</v>
      </c>
    </row>
    <row r="3" spans="1:3" x14ac:dyDescent="0.25">
      <c r="B3" s="38" t="s">
        <v>403</v>
      </c>
      <c r="C3" s="38" t="s">
        <v>858</v>
      </c>
    </row>
    <row r="4" spans="1:3" x14ac:dyDescent="0.25">
      <c r="B4" s="38" t="s">
        <v>1</v>
      </c>
      <c r="C4" s="38" t="s">
        <v>467</v>
      </c>
    </row>
    <row r="5" spans="1:3" x14ac:dyDescent="0.25">
      <c r="B5" s="38" t="s">
        <v>51</v>
      </c>
      <c r="C5" s="38" t="s">
        <v>522</v>
      </c>
    </row>
    <row r="6" spans="1:3" x14ac:dyDescent="0.25">
      <c r="B6" s="38" t="s">
        <v>847</v>
      </c>
      <c r="C6" s="38" t="s">
        <v>874</v>
      </c>
    </row>
    <row r="7" spans="1:3" x14ac:dyDescent="0.25">
      <c r="B7" s="38" t="s">
        <v>2</v>
      </c>
      <c r="C7" s="38" t="s">
        <v>866</v>
      </c>
    </row>
    <row r="8" spans="1:3" x14ac:dyDescent="0.25">
      <c r="B8" s="38" t="s">
        <v>872</v>
      </c>
      <c r="C8" s="38" t="s">
        <v>873</v>
      </c>
    </row>
    <row r="9" spans="1:3" x14ac:dyDescent="0.25">
      <c r="B9" s="38" t="s">
        <v>92</v>
      </c>
    </row>
    <row r="10" spans="1:3" ht="13" x14ac:dyDescent="0.3">
      <c r="C10" s="20" t="s">
        <v>870</v>
      </c>
    </row>
    <row r="11" spans="1:3" x14ac:dyDescent="0.25">
      <c r="C11" s="38" t="s">
        <v>859</v>
      </c>
    </row>
    <row r="13" spans="1:3" x14ac:dyDescent="0.25">
      <c r="C13" s="38" t="s">
        <v>860</v>
      </c>
    </row>
    <row r="14" spans="1:3" x14ac:dyDescent="0.25">
      <c r="C14" s="38" t="s">
        <v>863</v>
      </c>
    </row>
    <row r="15" spans="1:3" x14ac:dyDescent="0.25">
      <c r="C15" s="38" t="s">
        <v>864</v>
      </c>
    </row>
    <row r="16" spans="1:3" x14ac:dyDescent="0.25">
      <c r="C16" s="38"/>
    </row>
    <row r="17" spans="3:3" x14ac:dyDescent="0.25">
      <c r="C17" s="38" t="s">
        <v>865</v>
      </c>
    </row>
    <row r="19" spans="3:3" ht="13" x14ac:dyDescent="0.3">
      <c r="C19" s="20" t="s">
        <v>861</v>
      </c>
    </row>
    <row r="20" spans="3:3" x14ac:dyDescent="0.25">
      <c r="C20" s="38" t="s">
        <v>902</v>
      </c>
    </row>
    <row r="22" spans="3:3" ht="13" x14ac:dyDescent="0.3">
      <c r="C22" s="20" t="s">
        <v>862</v>
      </c>
    </row>
    <row r="25" spans="3:3" ht="13" x14ac:dyDescent="0.3">
      <c r="C25" s="20" t="s">
        <v>867</v>
      </c>
    </row>
    <row r="28" spans="3:3" x14ac:dyDescent="0.25">
      <c r="C28" s="38" t="s">
        <v>869</v>
      </c>
    </row>
    <row r="29" spans="3:3" x14ac:dyDescent="0.25">
      <c r="C29" s="38"/>
    </row>
    <row r="30" spans="3:3" ht="13" x14ac:dyDescent="0.3">
      <c r="C30" s="20" t="s">
        <v>898</v>
      </c>
    </row>
    <row r="31" spans="3:3" x14ac:dyDescent="0.25">
      <c r="C31" s="38" t="s">
        <v>897</v>
      </c>
    </row>
    <row r="32" spans="3:3" x14ac:dyDescent="0.25">
      <c r="C32" s="38"/>
    </row>
    <row r="33" spans="3:3" x14ac:dyDescent="0.25">
      <c r="C33" s="38"/>
    </row>
    <row r="34" spans="3:3" x14ac:dyDescent="0.25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53125" defaultRowHeight="12.5" x14ac:dyDescent="0.25"/>
  <cols>
    <col min="1" max="1" width="4.81640625" bestFit="1" customWidth="1"/>
    <col min="2" max="2" width="11.36328125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530</v>
      </c>
    </row>
    <row r="3" spans="1:3" x14ac:dyDescent="0.25">
      <c r="B3" s="38" t="s">
        <v>403</v>
      </c>
      <c r="C3" t="s">
        <v>532</v>
      </c>
    </row>
    <row r="4" spans="1:3" x14ac:dyDescent="0.25">
      <c r="B4" s="38" t="s">
        <v>1</v>
      </c>
      <c r="C4" s="38" t="s">
        <v>553</v>
      </c>
    </row>
    <row r="5" spans="1:3" x14ac:dyDescent="0.25">
      <c r="B5" s="38" t="s">
        <v>405</v>
      </c>
      <c r="C5" s="38" t="s">
        <v>534</v>
      </c>
    </row>
    <row r="6" spans="1:3" x14ac:dyDescent="0.25">
      <c r="B6" s="38" t="s">
        <v>539</v>
      </c>
      <c r="C6" s="38" t="s">
        <v>540</v>
      </c>
    </row>
    <row r="7" spans="1:3" x14ac:dyDescent="0.25">
      <c r="B7" s="38" t="s">
        <v>92</v>
      </c>
    </row>
    <row r="8" spans="1:3" ht="13" x14ac:dyDescent="0.3">
      <c r="B8" s="38"/>
      <c r="C8" s="20" t="s">
        <v>541</v>
      </c>
    </row>
    <row r="9" spans="1:3" x14ac:dyDescent="0.25">
      <c r="B9" s="38"/>
    </row>
    <row r="10" spans="1:3" x14ac:dyDescent="0.25">
      <c r="B10" s="38"/>
    </row>
    <row r="11" spans="1:3" x14ac:dyDescent="0.25">
      <c r="B11" s="38"/>
    </row>
    <row r="12" spans="1:3" ht="13" x14ac:dyDescent="0.3">
      <c r="C12" s="20" t="s">
        <v>535</v>
      </c>
    </row>
    <row r="13" spans="1:3" x14ac:dyDescent="0.25">
      <c r="C13" s="38" t="s">
        <v>536</v>
      </c>
    </row>
    <row r="14" spans="1:3" x14ac:dyDescent="0.25">
      <c r="C14" s="38" t="s">
        <v>537</v>
      </c>
    </row>
    <row r="15" spans="1:3" x14ac:dyDescent="0.25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A2" s="38"/>
      <c r="B2" s="38" t="s">
        <v>402</v>
      </c>
      <c r="C2" s="38" t="s">
        <v>369</v>
      </c>
    </row>
    <row r="3" spans="1:3" x14ac:dyDescent="0.25">
      <c r="B3" s="38" t="s">
        <v>403</v>
      </c>
    </row>
    <row r="4" spans="1:3" x14ac:dyDescent="0.25">
      <c r="B4" s="38" t="s">
        <v>1</v>
      </c>
    </row>
    <row r="5" spans="1:3" x14ac:dyDescent="0.25">
      <c r="B5" s="38" t="s">
        <v>92</v>
      </c>
    </row>
    <row r="6" spans="1:3" ht="13" x14ac:dyDescent="0.3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3.6328125" customWidth="1"/>
  </cols>
  <sheetData>
    <row r="1" spans="1:3" x14ac:dyDescent="0.25">
      <c r="A1" s="13" t="s">
        <v>6</v>
      </c>
      <c r="B1" s="13"/>
    </row>
    <row r="2" spans="1:3" x14ac:dyDescent="0.25">
      <c r="A2" s="13"/>
      <c r="B2" t="s">
        <v>50</v>
      </c>
      <c r="C2" t="s">
        <v>19</v>
      </c>
    </row>
    <row r="3" spans="1:3" x14ac:dyDescent="0.25">
      <c r="A3" s="13"/>
      <c r="B3" t="s">
        <v>48</v>
      </c>
      <c r="C3" t="s">
        <v>228</v>
      </c>
    </row>
    <row r="4" spans="1:3" x14ac:dyDescent="0.25">
      <c r="A4" s="13"/>
      <c r="B4" t="s">
        <v>4</v>
      </c>
      <c r="C4" s="38" t="s">
        <v>255</v>
      </c>
    </row>
    <row r="5" spans="1:3" x14ac:dyDescent="0.25">
      <c r="B5" t="s">
        <v>92</v>
      </c>
    </row>
    <row r="6" spans="1:3" x14ac:dyDescent="0.25">
      <c r="C6" t="s">
        <v>12</v>
      </c>
    </row>
    <row r="7" spans="1:3" x14ac:dyDescent="0.25">
      <c r="C7" t="s">
        <v>33</v>
      </c>
    </row>
    <row r="8" spans="1:3" x14ac:dyDescent="0.25">
      <c r="C8" t="s">
        <v>34</v>
      </c>
    </row>
    <row r="12" spans="1:3" ht="13" x14ac:dyDescent="0.3">
      <c r="C12" s="20" t="s">
        <v>252</v>
      </c>
    </row>
    <row r="13" spans="1:3" x14ac:dyDescent="0.25">
      <c r="C13" s="38" t="s">
        <v>253</v>
      </c>
    </row>
    <row r="14" spans="1:3" x14ac:dyDescent="0.2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1640625" defaultRowHeight="12.5" x14ac:dyDescent="0.25"/>
  <cols>
    <col min="1" max="1" width="6.1796875" customWidth="1"/>
    <col min="2" max="2" width="12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14</v>
      </c>
    </row>
    <row r="3" spans="1:3" x14ac:dyDescent="0.25">
      <c r="B3" t="s">
        <v>3</v>
      </c>
      <c r="C3" t="s">
        <v>231</v>
      </c>
    </row>
    <row r="4" spans="1:3" x14ac:dyDescent="0.25">
      <c r="B4" t="s">
        <v>2</v>
      </c>
      <c r="C4" t="s">
        <v>278</v>
      </c>
    </row>
    <row r="5" spans="1:3" x14ac:dyDescent="0.25">
      <c r="B5" t="s">
        <v>92</v>
      </c>
    </row>
    <row r="6" spans="1:3" ht="13" x14ac:dyDescent="0.3">
      <c r="C6" s="20" t="s">
        <v>232</v>
      </c>
    </row>
    <row r="7" spans="1:3" x14ac:dyDescent="0.2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563</v>
      </c>
    </row>
    <row r="3" spans="1:3" x14ac:dyDescent="0.2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1.36328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1640625" defaultRowHeight="12.5" x14ac:dyDescent="0.25"/>
  <cols>
    <col min="1" max="1" width="5" bestFit="1" customWidth="1"/>
  </cols>
  <sheetData>
    <row r="1" spans="1:5" x14ac:dyDescent="0.25">
      <c r="A1" s="13" t="s">
        <v>6</v>
      </c>
    </row>
    <row r="2" spans="1:5" x14ac:dyDescent="0.25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25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25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25">
      <c r="B5">
        <v>12102610</v>
      </c>
      <c r="C5" s="38" t="s">
        <v>955</v>
      </c>
      <c r="D5" s="38" t="s">
        <v>956</v>
      </c>
    </row>
    <row r="6" spans="1:5" x14ac:dyDescent="0.25">
      <c r="B6">
        <v>12083324</v>
      </c>
      <c r="C6" s="110"/>
      <c r="D6" s="38"/>
      <c r="E6" s="38"/>
    </row>
    <row r="7" spans="1:5" x14ac:dyDescent="0.25">
      <c r="B7">
        <v>12071423</v>
      </c>
      <c r="C7" s="110" t="s">
        <v>958</v>
      </c>
      <c r="D7" s="38" t="s">
        <v>957</v>
      </c>
      <c r="E7" s="38" t="s">
        <v>962</v>
      </c>
    </row>
    <row r="8" spans="1:5" x14ac:dyDescent="0.25">
      <c r="B8">
        <v>12060356</v>
      </c>
      <c r="C8" s="110" t="s">
        <v>960</v>
      </c>
      <c r="D8" s="38" t="s">
        <v>961</v>
      </c>
      <c r="E8" s="38" t="s">
        <v>445</v>
      </c>
    </row>
    <row r="9" spans="1:5" x14ac:dyDescent="0.25">
      <c r="B9">
        <v>12059557</v>
      </c>
      <c r="C9" s="38" t="s">
        <v>963</v>
      </c>
    </row>
    <row r="10" spans="1:5" x14ac:dyDescent="0.25">
      <c r="B10">
        <v>12059452</v>
      </c>
      <c r="C10" s="38" t="s">
        <v>959</v>
      </c>
      <c r="D10" s="38" t="s">
        <v>117</v>
      </c>
    </row>
    <row r="11" spans="1:5" x14ac:dyDescent="0.25">
      <c r="B11">
        <v>12042634</v>
      </c>
      <c r="C11" s="110" t="s">
        <v>965</v>
      </c>
    </row>
    <row r="12" spans="1:5" x14ac:dyDescent="0.25">
      <c r="B12">
        <v>12037406</v>
      </c>
      <c r="C12" s="110" t="s">
        <v>964</v>
      </c>
    </row>
    <row r="13" spans="1:5" x14ac:dyDescent="0.25">
      <c r="B13">
        <v>12037387</v>
      </c>
      <c r="C13" s="110" t="s">
        <v>966</v>
      </c>
    </row>
    <row r="14" spans="1:5" x14ac:dyDescent="0.25">
      <c r="B14">
        <v>12037322</v>
      </c>
      <c r="C14" s="38" t="s">
        <v>967</v>
      </c>
    </row>
    <row r="15" spans="1:5" x14ac:dyDescent="0.25">
      <c r="B15">
        <v>12023470</v>
      </c>
      <c r="C15" s="38" t="s">
        <v>968</v>
      </c>
    </row>
    <row r="16" spans="1:5" x14ac:dyDescent="0.25">
      <c r="B16">
        <v>12011574</v>
      </c>
      <c r="C16" s="38" t="s">
        <v>969</v>
      </c>
    </row>
    <row r="17" spans="2:3" x14ac:dyDescent="0.25">
      <c r="B17">
        <v>12005235</v>
      </c>
      <c r="C17" s="38" t="s">
        <v>970</v>
      </c>
    </row>
    <row r="18" spans="2:3" x14ac:dyDescent="0.25">
      <c r="B18">
        <v>11999722</v>
      </c>
      <c r="C18" s="38" t="s">
        <v>971</v>
      </c>
    </row>
    <row r="19" spans="2:3" x14ac:dyDescent="0.25">
      <c r="B19">
        <v>11993608</v>
      </c>
      <c r="C19" s="38" t="s">
        <v>972</v>
      </c>
    </row>
    <row r="20" spans="2:3" x14ac:dyDescent="0.25">
      <c r="B20">
        <v>11976136</v>
      </c>
      <c r="C20" s="38" t="s">
        <v>973</v>
      </c>
    </row>
    <row r="21" spans="2:3" x14ac:dyDescent="0.25">
      <c r="B21">
        <v>11976114</v>
      </c>
      <c r="C21" s="38" t="s">
        <v>974</v>
      </c>
    </row>
    <row r="22" spans="2:3" x14ac:dyDescent="0.25">
      <c r="B22">
        <v>11970485</v>
      </c>
      <c r="C22" s="38" t="s">
        <v>975</v>
      </c>
    </row>
    <row r="23" spans="2:3" x14ac:dyDescent="0.25">
      <c r="B23">
        <v>11964968</v>
      </c>
      <c r="C23" s="38" t="s">
        <v>976</v>
      </c>
    </row>
    <row r="24" spans="2:3" x14ac:dyDescent="0.25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796875" defaultRowHeight="12.5" x14ac:dyDescent="0.25"/>
  <cols>
    <col min="1" max="1" width="5" style="1" bestFit="1" customWidth="1"/>
    <col min="2" max="2" width="12.36328125" style="1" customWidth="1"/>
    <col min="3" max="16384" width="9.1796875" style="1"/>
  </cols>
  <sheetData>
    <row r="1" spans="1:8" x14ac:dyDescent="0.25">
      <c r="A1" s="15" t="s">
        <v>6</v>
      </c>
    </row>
    <row r="2" spans="1:8" x14ac:dyDescent="0.25">
      <c r="A2" s="15"/>
      <c r="B2" s="1" t="s">
        <v>50</v>
      </c>
      <c r="C2" s="1" t="s">
        <v>15</v>
      </c>
    </row>
    <row r="3" spans="1:8" x14ac:dyDescent="0.25">
      <c r="A3" s="15"/>
    </row>
    <row r="4" spans="1:8" x14ac:dyDescent="0.25">
      <c r="B4" s="1" t="s">
        <v>9</v>
      </c>
    </row>
    <row r="5" spans="1:8" x14ac:dyDescent="0.25">
      <c r="B5" s="1" t="s">
        <v>10</v>
      </c>
    </row>
    <row r="6" spans="1:8" x14ac:dyDescent="0.25">
      <c r="B6" s="1" t="s">
        <v>11</v>
      </c>
    </row>
    <row r="8" spans="1:8" x14ac:dyDescent="0.25">
      <c r="B8" s="1" t="s">
        <v>31</v>
      </c>
    </row>
    <row r="9" spans="1:8" x14ac:dyDescent="0.25">
      <c r="B9" s="1" t="s">
        <v>32</v>
      </c>
    </row>
    <row r="11" spans="1:8" x14ac:dyDescent="0.25">
      <c r="B11" s="29">
        <v>38338</v>
      </c>
    </row>
    <row r="12" spans="1:8" x14ac:dyDescent="0.25">
      <c r="B12" s="1" t="s">
        <v>44</v>
      </c>
    </row>
    <row r="13" spans="1:8" x14ac:dyDescent="0.25">
      <c r="B13" s="1" t="s">
        <v>42</v>
      </c>
    </row>
    <row r="14" spans="1:8" x14ac:dyDescent="0.25">
      <c r="B14" s="1" t="s">
        <v>43</v>
      </c>
    </row>
    <row r="16" spans="1:8" x14ac:dyDescent="0.2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5">
      <c r="C18" s="6"/>
      <c r="D18" s="6"/>
      <c r="E18" s="6"/>
      <c r="F18" s="6"/>
      <c r="G18" s="6"/>
      <c r="H18" s="6"/>
    </row>
    <row r="19" spans="2:8" x14ac:dyDescent="0.25">
      <c r="C19" s="6" t="s">
        <v>3</v>
      </c>
      <c r="D19" s="6" t="s">
        <v>89</v>
      </c>
      <c r="E19" s="6"/>
      <c r="F19" s="6"/>
      <c r="G19" s="6"/>
      <c r="H19" s="6"/>
    </row>
    <row r="20" spans="2:8" x14ac:dyDescent="0.25">
      <c r="C20" s="6"/>
      <c r="D20" s="6"/>
      <c r="E20" s="6"/>
      <c r="F20" s="6"/>
      <c r="G20" s="6"/>
      <c r="H20" s="6"/>
    </row>
    <row r="21" spans="2:8" x14ac:dyDescent="0.25">
      <c r="C21" s="6"/>
      <c r="D21" s="6"/>
      <c r="E21" s="6"/>
      <c r="F21" s="6"/>
      <c r="G21" s="6"/>
      <c r="H21" s="6"/>
    </row>
    <row r="22" spans="2:8" x14ac:dyDescent="0.25">
      <c r="C22" s="6"/>
      <c r="D22" s="6"/>
      <c r="E22" s="6"/>
      <c r="F22" s="6"/>
      <c r="G22" s="6"/>
      <c r="H22" s="6"/>
    </row>
    <row r="23" spans="2:8" x14ac:dyDescent="0.25">
      <c r="C23" s="6"/>
      <c r="D23" s="6"/>
      <c r="E23" s="6"/>
      <c r="F23" s="6"/>
      <c r="G23" s="6"/>
      <c r="H23" s="6"/>
    </row>
    <row r="24" spans="2:8" x14ac:dyDescent="0.2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5">
      <c r="C26" s="30">
        <f>C25-7</f>
        <v>39227</v>
      </c>
      <c r="D26" s="17">
        <v>69314</v>
      </c>
      <c r="E26" s="17">
        <v>35541</v>
      </c>
      <c r="F26" s="6"/>
    </row>
    <row r="27" spans="2:8" x14ac:dyDescent="0.25">
      <c r="C27" s="30">
        <v>38869</v>
      </c>
      <c r="D27" s="17">
        <v>70448</v>
      </c>
      <c r="E27" s="17">
        <v>34206</v>
      </c>
      <c r="F27" s="6"/>
    </row>
    <row r="28" spans="2:8" x14ac:dyDescent="0.2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36328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1640625" defaultRowHeight="12.5" x14ac:dyDescent="0.25"/>
  <cols>
    <col min="1" max="1" width="5" bestFit="1" customWidth="1"/>
    <col min="2" max="2" width="11.363281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" style="1" bestFit="1" customWidth="1"/>
    <col min="3" max="3" width="23.36328125" style="1" customWidth="1"/>
    <col min="4" max="5" width="12.1796875" style="1" customWidth="1"/>
    <col min="6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55</v>
      </c>
    </row>
    <row r="3" spans="1:3" x14ac:dyDescent="0.25">
      <c r="B3" s="1" t="s">
        <v>48</v>
      </c>
      <c r="C3" s="1" t="s">
        <v>135</v>
      </c>
    </row>
    <row r="4" spans="1:3" x14ac:dyDescent="0.25">
      <c r="B4" s="1" t="s">
        <v>1</v>
      </c>
    </row>
    <row r="5" spans="1:3" x14ac:dyDescent="0.25">
      <c r="B5" s="1" t="s">
        <v>51</v>
      </c>
    </row>
    <row r="6" spans="1:3" x14ac:dyDescent="0.25">
      <c r="B6" s="1" t="s">
        <v>137</v>
      </c>
    </row>
    <row r="7" spans="1:3" x14ac:dyDescent="0.25">
      <c r="B7" s="1" t="s">
        <v>4</v>
      </c>
      <c r="C7" s="1" t="s">
        <v>220</v>
      </c>
    </row>
    <row r="8" spans="1:3" x14ac:dyDescent="0.25">
      <c r="B8" s="1" t="s">
        <v>2</v>
      </c>
    </row>
    <row r="9" spans="1:3" x14ac:dyDescent="0.25">
      <c r="B9" s="1" t="s">
        <v>136</v>
      </c>
    </row>
    <row r="10" spans="1:3" ht="13" x14ac:dyDescent="0.3">
      <c r="C10" s="16" t="s">
        <v>216</v>
      </c>
    </row>
    <row r="11" spans="1:3" x14ac:dyDescent="0.25">
      <c r="C11" s="1" t="s">
        <v>217</v>
      </c>
    </row>
    <row r="12" spans="1:3" x14ac:dyDescent="0.25">
      <c r="C12" s="1" t="s">
        <v>218</v>
      </c>
    </row>
    <row r="16" spans="1:3" ht="13" x14ac:dyDescent="0.3">
      <c r="C16" s="16" t="s">
        <v>158</v>
      </c>
    </row>
    <row r="17" spans="3:6" ht="13" thickBot="1" x14ac:dyDescent="0.3"/>
    <row r="18" spans="3:6" ht="13" x14ac:dyDescent="0.3">
      <c r="C18" s="26"/>
      <c r="D18" s="24" t="s">
        <v>55</v>
      </c>
      <c r="E18" s="24" t="s">
        <v>138</v>
      </c>
      <c r="F18" s="24" t="s">
        <v>148</v>
      </c>
    </row>
    <row r="19" spans="3:6" x14ac:dyDescent="0.25">
      <c r="C19" s="27" t="s">
        <v>157</v>
      </c>
      <c r="D19" s="22">
        <v>63</v>
      </c>
      <c r="E19" s="22">
        <v>63</v>
      </c>
      <c r="F19" s="22"/>
    </row>
    <row r="20" spans="3:6" x14ac:dyDescent="0.2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5">
      <c r="D22" s="6"/>
      <c r="E22" s="6"/>
      <c r="F22" s="6"/>
    </row>
    <row r="23" spans="3:6" ht="13" x14ac:dyDescent="0.3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5">
      <c r="C24" s="1" t="s">
        <v>142</v>
      </c>
      <c r="D24" s="11">
        <v>0.46</v>
      </c>
      <c r="E24" s="11">
        <v>0.28999999999999998</v>
      </c>
      <c r="F24" s="6"/>
    </row>
    <row r="25" spans="3:6" x14ac:dyDescent="0.25">
      <c r="C25" s="1" t="s">
        <v>143</v>
      </c>
      <c r="D25" s="11">
        <v>0.24</v>
      </c>
      <c r="E25" s="11">
        <v>0.05</v>
      </c>
      <c r="F25" s="6"/>
    </row>
    <row r="26" spans="3:6" x14ac:dyDescent="0.25">
      <c r="C26" s="1" t="s">
        <v>144</v>
      </c>
      <c r="D26" s="11">
        <v>0.18</v>
      </c>
      <c r="E26" s="11">
        <v>0.02</v>
      </c>
      <c r="F26" s="6"/>
    </row>
    <row r="27" spans="3:6" x14ac:dyDescent="0.25">
      <c r="C27" s="1" t="s">
        <v>145</v>
      </c>
      <c r="D27" s="6" t="s">
        <v>150</v>
      </c>
      <c r="E27" s="6" t="s">
        <v>152</v>
      </c>
      <c r="F27" s="6"/>
    </row>
    <row r="28" spans="3:6" x14ac:dyDescent="0.25">
      <c r="D28" s="6"/>
      <c r="E28" s="6"/>
      <c r="F28" s="6"/>
    </row>
    <row r="29" spans="3:6" ht="13" x14ac:dyDescent="0.3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" thickBot="1" x14ac:dyDescent="0.3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796875" defaultRowHeight="12.5" x14ac:dyDescent="0.25"/>
  <cols>
    <col min="1" max="1" width="5.6328125" style="1" customWidth="1"/>
    <col min="2" max="2" width="13.36328125" style="1" customWidth="1"/>
    <col min="3" max="3" width="10.1796875" style="1" bestFit="1" customWidth="1"/>
    <col min="4" max="16384" width="9.1796875" style="1"/>
  </cols>
  <sheetData>
    <row r="1" spans="1:5" x14ac:dyDescent="0.25">
      <c r="A1" s="15" t="s">
        <v>6</v>
      </c>
    </row>
    <row r="2" spans="1:5" x14ac:dyDescent="0.25">
      <c r="B2" s="1" t="s">
        <v>50</v>
      </c>
      <c r="C2" s="1" t="s">
        <v>7</v>
      </c>
    </row>
    <row r="3" spans="1:5" x14ac:dyDescent="0.25">
      <c r="B3" s="1" t="s">
        <v>48</v>
      </c>
      <c r="C3" s="1" t="s">
        <v>85</v>
      </c>
    </row>
    <row r="4" spans="1:5" x14ac:dyDescent="0.25">
      <c r="B4" s="1" t="s">
        <v>3</v>
      </c>
      <c r="C4" s="1" t="s">
        <v>86</v>
      </c>
    </row>
    <row r="5" spans="1:5" x14ac:dyDescent="0.25">
      <c r="B5" s="1" t="s">
        <v>1</v>
      </c>
      <c r="C5" s="1" t="s">
        <v>87</v>
      </c>
    </row>
    <row r="6" spans="1:5" x14ac:dyDescent="0.25">
      <c r="B6" s="1" t="s">
        <v>4</v>
      </c>
      <c r="C6" s="1" t="s">
        <v>88</v>
      </c>
    </row>
    <row r="7" spans="1:5" x14ac:dyDescent="0.25">
      <c r="C7" s="1" t="s">
        <v>8</v>
      </c>
    </row>
    <row r="8" spans="1:5" x14ac:dyDescent="0.25">
      <c r="C8" s="1" t="s">
        <v>29</v>
      </c>
    </row>
    <row r="9" spans="1:5" x14ac:dyDescent="0.25">
      <c r="C9" s="1" t="s">
        <v>30</v>
      </c>
    </row>
    <row r="12" spans="1:5" x14ac:dyDescent="0.25">
      <c r="B12" s="1" t="s">
        <v>164</v>
      </c>
      <c r="C12" s="6"/>
      <c r="D12" s="6" t="s">
        <v>165</v>
      </c>
      <c r="E12" s="6" t="s">
        <v>166</v>
      </c>
    </row>
    <row r="13" spans="1:5" x14ac:dyDescent="0.25">
      <c r="C13" s="43">
        <v>40165</v>
      </c>
      <c r="D13" s="35">
        <v>117723</v>
      </c>
      <c r="E13" s="35">
        <v>53829</v>
      </c>
    </row>
    <row r="14" spans="1:5" x14ac:dyDescent="0.2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5">
      <c r="C15" s="43">
        <f t="shared" si="0"/>
        <v>40151</v>
      </c>
      <c r="D15" s="35">
        <v>128647</v>
      </c>
      <c r="E15" s="35">
        <v>56775</v>
      </c>
    </row>
    <row r="16" spans="1:5" x14ac:dyDescent="0.25">
      <c r="C16" s="43">
        <f t="shared" si="0"/>
        <v>40144</v>
      </c>
      <c r="D16" s="35">
        <v>104242</v>
      </c>
      <c r="E16" s="35">
        <v>44896</v>
      </c>
    </row>
    <row r="17" spans="3:5" x14ac:dyDescent="0.25">
      <c r="C17" s="43">
        <f t="shared" si="0"/>
        <v>40137</v>
      </c>
      <c r="D17" s="35">
        <v>116685</v>
      </c>
      <c r="E17" s="35">
        <v>53770</v>
      </c>
    </row>
    <row r="18" spans="3:5" x14ac:dyDescent="0.25">
      <c r="C18" s="43">
        <f t="shared" si="0"/>
        <v>40130</v>
      </c>
      <c r="D18" s="35">
        <v>113476</v>
      </c>
      <c r="E18" s="35">
        <v>51112</v>
      </c>
    </row>
    <row r="19" spans="3:5" x14ac:dyDescent="0.25">
      <c r="C19" s="43">
        <f t="shared" si="0"/>
        <v>40123</v>
      </c>
      <c r="D19" s="35">
        <v>122441</v>
      </c>
      <c r="E19" s="35">
        <v>54445</v>
      </c>
    </row>
    <row r="20" spans="3:5" x14ac:dyDescent="0.25">
      <c r="C20" s="43">
        <f t="shared" si="0"/>
        <v>40116</v>
      </c>
      <c r="D20" s="35">
        <v>114922</v>
      </c>
      <c r="E20" s="35">
        <v>51865</v>
      </c>
    </row>
    <row r="21" spans="3:5" x14ac:dyDescent="0.25">
      <c r="C21" s="43">
        <v>39234</v>
      </c>
      <c r="D21" s="35">
        <v>118958</v>
      </c>
      <c r="E21" s="35">
        <v>50496</v>
      </c>
    </row>
    <row r="22" spans="3:5" x14ac:dyDescent="0.25">
      <c r="C22" s="43">
        <f>C21-7</f>
        <v>39227</v>
      </c>
      <c r="D22" s="35">
        <v>123390</v>
      </c>
      <c r="E22" s="35">
        <v>53736</v>
      </c>
    </row>
    <row r="23" spans="3:5" x14ac:dyDescent="0.2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70</v>
      </c>
    </row>
    <row r="3" spans="1:3" x14ac:dyDescent="0.25">
      <c r="B3" s="1" t="s">
        <v>48</v>
      </c>
      <c r="C3" s="1" t="s">
        <v>221</v>
      </c>
    </row>
    <row r="4" spans="1:3" x14ac:dyDescent="0.25">
      <c r="B4" s="1" t="s">
        <v>2</v>
      </c>
      <c r="C4" s="1" t="s">
        <v>222</v>
      </c>
    </row>
    <row r="5" spans="1:3" x14ac:dyDescent="0.25">
      <c r="B5" s="1" t="s">
        <v>3</v>
      </c>
      <c r="C5" s="1" t="s">
        <v>225</v>
      </c>
    </row>
    <row r="6" spans="1:3" x14ac:dyDescent="0.25">
      <c r="B6" s="1" t="s">
        <v>226</v>
      </c>
      <c r="C6" s="1" t="s">
        <v>35</v>
      </c>
    </row>
    <row r="7" spans="1:3" x14ac:dyDescent="0.25">
      <c r="B7" s="1" t="s">
        <v>137</v>
      </c>
      <c r="C7" s="1" t="s">
        <v>22</v>
      </c>
    </row>
    <row r="8" spans="1:3" x14ac:dyDescent="0.25">
      <c r="B8" s="1" t="s">
        <v>92</v>
      </c>
    </row>
    <row r="9" spans="1:3" x14ac:dyDescent="0.25">
      <c r="C9" s="1" t="s">
        <v>20</v>
      </c>
    </row>
    <row r="10" spans="1:3" x14ac:dyDescent="0.25">
      <c r="C10" s="1" t="s">
        <v>21</v>
      </c>
    </row>
    <row r="14" spans="1:3" ht="13" x14ac:dyDescent="0.3">
      <c r="C14" s="16" t="s">
        <v>223</v>
      </c>
    </row>
    <row r="15" spans="1:3" x14ac:dyDescent="0.25">
      <c r="C15" s="1" t="s">
        <v>224</v>
      </c>
    </row>
    <row r="16" spans="1:3" x14ac:dyDescent="0.2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0.453125" style="1" bestFit="1" customWidth="1"/>
    <col min="4" max="16384" width="9.1796875" style="1"/>
  </cols>
  <sheetData>
    <row r="1" spans="1:7" x14ac:dyDescent="0.25">
      <c r="A1" s="15" t="s">
        <v>6</v>
      </c>
    </row>
    <row r="2" spans="1:7" x14ac:dyDescent="0.25">
      <c r="B2" s="1" t="s">
        <v>50</v>
      </c>
      <c r="C2" s="1" t="s">
        <v>196</v>
      </c>
    </row>
    <row r="3" spans="1:7" x14ac:dyDescent="0.25">
      <c r="B3" s="1" t="s">
        <v>48</v>
      </c>
      <c r="C3" s="1" t="s">
        <v>75</v>
      </c>
    </row>
    <row r="4" spans="1:7" x14ac:dyDescent="0.25">
      <c r="B4" s="1" t="s">
        <v>91</v>
      </c>
      <c r="C4" s="21" t="s">
        <v>248</v>
      </c>
    </row>
    <row r="5" spans="1:7" x14ac:dyDescent="0.25">
      <c r="B5" s="1" t="s">
        <v>51</v>
      </c>
      <c r="C5" s="1" t="s">
        <v>168</v>
      </c>
    </row>
    <row r="6" spans="1:7" x14ac:dyDescent="0.25">
      <c r="C6" s="1" t="s">
        <v>167</v>
      </c>
    </row>
    <row r="7" spans="1:7" x14ac:dyDescent="0.25">
      <c r="C7" s="1" t="s">
        <v>169</v>
      </c>
    </row>
    <row r="8" spans="1:7" x14ac:dyDescent="0.25">
      <c r="C8" s="1" t="s">
        <v>171</v>
      </c>
    </row>
    <row r="9" spans="1:7" x14ac:dyDescent="0.25">
      <c r="C9" s="1" t="s">
        <v>180</v>
      </c>
    </row>
    <row r="10" spans="1:7" x14ac:dyDescent="0.25">
      <c r="B10" s="1" t="s">
        <v>2</v>
      </c>
      <c r="C10" s="1" t="s">
        <v>129</v>
      </c>
    </row>
    <row r="11" spans="1:7" x14ac:dyDescent="0.25">
      <c r="B11" s="1" t="s">
        <v>131</v>
      </c>
      <c r="C11" s="1" t="s">
        <v>132</v>
      </c>
    </row>
    <row r="12" spans="1:7" x14ac:dyDescent="0.2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5">
      <c r="B21" s="21"/>
      <c r="C21" s="21"/>
    </row>
    <row r="22" spans="2:7" x14ac:dyDescent="0.25">
      <c r="B22" s="21" t="s">
        <v>172</v>
      </c>
      <c r="C22" s="21" t="s">
        <v>262</v>
      </c>
    </row>
    <row r="23" spans="2:7" x14ac:dyDescent="0.25">
      <c r="B23" s="1" t="s">
        <v>92</v>
      </c>
    </row>
    <row r="24" spans="2:7" x14ac:dyDescent="0.25">
      <c r="C24" s="1" t="s">
        <v>24</v>
      </c>
    </row>
    <row r="25" spans="2:7" x14ac:dyDescent="0.25">
      <c r="C25" s="1" t="s">
        <v>219</v>
      </c>
    </row>
    <row r="27" spans="2:7" ht="13" x14ac:dyDescent="0.3">
      <c r="C27" s="16" t="s">
        <v>184</v>
      </c>
    </row>
    <row r="28" spans="2:7" x14ac:dyDescent="0.25">
      <c r="C28" s="1" t="s">
        <v>182</v>
      </c>
    </row>
    <row r="29" spans="2:7" x14ac:dyDescent="0.25">
      <c r="C29" s="1" t="s">
        <v>109</v>
      </c>
    </row>
    <row r="30" spans="2:7" ht="13" x14ac:dyDescent="0.3">
      <c r="C30" s="19" t="s">
        <v>230</v>
      </c>
    </row>
    <row r="31" spans="2:7" x14ac:dyDescent="0.25">
      <c r="C31" s="1" t="s">
        <v>130</v>
      </c>
    </row>
    <row r="32" spans="2:7" x14ac:dyDescent="0.25">
      <c r="C32" s="1" t="s">
        <v>229</v>
      </c>
    </row>
    <row r="33" spans="3:3" x14ac:dyDescent="0.25">
      <c r="C33" s="1" t="s">
        <v>161</v>
      </c>
    </row>
    <row r="34" spans="3:3" x14ac:dyDescent="0.25">
      <c r="C34" s="1" t="s">
        <v>170</v>
      </c>
    </row>
    <row r="35" spans="3:3" x14ac:dyDescent="0.25">
      <c r="C35" s="1" t="s">
        <v>181</v>
      </c>
    </row>
    <row r="36" spans="3:3" x14ac:dyDescent="0.25">
      <c r="C36" s="1" t="s">
        <v>240</v>
      </c>
    </row>
    <row r="38" spans="3:3" ht="13" x14ac:dyDescent="0.3">
      <c r="C38" s="16" t="s">
        <v>94</v>
      </c>
    </row>
    <row r="39" spans="3:3" x14ac:dyDescent="0.25">
      <c r="C39" s="1" t="s">
        <v>95</v>
      </c>
    </row>
    <row r="40" spans="3:3" x14ac:dyDescent="0.25">
      <c r="C40" s="1" t="s">
        <v>102</v>
      </c>
    </row>
    <row r="41" spans="3:3" ht="13" x14ac:dyDescent="0.3">
      <c r="C41" s="19" t="s">
        <v>103</v>
      </c>
    </row>
    <row r="42" spans="3:3" x14ac:dyDescent="0.25">
      <c r="C42" s="1" t="s">
        <v>104</v>
      </c>
    </row>
    <row r="43" spans="3:3" x14ac:dyDescent="0.25">
      <c r="C43" s="1" t="s">
        <v>162</v>
      </c>
    </row>
    <row r="44" spans="3:3" x14ac:dyDescent="0.25">
      <c r="C44" s="1" t="s">
        <v>177</v>
      </c>
    </row>
    <row r="46" spans="3:3" ht="13" x14ac:dyDescent="0.3">
      <c r="C46" s="16" t="s">
        <v>328</v>
      </c>
    </row>
    <row r="47" spans="3:3" x14ac:dyDescent="0.25">
      <c r="C47" s="21" t="s">
        <v>326</v>
      </c>
    </row>
    <row r="48" spans="3:3" x14ac:dyDescent="0.2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3.36328125" style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A2" s="15"/>
      <c r="B2" s="1" t="s">
        <v>50</v>
      </c>
    </row>
    <row r="3" spans="1:3" x14ac:dyDescent="0.25">
      <c r="A3" s="15"/>
      <c r="B3" s="1" t="s">
        <v>48</v>
      </c>
      <c r="C3" s="1" t="s">
        <v>49</v>
      </c>
    </row>
    <row r="4" spans="1:3" x14ac:dyDescent="0.25">
      <c r="A4" s="15"/>
      <c r="B4" s="1" t="s">
        <v>1</v>
      </c>
      <c r="C4" s="1" t="s">
        <v>121</v>
      </c>
    </row>
    <row r="5" spans="1:3" x14ac:dyDescent="0.25">
      <c r="A5" s="15"/>
      <c r="B5" s="1" t="s">
        <v>51</v>
      </c>
      <c r="C5" s="1" t="s">
        <v>52</v>
      </c>
    </row>
    <row r="6" spans="1:3" x14ac:dyDescent="0.25">
      <c r="A6" s="15"/>
      <c r="B6" s="1" t="s">
        <v>92</v>
      </c>
    </row>
    <row r="7" spans="1:3" ht="13" x14ac:dyDescent="0.3">
      <c r="C7" s="16" t="s">
        <v>303</v>
      </c>
    </row>
    <row r="8" spans="1:3" x14ac:dyDescent="0.25">
      <c r="C8" s="1" t="s">
        <v>46</v>
      </c>
    </row>
    <row r="10" spans="1:3" ht="13" x14ac:dyDescent="0.3">
      <c r="C10" s="16" t="s">
        <v>53</v>
      </c>
    </row>
    <row r="11" spans="1:3" x14ac:dyDescent="0.2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3" t="s">
        <v>6</v>
      </c>
    </row>
    <row r="2" spans="1:3" x14ac:dyDescent="0.25">
      <c r="B2" t="s">
        <v>50</v>
      </c>
    </row>
    <row r="3" spans="1:3" x14ac:dyDescent="0.25">
      <c r="B3" t="s">
        <v>48</v>
      </c>
      <c r="C3" t="s">
        <v>112</v>
      </c>
    </row>
    <row r="4" spans="1:3" x14ac:dyDescent="0.25">
      <c r="B4" t="s">
        <v>1</v>
      </c>
      <c r="C4" t="s">
        <v>115</v>
      </c>
    </row>
    <row r="5" spans="1:3" x14ac:dyDescent="0.25">
      <c r="B5" t="s">
        <v>91</v>
      </c>
      <c r="C5" t="s">
        <v>26</v>
      </c>
    </row>
    <row r="6" spans="1:3" x14ac:dyDescent="0.25">
      <c r="B6" t="s">
        <v>3</v>
      </c>
      <c r="C6" t="s">
        <v>28</v>
      </c>
    </row>
    <row r="7" spans="1:3" x14ac:dyDescent="0.25">
      <c r="B7" t="s">
        <v>92</v>
      </c>
      <c r="C7" t="s">
        <v>27</v>
      </c>
    </row>
    <row r="9" spans="1:3" ht="13" x14ac:dyDescent="0.3">
      <c r="C9" s="20" t="s">
        <v>113</v>
      </c>
    </row>
    <row r="10" spans="1:3" x14ac:dyDescent="0.2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5" t="s">
        <v>6</v>
      </c>
    </row>
    <row r="2" spans="1:3" x14ac:dyDescent="0.25">
      <c r="B2" s="1" t="s">
        <v>50</v>
      </c>
      <c r="C2" s="1" t="s">
        <v>178</v>
      </c>
    </row>
    <row r="3" spans="1:3" x14ac:dyDescent="0.25">
      <c r="B3" s="1" t="s">
        <v>2</v>
      </c>
      <c r="C3" s="1" t="s">
        <v>234</v>
      </c>
    </row>
    <row r="4" spans="1:3" x14ac:dyDescent="0.25">
      <c r="B4" s="1" t="s">
        <v>1</v>
      </c>
      <c r="C4" s="1" t="s">
        <v>237</v>
      </c>
    </row>
    <row r="5" spans="1:3" x14ac:dyDescent="0.25">
      <c r="B5" s="1" t="s">
        <v>92</v>
      </c>
    </row>
    <row r="6" spans="1:3" ht="13" x14ac:dyDescent="0.3">
      <c r="C6" s="16" t="s">
        <v>236</v>
      </c>
    </row>
    <row r="9" spans="1:3" ht="13" x14ac:dyDescent="0.3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8"/>
  <sheetViews>
    <sheetView tabSelected="1" zoomScale="130" zoomScaleNormal="130" workbookViewId="0">
      <selection activeCell="E21" sqref="E21"/>
    </sheetView>
  </sheetViews>
  <sheetFormatPr defaultColWidth="9.1796875" defaultRowHeight="12.5" x14ac:dyDescent="0.25"/>
  <cols>
    <col min="1" max="1" width="2.453125" style="1" customWidth="1"/>
    <col min="2" max="2" width="22" style="1" customWidth="1"/>
    <col min="3" max="3" width="27.453125" style="1" bestFit="1" customWidth="1"/>
    <col min="4" max="4" width="16.36328125" style="1" bestFit="1" customWidth="1"/>
    <col min="5" max="5" width="11.453125" style="1" customWidth="1"/>
    <col min="6" max="6" width="12.1796875" style="1" customWidth="1"/>
    <col min="7" max="7" width="15.453125" style="1" customWidth="1"/>
    <col min="8" max="8" width="4.6328125" style="1" customWidth="1"/>
    <col min="9" max="9" width="7.453125" style="1" customWidth="1"/>
    <col min="10" max="10" width="8.1796875" style="1" customWidth="1"/>
    <col min="11" max="11" width="6.453125" style="1" customWidth="1"/>
    <col min="12" max="16384" width="9.1796875" style="1"/>
  </cols>
  <sheetData>
    <row r="1" spans="1:11" x14ac:dyDescent="0.25">
      <c r="A1" s="21"/>
    </row>
    <row r="2" spans="1:11" x14ac:dyDescent="0.2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799</v>
      </c>
    </row>
    <row r="3" spans="1:11" x14ac:dyDescent="0.25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5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758503.23950599995</v>
      </c>
      <c r="K4" s="32"/>
    </row>
    <row r="5" spans="1:11" x14ac:dyDescent="0.25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782904.23950599995</v>
      </c>
    </row>
    <row r="8" spans="1:11" x14ac:dyDescent="0.2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25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5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925</v>
      </c>
    </row>
    <row r="12" spans="1:11" x14ac:dyDescent="0.25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25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25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25">
      <c r="B16" s="14" t="s">
        <v>521</v>
      </c>
      <c r="C16" s="37" t="s">
        <v>467</v>
      </c>
      <c r="D16" s="37" t="s">
        <v>522</v>
      </c>
      <c r="E16" s="80" t="s">
        <v>901</v>
      </c>
      <c r="F16" s="81">
        <v>45548</v>
      </c>
      <c r="G16" s="44"/>
      <c r="I16" s="21" t="s">
        <v>877</v>
      </c>
    </row>
    <row r="17" spans="2:9" x14ac:dyDescent="0.2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2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25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</row>
    <row r="20" spans="2:9" x14ac:dyDescent="0.25">
      <c r="B20" s="14" t="s">
        <v>844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2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2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ht="13" x14ac:dyDescent="0.3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25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25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25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ht="13" x14ac:dyDescent="0.3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25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25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25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5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25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25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25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25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25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25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25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25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25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25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25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25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25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25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25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25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25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25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25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25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25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25">
      <c r="B53" s="69" t="s">
        <v>526</v>
      </c>
      <c r="C53" s="72" t="s">
        <v>527</v>
      </c>
      <c r="D53" s="72"/>
      <c r="E53" s="73"/>
      <c r="F53" s="72" t="s">
        <v>105</v>
      </c>
      <c r="G53" s="10"/>
    </row>
    <row r="55" spans="2:9" ht="13" x14ac:dyDescent="0.3">
      <c r="E55" s="33" t="s">
        <v>896</v>
      </c>
    </row>
    <row r="56" spans="2:9" ht="13" x14ac:dyDescent="0.3">
      <c r="E56" s="33" t="s">
        <v>894</v>
      </c>
    </row>
    <row r="57" spans="2:9" ht="13" x14ac:dyDescent="0.3">
      <c r="E57" s="33" t="s">
        <v>881</v>
      </c>
      <c r="F57" s="33"/>
    </row>
    <row r="58" spans="2:9" ht="13" x14ac:dyDescent="0.3">
      <c r="E58" s="33" t="s">
        <v>882</v>
      </c>
      <c r="F58" s="34"/>
    </row>
    <row r="59" spans="2:9" ht="13" x14ac:dyDescent="0.3">
      <c r="E59" s="33" t="s">
        <v>892</v>
      </c>
      <c r="F59" s="34"/>
    </row>
    <row r="60" spans="2:9" ht="13" x14ac:dyDescent="0.3">
      <c r="E60" s="33" t="s">
        <v>893</v>
      </c>
      <c r="F60" s="34"/>
    </row>
    <row r="61" spans="2:9" ht="13" x14ac:dyDescent="0.3">
      <c r="E61" s="33" t="s">
        <v>895</v>
      </c>
      <c r="F61" s="34"/>
    </row>
    <row r="62" spans="2:9" ht="13" x14ac:dyDescent="0.3">
      <c r="E62" s="33" t="s">
        <v>899</v>
      </c>
      <c r="F62" s="34"/>
    </row>
    <row r="63" spans="2:9" ht="13" x14ac:dyDescent="0.3">
      <c r="E63" s="33" t="s">
        <v>900</v>
      </c>
      <c r="F63" s="34"/>
    </row>
    <row r="64" spans="2:9" ht="13" x14ac:dyDescent="0.3">
      <c r="E64" s="33" t="s">
        <v>903</v>
      </c>
      <c r="F64" s="34"/>
    </row>
    <row r="65" spans="2:6" ht="13" x14ac:dyDescent="0.3">
      <c r="E65" s="33" t="s">
        <v>904</v>
      </c>
      <c r="F65" s="34"/>
    </row>
    <row r="66" spans="2:6" ht="13" x14ac:dyDescent="0.3">
      <c r="E66" s="33" t="s">
        <v>927</v>
      </c>
      <c r="F66" s="34"/>
    </row>
    <row r="67" spans="2:6" ht="13" x14ac:dyDescent="0.3">
      <c r="E67" s="33" t="s">
        <v>926</v>
      </c>
      <c r="F67" s="34"/>
    </row>
    <row r="68" spans="2:6" ht="13" x14ac:dyDescent="0.3">
      <c r="E68" s="33" t="s">
        <v>940</v>
      </c>
      <c r="F68" s="34"/>
    </row>
    <row r="69" spans="2:6" ht="13" x14ac:dyDescent="0.3">
      <c r="E69" s="33" t="s">
        <v>928</v>
      </c>
      <c r="F69" s="34"/>
    </row>
    <row r="70" spans="2:6" ht="13" x14ac:dyDescent="0.3">
      <c r="E70" s="33" t="s">
        <v>945</v>
      </c>
      <c r="F70" s="34"/>
    </row>
    <row r="71" spans="2:6" ht="13" x14ac:dyDescent="0.3">
      <c r="E71" s="33" t="s">
        <v>946</v>
      </c>
      <c r="F71" s="34"/>
    </row>
    <row r="72" spans="2:6" ht="13" x14ac:dyDescent="0.3">
      <c r="E72" s="33" t="s">
        <v>920</v>
      </c>
      <c r="F72" s="34"/>
    </row>
    <row r="73" spans="2:6" ht="13" x14ac:dyDescent="0.3">
      <c r="E73" s="33" t="s">
        <v>921</v>
      </c>
      <c r="F73" s="34"/>
    </row>
    <row r="74" spans="2:6" ht="13" x14ac:dyDescent="0.3">
      <c r="E74" s="33" t="s">
        <v>915</v>
      </c>
      <c r="F74" s="34"/>
    </row>
    <row r="75" spans="2:6" ht="13" x14ac:dyDescent="0.3">
      <c r="E75" s="33" t="s">
        <v>914</v>
      </c>
      <c r="F75" s="34"/>
    </row>
    <row r="76" spans="2:6" ht="13" x14ac:dyDescent="0.3">
      <c r="E76" s="33" t="s">
        <v>911</v>
      </c>
      <c r="F76" s="34"/>
    </row>
    <row r="77" spans="2:6" ht="13" x14ac:dyDescent="0.3">
      <c r="B77" s="74"/>
      <c r="C77" s="74"/>
      <c r="E77" s="33" t="s">
        <v>745</v>
      </c>
      <c r="F77" s="33"/>
    </row>
    <row r="78" spans="2:6" ht="13" x14ac:dyDescent="0.3">
      <c r="B78" s="74"/>
      <c r="C78" s="74"/>
      <c r="E78" s="33" t="s">
        <v>1007</v>
      </c>
      <c r="F78" s="33"/>
    </row>
    <row r="79" spans="2:6" ht="13" x14ac:dyDescent="0.3">
      <c r="B79" s="75"/>
      <c r="E79" s="21" t="s">
        <v>543</v>
      </c>
      <c r="F79" s="33"/>
    </row>
    <row r="80" spans="2:6" x14ac:dyDescent="0.25">
      <c r="B80" s="75"/>
      <c r="C80" s="75"/>
      <c r="E80" s="21" t="s">
        <v>529</v>
      </c>
    </row>
    <row r="81" spans="2:5" x14ac:dyDescent="0.25">
      <c r="B81" s="75"/>
      <c r="C81" s="75"/>
      <c r="E81" s="21" t="s">
        <v>503</v>
      </c>
    </row>
    <row r="82" spans="2:5" x14ac:dyDescent="0.25">
      <c r="B82" s="75"/>
      <c r="C82" s="75"/>
    </row>
    <row r="83" spans="2:5" x14ac:dyDescent="0.25">
      <c r="B83" s="75"/>
      <c r="C83" s="75"/>
    </row>
    <row r="84" spans="2:5" x14ac:dyDescent="0.25">
      <c r="B84" s="76"/>
      <c r="C84" s="75"/>
    </row>
    <row r="85" spans="2:5" x14ac:dyDescent="0.25">
      <c r="B85" s="76"/>
      <c r="C85" s="75"/>
    </row>
    <row r="86" spans="2:5" x14ac:dyDescent="0.25">
      <c r="B86" s="76"/>
      <c r="C86" s="75"/>
    </row>
    <row r="87" spans="2:5" x14ac:dyDescent="0.25">
      <c r="B87" s="75"/>
      <c r="C87" s="75"/>
    </row>
    <row r="88" spans="2:5" x14ac:dyDescent="0.25">
      <c r="B88" s="75"/>
      <c r="C88" s="75"/>
    </row>
    <row r="89" spans="2:5" x14ac:dyDescent="0.25">
      <c r="B89" s="76"/>
      <c r="C89" s="75"/>
    </row>
    <row r="90" spans="2:5" x14ac:dyDescent="0.25">
      <c r="B90" s="75"/>
    </row>
    <row r="91" spans="2:5" x14ac:dyDescent="0.25">
      <c r="B91" s="75"/>
    </row>
    <row r="93" spans="2:5" x14ac:dyDescent="0.25">
      <c r="B93" s="75"/>
    </row>
    <row r="94" spans="2:5" x14ac:dyDescent="0.25">
      <c r="C94" s="75"/>
    </row>
    <row r="96" spans="2:5" x14ac:dyDescent="0.25">
      <c r="B96" s="75"/>
    </row>
    <row r="98" spans="3:3" x14ac:dyDescent="0.25">
      <c r="C98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4" x14ac:dyDescent="0.25">
      <c r="A1" s="15" t="s">
        <v>6</v>
      </c>
    </row>
    <row r="2" spans="1:4" x14ac:dyDescent="0.25">
      <c r="B2" s="1" t="s">
        <v>50</v>
      </c>
      <c r="C2" s="1" t="s">
        <v>183</v>
      </c>
    </row>
    <row r="3" spans="1:4" x14ac:dyDescent="0.25">
      <c r="B3" s="21" t="s">
        <v>48</v>
      </c>
      <c r="C3" s="21" t="s">
        <v>321</v>
      </c>
    </row>
    <row r="4" spans="1:4" x14ac:dyDescent="0.25">
      <c r="B4" s="1" t="s">
        <v>1</v>
      </c>
      <c r="C4" s="1" t="s">
        <v>208</v>
      </c>
    </row>
    <row r="5" spans="1:4" x14ac:dyDescent="0.25">
      <c r="B5" s="1" t="s">
        <v>51</v>
      </c>
      <c r="C5" s="1" t="s">
        <v>209</v>
      </c>
    </row>
    <row r="6" spans="1:4" x14ac:dyDescent="0.25">
      <c r="B6" s="1" t="s">
        <v>92</v>
      </c>
    </row>
    <row r="7" spans="1:4" ht="13" x14ac:dyDescent="0.3">
      <c r="C7" s="16" t="s">
        <v>211</v>
      </c>
    </row>
    <row r="8" spans="1:4" x14ac:dyDescent="0.25">
      <c r="C8" s="1" t="s">
        <v>210</v>
      </c>
    </row>
    <row r="9" spans="1:4" x14ac:dyDescent="0.25">
      <c r="C9" s="1" t="s">
        <v>212</v>
      </c>
    </row>
    <row r="11" spans="1:4" x14ac:dyDescent="0.25">
      <c r="C11" s="1" t="s">
        <v>213</v>
      </c>
    </row>
    <row r="12" spans="1:4" x14ac:dyDescent="0.25">
      <c r="C12" s="1" t="s">
        <v>214</v>
      </c>
    </row>
    <row r="13" spans="1:4" x14ac:dyDescent="0.25">
      <c r="D13" s="1" t="s">
        <v>215</v>
      </c>
    </row>
    <row r="15" spans="1:4" x14ac:dyDescent="0.2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57"/>
  <sheetViews>
    <sheetView zoomScale="175" zoomScaleNormal="175" workbookViewId="0">
      <pane xSplit="2" ySplit="2" topLeftCell="DM90" activePane="bottomRight" state="frozen"/>
      <selection pane="topRight" activeCell="C1" sqref="C1"/>
      <selection pane="bottomLeft" activeCell="A3" sqref="A3"/>
      <selection pane="bottomRight" activeCell="DQ110" sqref="DQ110"/>
    </sheetView>
  </sheetViews>
  <sheetFormatPr defaultColWidth="8.81640625" defaultRowHeight="12.5" x14ac:dyDescent="0.25"/>
  <cols>
    <col min="1" max="1" width="5.36328125" customWidth="1"/>
    <col min="2" max="2" width="18.81640625" customWidth="1"/>
    <col min="3" max="53" width="7" style="47" customWidth="1"/>
    <col min="54" max="54" width="6.6328125" style="47" customWidth="1"/>
    <col min="55" max="94" width="7" style="47" customWidth="1"/>
    <col min="95" max="102" width="7.453125" style="47" customWidth="1"/>
    <col min="103" max="120" width="7.81640625" style="47" customWidth="1"/>
    <col min="121" max="126" width="7.36328125" style="47" customWidth="1"/>
    <col min="127" max="127" width="4.36328125" customWidth="1"/>
    <col min="128" max="143" width="6.6328125" customWidth="1"/>
    <col min="144" max="144" width="6.6328125" style="47" customWidth="1"/>
    <col min="145" max="152" width="7.453125" style="47" customWidth="1"/>
    <col min="153" max="153" width="7" style="47" bestFit="1" customWidth="1"/>
    <col min="154" max="154" width="8.1796875" style="47" customWidth="1"/>
    <col min="155" max="155" width="7" style="47" customWidth="1"/>
    <col min="156" max="156" width="9" style="47" customWidth="1"/>
    <col min="157" max="157" width="7" style="47" customWidth="1"/>
    <col min="158" max="160" width="7.453125" style="47" customWidth="1"/>
    <col min="161" max="168" width="7.453125" customWidth="1"/>
    <col min="169" max="170" width="7.1796875" customWidth="1"/>
    <col min="171" max="172" width="8.1796875" customWidth="1"/>
    <col min="173" max="173" width="7.6328125" customWidth="1"/>
  </cols>
  <sheetData>
    <row r="1" spans="1:178" x14ac:dyDescent="0.25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5">
      <c r="A2" s="102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ht="13" x14ac:dyDescent="0.3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2" customFormat="1" x14ac:dyDescent="0.25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25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25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25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5"/>
      <c r="DR8" s="105"/>
      <c r="DS8" s="105"/>
      <c r="DT8" s="105"/>
      <c r="DU8" s="105"/>
      <c r="DV8" s="105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5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25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25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25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25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25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25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25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25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7">+AQ17+15</f>
        <v>165.1</v>
      </c>
      <c r="AS17" s="111">
        <f t="shared" si="27"/>
        <v>180.1</v>
      </c>
      <c r="AT17" s="111">
        <f t="shared" si="27"/>
        <v>195.1</v>
      </c>
      <c r="AU17" s="111">
        <f t="shared" si="27"/>
        <v>210.1</v>
      </c>
      <c r="AV17" s="111">
        <f t="shared" si="27"/>
        <v>225.1</v>
      </c>
      <c r="AW17" s="111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25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25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25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f>53.7-DQ31</f>
        <v>40.300000000000004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5" si="35">+DQ20</f>
        <v>40.300000000000004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352.00000000000006</v>
      </c>
      <c r="FL20" s="49">
        <f t="shared" ref="FL20:FQ20" si="37">+FK20*0.9</f>
        <v>316.80000000000007</v>
      </c>
      <c r="FM20" s="49">
        <f t="shared" si="37"/>
        <v>285.12000000000006</v>
      </c>
      <c r="FN20" s="49">
        <f t="shared" si="37"/>
        <v>256.60800000000006</v>
      </c>
      <c r="FO20" s="49">
        <f t="shared" si="37"/>
        <v>230.94720000000007</v>
      </c>
      <c r="FP20" s="49">
        <f t="shared" si="37"/>
        <v>207.85248000000007</v>
      </c>
      <c r="FQ20" s="49">
        <f t="shared" si="37"/>
        <v>187.06723200000008</v>
      </c>
    </row>
    <row r="21" spans="1:173" x14ac:dyDescent="0.25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25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25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25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25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>
        <v>31.7</v>
      </c>
      <c r="DR25" s="51"/>
      <c r="DS25" s="51"/>
      <c r="DT25" s="51"/>
      <c r="DU25" s="51">
        <f t="shared" si="35"/>
        <v>31.7</v>
      </c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31.7</v>
      </c>
      <c r="FL25" s="49">
        <f t="shared" ref="FL25:FQ25" si="42">+FK25*0.9</f>
        <v>28.53</v>
      </c>
      <c r="FM25" s="49">
        <f t="shared" si="42"/>
        <v>25.677000000000003</v>
      </c>
      <c r="FN25" s="49">
        <f t="shared" si="42"/>
        <v>23.109300000000005</v>
      </c>
      <c r="FO25" s="49">
        <f t="shared" si="42"/>
        <v>20.798370000000006</v>
      </c>
      <c r="FP25" s="49">
        <f t="shared" si="42"/>
        <v>18.718533000000004</v>
      </c>
      <c r="FQ25" s="49">
        <f t="shared" si="42"/>
        <v>16.846679700000003</v>
      </c>
    </row>
    <row r="26" spans="1:173" x14ac:dyDescent="0.25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25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25">
      <c r="A28" s="102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746</v>
      </c>
      <c r="DH28" s="94" t="s">
        <v>749</v>
      </c>
      <c r="DI28" s="94" t="s">
        <v>748</v>
      </c>
      <c r="DJ28" s="94" t="s">
        <v>752</v>
      </c>
      <c r="DK28" s="94">
        <v>86</v>
      </c>
      <c r="DL28" s="94" t="s">
        <v>748</v>
      </c>
      <c r="DM28" s="94" t="s">
        <v>747</v>
      </c>
      <c r="DN28" s="94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753</v>
      </c>
      <c r="FJ28" s="94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25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f>95.8-DQ25</f>
        <v>64.099999999999994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64.099999999999994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478.20000000000005</v>
      </c>
      <c r="FL29" s="49">
        <f t="shared" ref="FL29:FQ29" si="46">+FK29*0.9</f>
        <v>430.38000000000005</v>
      </c>
      <c r="FM29" s="49">
        <f t="shared" si="46"/>
        <v>387.34200000000004</v>
      </c>
      <c r="FN29" s="49">
        <f t="shared" si="46"/>
        <v>348.60780000000005</v>
      </c>
      <c r="FO29" s="49">
        <f t="shared" si="46"/>
        <v>313.74702000000008</v>
      </c>
      <c r="FP29" s="49">
        <f t="shared" si="46"/>
        <v>282.37231800000006</v>
      </c>
      <c r="FQ29" s="49">
        <f t="shared" si="46"/>
        <v>254.13508620000007</v>
      </c>
    </row>
    <row r="30" spans="1:173" x14ac:dyDescent="0.25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25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988</v>
      </c>
      <c r="DQ31" s="51">
        <v>13.4</v>
      </c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13.4</v>
      </c>
      <c r="FL31" s="49"/>
      <c r="FM31" s="49"/>
      <c r="FN31" s="49"/>
      <c r="FO31" s="49"/>
      <c r="FP31" s="49"/>
      <c r="FQ31" s="49"/>
    </row>
    <row r="32" spans="1:173" x14ac:dyDescent="0.25">
      <c r="A32" s="102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7"/>
      <c r="DI32" s="97"/>
      <c r="DJ32" s="97"/>
      <c r="DK32" s="97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25">
      <c r="A33" s="102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7"/>
      <c r="DI33" s="97"/>
      <c r="DJ33" s="97"/>
      <c r="DK33" s="97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25">
      <c r="A34" s="102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5">
      <c r="A35" s="102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5">
      <c r="A36" s="102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7"/>
      <c r="DH36" s="97"/>
      <c r="DI36" s="97"/>
      <c r="DJ36" s="97"/>
      <c r="DK36" s="97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5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25">
      <c r="A38" s="102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5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5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5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5">
      <c r="A42" s="102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5">
      <c r="A43" s="102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5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5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5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5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5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5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5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5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5">
      <c r="A52" s="102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5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5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5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5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5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5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5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5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5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5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5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5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5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5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ht="13" x14ac:dyDescent="0.3">
      <c r="A67" s="107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15290.965000000007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43863.520000000004</v>
      </c>
      <c r="FL67" s="56">
        <f t="shared" si="66"/>
        <v>50483.998999999996</v>
      </c>
      <c r="FM67" s="56">
        <f t="shared" si="66"/>
        <v>60358.484550000001</v>
      </c>
      <c r="FN67" s="56">
        <f t="shared" si="66"/>
        <v>73409.227917499986</v>
      </c>
      <c r="FO67" s="56">
        <f t="shared" si="66"/>
        <v>82867.350812374949</v>
      </c>
      <c r="FP67" s="56">
        <f t="shared" si="66"/>
        <v>89002.775765193772</v>
      </c>
      <c r="FQ67" s="56">
        <f t="shared" si="66"/>
        <v>82239.284758884911</v>
      </c>
    </row>
    <row r="68" spans="1:251" x14ac:dyDescent="0.25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10601.639789999994</v>
      </c>
      <c r="FM68" s="49">
        <f t="shared" si="71"/>
        <v>12675.2817555</v>
      </c>
      <c r="FN68" s="49">
        <f t="shared" si="71"/>
        <v>15415.937862674997</v>
      </c>
      <c r="FO68" s="49">
        <f t="shared" si="71"/>
        <v>17402.143670598736</v>
      </c>
      <c r="FP68" s="49">
        <f t="shared" si="71"/>
        <v>18690.582910690689</v>
      </c>
      <c r="FQ68" s="49">
        <f t="shared" si="71"/>
        <v>12335.892713832742</v>
      </c>
    </row>
    <row r="69" spans="1:251" x14ac:dyDescent="0.25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35813.488200000007</v>
      </c>
      <c r="FL69" s="51">
        <f t="shared" ref="FL69:FO69" si="93">FL67*0.79</f>
        <v>39882.359210000002</v>
      </c>
      <c r="FM69" s="51">
        <f t="shared" si="93"/>
        <v>47683.202794500001</v>
      </c>
      <c r="FN69" s="51">
        <f t="shared" si="93"/>
        <v>57993.290054824989</v>
      </c>
      <c r="FO69" s="51">
        <f t="shared" si="93"/>
        <v>65465.207141776213</v>
      </c>
      <c r="FP69" s="51">
        <f>FP67*0.79</f>
        <v>70312.192854503082</v>
      </c>
      <c r="FQ69" s="51">
        <f>FQ67*0.85</f>
        <v>69903.392045052169</v>
      </c>
    </row>
    <row r="70" spans="1:251" x14ac:dyDescent="0.25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v>2734.1</v>
      </c>
      <c r="DR70" s="51">
        <f t="shared" ref="DR70:DR71" si="95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6">SUM(BO70:BR70)</f>
        <v>7879.9</v>
      </c>
      <c r="EY70" s="51">
        <f t="shared" ref="EY70" si="97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8">SUM(CU70:CX70)</f>
        <v>6213.7999999999993</v>
      </c>
      <c r="FG70" s="49">
        <f t="shared" ref="FG70:FG71" si="99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8920.66</v>
      </c>
      <c r="FL70" s="49">
        <f t="shared" ref="FL70:FP70" si="100">+FL67*0.25</f>
        <v>12620.999749999999</v>
      </c>
      <c r="FM70" s="49">
        <f t="shared" si="100"/>
        <v>15089.6211375</v>
      </c>
      <c r="FN70" s="49">
        <f t="shared" si="100"/>
        <v>18352.306979374996</v>
      </c>
      <c r="FO70" s="49">
        <f t="shared" si="100"/>
        <v>20716.837703093737</v>
      </c>
      <c r="FP70" s="49">
        <f t="shared" si="100"/>
        <v>22250.693941298443</v>
      </c>
      <c r="FQ70" s="49">
        <f>+FQ67*0.25</f>
        <v>20559.821189721228</v>
      </c>
    </row>
    <row r="71" spans="1:251" x14ac:dyDescent="0.25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v>2099.8000000000002</v>
      </c>
      <c r="DR71" s="51">
        <f t="shared" si="95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6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8"/>
        <v>5595</v>
      </c>
      <c r="FG71" s="49">
        <f t="shared" si="99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9998.4700000000012</v>
      </c>
      <c r="FL71" s="49"/>
      <c r="FM71" s="49"/>
      <c r="FN71" s="49"/>
      <c r="FO71" s="49"/>
      <c r="FP71" s="49"/>
      <c r="FQ71" s="49"/>
    </row>
    <row r="72" spans="1:251" x14ac:dyDescent="0.25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1">BF71+BF70</f>
        <v>2754.7</v>
      </c>
      <c r="BG72" s="51">
        <f t="shared" si="101"/>
        <v>2476.5</v>
      </c>
      <c r="BH72" s="51">
        <f t="shared" si="101"/>
        <v>2748.6000000000004</v>
      </c>
      <c r="BI72" s="51">
        <f t="shared" si="101"/>
        <v>2823.8999999999996</v>
      </c>
      <c r="BJ72" s="51">
        <f t="shared" si="101"/>
        <v>3170</v>
      </c>
      <c r="BK72" s="51">
        <f t="shared" si="101"/>
        <v>2653.5</v>
      </c>
      <c r="BL72" s="51">
        <f t="shared" ref="BL72:BN72" si="102">BL71+BL70</f>
        <v>2942.6000000000004</v>
      </c>
      <c r="BM72" s="51">
        <f t="shared" si="102"/>
        <v>2914.7</v>
      </c>
      <c r="BN72" s="51">
        <f t="shared" si="102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3">+BW71+BW70</f>
        <v>3000.1</v>
      </c>
      <c r="BX72" s="51">
        <f t="shared" si="103"/>
        <v>3198</v>
      </c>
      <c r="BY72" s="51">
        <f t="shared" si="103"/>
        <v>3029.8</v>
      </c>
      <c r="BZ72" s="51">
        <f t="shared" si="103"/>
        <v>3429</v>
      </c>
      <c r="CA72" s="51">
        <f t="shared" ref="CA72" si="104">SUM(CA70:CA71)</f>
        <v>2594.1999999999998</v>
      </c>
      <c r="CB72" s="51">
        <f t="shared" ref="CB72:CC72" si="105">SUM(CB70:CB71)</f>
        <v>2859.3</v>
      </c>
      <c r="CC72" s="51">
        <f t="shared" si="105"/>
        <v>2915.3</v>
      </c>
      <c r="CD72" s="51">
        <f t="shared" ref="CD72" si="106">SUM(CD70:CD71)</f>
        <v>2985.6000000000004</v>
      </c>
      <c r="CE72" s="51">
        <f t="shared" ref="CE72:CF72" si="107">SUM(CE70:CE71)</f>
        <v>2562.8000000000002</v>
      </c>
      <c r="CF72" s="51">
        <f t="shared" si="107"/>
        <v>2804.9</v>
      </c>
      <c r="CG72" s="51">
        <f t="shared" ref="CG72:CI72" si="108">SUM(CG70:CG71)</f>
        <v>2719.1000000000004</v>
      </c>
      <c r="CH72" s="51">
        <f t="shared" si="108"/>
        <v>3242.6000000000004</v>
      </c>
      <c r="CI72" s="51">
        <f t="shared" si="108"/>
        <v>2694.9</v>
      </c>
      <c r="CJ72" s="51">
        <f t="shared" ref="CJ72:CK72" si="109">SUM(CJ70:CJ71)</f>
        <v>2958.5</v>
      </c>
      <c r="CK72" s="51">
        <f t="shared" si="109"/>
        <v>2801.8</v>
      </c>
      <c r="CL72" s="51">
        <f t="shared" ref="CL72:CM72" si="110">SUM(CL70:CL71)</f>
        <v>3240.7</v>
      </c>
      <c r="CM72" s="51">
        <f t="shared" si="110"/>
        <v>2826</v>
      </c>
      <c r="CN72" s="51">
        <f t="shared" ref="CN72" si="111">SUM(CN70:CN71)</f>
        <v>3002.5</v>
      </c>
      <c r="CO72" s="51">
        <f t="shared" ref="CO72:CP72" si="112">SUM(CO70:CO71)</f>
        <v>2918.5</v>
      </c>
      <c r="CP72" s="51">
        <f t="shared" si="112"/>
        <v>3290.4</v>
      </c>
      <c r="CQ72" s="51">
        <f t="shared" ref="CQ72:CR72" si="113">SUM(CQ70:CQ71)</f>
        <v>2676.9</v>
      </c>
      <c r="CR72" s="51">
        <f t="shared" si="113"/>
        <v>2986.8</v>
      </c>
      <c r="CS72" s="51">
        <f t="shared" ref="CS72:CT72" si="114">SUM(CS70:CS71)</f>
        <v>2959.8999999999996</v>
      </c>
      <c r="CT72" s="51">
        <f t="shared" si="114"/>
        <v>3315.3</v>
      </c>
      <c r="CU72" s="51">
        <f t="shared" ref="CU72:DG72" si="115">SUM(CU70:CU71)</f>
        <v>2747.6</v>
      </c>
      <c r="CV72" s="51">
        <f t="shared" si="115"/>
        <v>2988.5</v>
      </c>
      <c r="CW72" s="51">
        <f t="shared" si="115"/>
        <v>2793.2</v>
      </c>
      <c r="CX72" s="51">
        <f t="shared" si="115"/>
        <v>3279.5</v>
      </c>
      <c r="CY72" s="51">
        <f t="shared" si="115"/>
        <v>2941.7</v>
      </c>
      <c r="CZ72" s="51">
        <f t="shared" si="115"/>
        <v>2838.8</v>
      </c>
      <c r="DA72" s="51">
        <f t="shared" si="115"/>
        <v>3034.5</v>
      </c>
      <c r="DB72" s="51">
        <f t="shared" si="115"/>
        <v>3391.9</v>
      </c>
      <c r="DC72" s="51">
        <f t="shared" si="115"/>
        <v>3248.1</v>
      </c>
      <c r="DD72" s="51">
        <f t="shared" si="115"/>
        <v>3358.5</v>
      </c>
      <c r="DE72" s="51">
        <f t="shared" si="115"/>
        <v>3286.8</v>
      </c>
      <c r="DF72" s="51">
        <f t="shared" si="115"/>
        <v>3551.4</v>
      </c>
      <c r="DG72" s="51">
        <f t="shared" si="115"/>
        <v>3168</v>
      </c>
      <c r="DH72" s="51">
        <f t="shared" ref="DH72:DN72" si="116">SUM(DH70:DH71)</f>
        <v>3407</v>
      </c>
      <c r="DI72" s="51">
        <f t="shared" si="116"/>
        <v>3417.1000000000004</v>
      </c>
      <c r="DJ72" s="51">
        <f t="shared" si="116"/>
        <v>3639.1000000000004</v>
      </c>
      <c r="DK72" s="51">
        <f t="shared" si="116"/>
        <v>3734.3</v>
      </c>
      <c r="DL72" s="51">
        <f t="shared" si="116"/>
        <v>4281.8999999999996</v>
      </c>
      <c r="DM72" s="51">
        <f t="shared" si="116"/>
        <v>3417.1000000000004</v>
      </c>
      <c r="DN72" s="51">
        <f t="shared" si="116"/>
        <v>4487.2999999999993</v>
      </c>
      <c r="DO72" s="51">
        <f t="shared" ref="DO72:DR72" si="117">SUM(DO70:DO71)</f>
        <v>4475</v>
      </c>
      <c r="DP72" s="51">
        <f t="shared" si="117"/>
        <v>4674.2</v>
      </c>
      <c r="DQ72" s="51">
        <f t="shared" si="117"/>
        <v>4833.8999999999996</v>
      </c>
      <c r="DR72" s="51">
        <f t="shared" si="117"/>
        <v>4936.0300000000007</v>
      </c>
      <c r="DS72" s="51">
        <f t="shared" ref="DS72:DV72" si="118">SUM(DS70:DS71)</f>
        <v>0</v>
      </c>
      <c r="DT72" s="51">
        <f t="shared" si="118"/>
        <v>0</v>
      </c>
      <c r="DU72" s="51">
        <f t="shared" si="118"/>
        <v>0</v>
      </c>
      <c r="DV72" s="51">
        <f t="shared" si="118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19">EJ71+EJ70</f>
        <v>3603.3</v>
      </c>
      <c r="EK72" s="51">
        <f t="shared" ref="EK72:EM72" si="120">EK71+EK70</f>
        <v>4397.2000000000007</v>
      </c>
      <c r="EL72" s="51">
        <f t="shared" si="120"/>
        <v>4541.2</v>
      </c>
      <c r="EM72" s="51">
        <f t="shared" si="120"/>
        <v>5246.8</v>
      </c>
      <c r="EN72" s="51">
        <f t="shared" ref="EN72:ET72" si="121">EN71+EN70</f>
        <v>5652</v>
      </c>
      <c r="EO72" s="51">
        <f t="shared" si="121"/>
        <v>5573</v>
      </c>
      <c r="EP72" s="51">
        <f t="shared" si="121"/>
        <v>6405</v>
      </c>
      <c r="EQ72" s="51">
        <f t="shared" si="121"/>
        <v>6975</v>
      </c>
      <c r="ER72" s="51">
        <f t="shared" si="121"/>
        <v>7523</v>
      </c>
      <c r="ES72" s="51">
        <f t="shared" si="121"/>
        <v>7882</v>
      </c>
      <c r="ET72" s="51">
        <f t="shared" si="121"/>
        <v>8087.16</v>
      </c>
      <c r="EU72" s="51">
        <f>EU71+EU70</f>
        <v>10436.099999999999</v>
      </c>
      <c r="EV72" s="51">
        <f t="shared" ref="EV72:FB72" si="122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2"/>
        <v>7137.8249999999998</v>
      </c>
      <c r="FA72" s="51">
        <f t="shared" si="122"/>
        <v>5710.26</v>
      </c>
      <c r="FB72" s="51">
        <f t="shared" si="122"/>
        <v>0</v>
      </c>
      <c r="FC72" s="51"/>
      <c r="FD72" s="51">
        <f>FD71+FD70</f>
        <v>11078.599999999999</v>
      </c>
      <c r="FE72" s="51">
        <f t="shared" ref="FE72:FF72" si="123">FE71+FE70</f>
        <v>11026.3</v>
      </c>
      <c r="FF72" s="51">
        <f t="shared" si="123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18919.13</v>
      </c>
      <c r="FL72" s="51">
        <f t="shared" ref="FL72" si="124">FL71+FL70</f>
        <v>12620.999749999999</v>
      </c>
      <c r="FM72" s="51">
        <f t="shared" ref="FM72" si="125">FM71+FM70</f>
        <v>15089.6211375</v>
      </c>
      <c r="FN72" s="51">
        <f t="shared" ref="FN72" si="126">FN71+FN70</f>
        <v>18352.306979374996</v>
      </c>
      <c r="FO72" s="51">
        <f t="shared" ref="FO72" si="127">FO71+FO70</f>
        <v>20716.837703093737</v>
      </c>
      <c r="FP72" s="51">
        <f>FP71+FP70</f>
        <v>22250.693941298443</v>
      </c>
      <c r="FQ72" s="51">
        <f>FQ71+FQ70</f>
        <v>20559.821189721228</v>
      </c>
    </row>
    <row r="73" spans="1:251" x14ac:dyDescent="0.25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8">AP69-AP70-AP71</f>
        <v>651.10000000000036</v>
      </c>
      <c r="AQ73" s="51">
        <f t="shared" si="128"/>
        <v>558.43663366336614</v>
      </c>
      <c r="AR73" s="51">
        <f t="shared" si="128"/>
        <v>550.89999999999975</v>
      </c>
      <c r="AS73" s="51">
        <f t="shared" si="128"/>
        <v>676.63333333333367</v>
      </c>
      <c r="AT73" s="51">
        <f t="shared" si="128"/>
        <v>752.20000000000073</v>
      </c>
      <c r="AU73" s="51">
        <f t="shared" si="128"/>
        <v>747.30000000000018</v>
      </c>
      <c r="AV73" s="51">
        <f t="shared" si="128"/>
        <v>774.09999999999991</v>
      </c>
      <c r="AW73" s="51">
        <f t="shared" si="128"/>
        <v>942.50000000000045</v>
      </c>
      <c r="AX73" s="51">
        <f t="shared" si="128"/>
        <v>2301.8000000000006</v>
      </c>
      <c r="AY73" s="51">
        <f t="shared" si="128"/>
        <v>1215.4000000000003</v>
      </c>
      <c r="AZ73" s="51">
        <f t="shared" ref="AZ73:BE73" si="129">AZ69-AZ70-AZ71</f>
        <v>815.80000000000007</v>
      </c>
      <c r="BA73" s="51">
        <f t="shared" si="129"/>
        <v>2522.3999999999987</v>
      </c>
      <c r="BB73" s="51">
        <f t="shared" si="129"/>
        <v>2683.5000000000005</v>
      </c>
      <c r="BC73" s="51">
        <f t="shared" si="129"/>
        <v>2702.900000000001</v>
      </c>
      <c r="BD73" s="51">
        <f t="shared" si="129"/>
        <v>2850.9999999999986</v>
      </c>
      <c r="BE73" s="51">
        <f t="shared" si="129"/>
        <v>3039.5000000000009</v>
      </c>
      <c r="BF73" s="51">
        <f t="shared" ref="BF73:BK73" si="130">BF69-BF72</f>
        <v>1556.1999999999998</v>
      </c>
      <c r="BG73" s="51">
        <f t="shared" si="130"/>
        <v>1598.9</v>
      </c>
      <c r="BH73" s="51">
        <f t="shared" si="130"/>
        <v>1417.5</v>
      </c>
      <c r="BI73" s="51">
        <f t="shared" si="130"/>
        <v>1686.2000000000007</v>
      </c>
      <c r="BJ73" s="51">
        <f t="shared" si="130"/>
        <v>1332.6999999999998</v>
      </c>
      <c r="BK73" s="51">
        <f t="shared" si="130"/>
        <v>1709.5</v>
      </c>
      <c r="BL73" s="51">
        <f t="shared" ref="BL73:BN73" si="131">BL69-BL72</f>
        <v>1782.1999999999998</v>
      </c>
      <c r="BM73" s="51">
        <f t="shared" si="131"/>
        <v>1752.5</v>
      </c>
      <c r="BN73" s="51">
        <f t="shared" si="131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2">+BW69-BW72</f>
        <v>1443.6</v>
      </c>
      <c r="BX73" s="51">
        <f t="shared" si="132"/>
        <v>1566.5</v>
      </c>
      <c r="BY73" s="51">
        <f t="shared" si="132"/>
        <v>1544.6999999999998</v>
      </c>
      <c r="BZ73" s="51">
        <f t="shared" si="132"/>
        <v>993.30000000000018</v>
      </c>
      <c r="CA73" s="51">
        <f t="shared" ref="CA73" si="133">CA69-CA72</f>
        <v>866.20000000000073</v>
      </c>
      <c r="CB73" s="51">
        <f t="shared" ref="CB73:CC73" si="134">CB69-CB72</f>
        <v>886.60000000000036</v>
      </c>
      <c r="CC73" s="51">
        <f t="shared" si="134"/>
        <v>693.30000000000018</v>
      </c>
      <c r="CD73" s="51">
        <f t="shared" ref="CD73" si="135">CD69-CD72</f>
        <v>882.59999999999991</v>
      </c>
      <c r="CE73" s="51">
        <f t="shared" ref="CE73:CF73" si="136">CE69-CE72</f>
        <v>889.19999999999982</v>
      </c>
      <c r="CF73" s="51">
        <f t="shared" si="136"/>
        <v>1139.8999999999996</v>
      </c>
      <c r="CG73" s="51">
        <f t="shared" ref="CG73:CI73" si="137">CG69-CG72</f>
        <v>1003.6999999999994</v>
      </c>
      <c r="CH73" s="51">
        <f t="shared" si="137"/>
        <v>743.80000000000018</v>
      </c>
      <c r="CI73" s="51">
        <f t="shared" si="137"/>
        <v>847.20000000000027</v>
      </c>
      <c r="CJ73" s="51">
        <f t="shared" ref="CJ73:CK73" si="138">CJ69-CJ72</f>
        <v>1147.8999999999996</v>
      </c>
      <c r="CK73" s="51">
        <f t="shared" si="138"/>
        <v>988.99999999999955</v>
      </c>
      <c r="CL73" s="51">
        <f t="shared" ref="CL73:CM73" si="139">CL69-CL72</f>
        <v>1053.8000000000002</v>
      </c>
      <c r="CM73" s="51">
        <f t="shared" si="139"/>
        <v>1054.4000000000001</v>
      </c>
      <c r="CN73" s="51">
        <f t="shared" ref="CN73" si="140">CN69-CN72</f>
        <v>1250.1000000000004</v>
      </c>
      <c r="CO73" s="51">
        <f t="shared" ref="CO73:CP73" si="141">CO69-CO72</f>
        <v>1153.1999999999998</v>
      </c>
      <c r="CP73" s="51">
        <f t="shared" si="141"/>
        <v>1225.3999999999992</v>
      </c>
      <c r="CQ73" s="51">
        <f t="shared" ref="CQ73:CR73" si="142">CQ69-CQ72</f>
        <v>715.59999999999991</v>
      </c>
      <c r="CR73" s="51">
        <f t="shared" si="142"/>
        <v>1665.6999999999998</v>
      </c>
      <c r="CS73" s="51">
        <f t="shared" ref="CS73:CT73" si="143">CS69-CS72</f>
        <v>1539.6999999999998</v>
      </c>
      <c r="CT73" s="51">
        <f t="shared" si="143"/>
        <v>1529.6000000000004</v>
      </c>
      <c r="CU73" s="51">
        <f t="shared" ref="CU73:DG73" si="144">CU69-CU72</f>
        <v>1333.9999999999977</v>
      </c>
      <c r="CV73" s="51">
        <f t="shared" si="144"/>
        <v>1575.0000000000009</v>
      </c>
      <c r="CW73" s="51">
        <f t="shared" si="144"/>
        <v>1565.0000000000009</v>
      </c>
      <c r="CX73" s="51">
        <f t="shared" si="144"/>
        <v>1604.8999999999996</v>
      </c>
      <c r="CY73" s="51">
        <f t="shared" si="144"/>
        <v>1761.5999999999976</v>
      </c>
      <c r="CZ73" s="51">
        <f t="shared" si="144"/>
        <v>1541.3999999999987</v>
      </c>
      <c r="DA73" s="51">
        <f t="shared" si="144"/>
        <v>1506.1999999999989</v>
      </c>
      <c r="DB73" s="51">
        <f t="shared" si="144"/>
        <v>2328.3999999999992</v>
      </c>
      <c r="DC73" s="51">
        <f t="shared" si="144"/>
        <v>1886.1000000000008</v>
      </c>
      <c r="DD73" s="51">
        <f t="shared" si="144"/>
        <v>1983.4999999999973</v>
      </c>
      <c r="DE73" s="51">
        <f t="shared" si="144"/>
        <v>2064.3999999999978</v>
      </c>
      <c r="DF73" s="51">
        <f t="shared" si="144"/>
        <v>2398.2999999999997</v>
      </c>
      <c r="DG73" s="51">
        <f t="shared" si="144"/>
        <v>2774.5999999999995</v>
      </c>
      <c r="DH73" s="51">
        <f t="shared" ref="DH73:DN73" si="145">DH69-DH72</f>
        <v>1771.7000000000016</v>
      </c>
      <c r="DI73" s="51">
        <f t="shared" si="145"/>
        <v>1945.2999999999993</v>
      </c>
      <c r="DJ73" s="51">
        <f t="shared" si="145"/>
        <v>2238.8000000000011</v>
      </c>
      <c r="DK73" s="51">
        <f t="shared" si="145"/>
        <v>1724.9999999999991</v>
      </c>
      <c r="DL73" s="51">
        <f t="shared" si="145"/>
        <v>1770.2999999999993</v>
      </c>
      <c r="DM73" s="51">
        <f t="shared" si="145"/>
        <v>2926.5999999999976</v>
      </c>
      <c r="DN73" s="51">
        <f t="shared" si="145"/>
        <v>3320.0000000000018</v>
      </c>
      <c r="DO73" s="51">
        <f t="shared" ref="DO73:DR73" si="146">DO69-DO72</f>
        <v>2758.8999999999996</v>
      </c>
      <c r="DP73" s="51">
        <f t="shared" si="146"/>
        <v>4597.3999999999987</v>
      </c>
      <c r="DQ73" s="51">
        <f t="shared" si="146"/>
        <v>4573.9000000000051</v>
      </c>
      <c r="DR73" s="51">
        <f t="shared" si="146"/>
        <v>5522.0582000000031</v>
      </c>
      <c r="DS73" s="51">
        <f t="shared" ref="DS73:DV73" si="147">DS69-DS72</f>
        <v>0</v>
      </c>
      <c r="DT73" s="51">
        <f t="shared" si="147"/>
        <v>0</v>
      </c>
      <c r="DU73" s="51">
        <f t="shared" si="147"/>
        <v>0</v>
      </c>
      <c r="DV73" s="51">
        <f t="shared" si="147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8">EJ69-EJ70-EJ71</f>
        <v>2438.3999999999996</v>
      </c>
      <c r="EK73" s="51">
        <f t="shared" ref="EK73:EM73" si="149">EK69-EK70-EK71</f>
        <v>2824.4999999999986</v>
      </c>
      <c r="EL73" s="51">
        <f t="shared" si="149"/>
        <v>3363.6999999999994</v>
      </c>
      <c r="EM73" s="51">
        <f t="shared" si="149"/>
        <v>3559.7</v>
      </c>
      <c r="EN73" s="51">
        <f t="shared" ref="EN73:EV73" si="150">EN69-EN70-EN71</f>
        <v>3817</v>
      </c>
      <c r="EO73" s="51">
        <f t="shared" si="150"/>
        <v>3406.2000000000007</v>
      </c>
      <c r="EP73" s="51">
        <f t="shared" si="150"/>
        <v>3505</v>
      </c>
      <c r="EQ73" s="51">
        <f t="shared" si="150"/>
        <v>3660</v>
      </c>
      <c r="ER73" s="51">
        <f t="shared" si="150"/>
        <v>3653</v>
      </c>
      <c r="ES73" s="51">
        <f t="shared" si="150"/>
        <v>4400.4999999999982</v>
      </c>
      <c r="ET73" s="51">
        <f t="shared" si="150"/>
        <v>6393.6959999999981</v>
      </c>
      <c r="EU73" s="51">
        <f>EU69-EU70-EU71</f>
        <v>10149.599999999999</v>
      </c>
      <c r="EV73" s="51">
        <f t="shared" si="150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1">EZ69-EZ70-EZ71</f>
        <v>-7137.8249999999998</v>
      </c>
      <c r="FA73" s="51">
        <f t="shared" si="151"/>
        <v>-5710.26</v>
      </c>
      <c r="FB73" s="51">
        <f t="shared" si="151"/>
        <v>0</v>
      </c>
      <c r="FC73" s="51"/>
      <c r="FD73" s="51">
        <f t="shared" ref="FD73:FF73" si="152">+FD69-FD72</f>
        <v>4447.9000000000051</v>
      </c>
      <c r="FE73" s="51">
        <f t="shared" si="152"/>
        <v>5785.0999999999985</v>
      </c>
      <c r="FF73" s="51">
        <f t="shared" si="152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16894.358200000006</v>
      </c>
      <c r="FL73" s="51">
        <f t="shared" ref="FL73" si="153">+FL69-FL72</f>
        <v>27261.359460000003</v>
      </c>
      <c r="FM73" s="51">
        <f t="shared" ref="FM73" si="154">+FM69-FM72</f>
        <v>32593.581657000002</v>
      </c>
      <c r="FN73" s="51">
        <f t="shared" ref="FN73" si="155">+FN69-FN72</f>
        <v>39640.983075449993</v>
      </c>
      <c r="FO73" s="51">
        <f t="shared" ref="FO73" si="156">+FO69-FO72</f>
        <v>44748.369438682479</v>
      </c>
      <c r="FP73" s="51">
        <f>+FP69-FP72</f>
        <v>48061.498913204639</v>
      </c>
      <c r="FQ73" s="51">
        <f>+FQ69-FQ72</f>
        <v>49343.570855330938</v>
      </c>
    </row>
    <row r="74" spans="1:251" x14ac:dyDescent="0.25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>
        <v>-62</v>
      </c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7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8">SUM(CU74:CX74)</f>
        <v>320.2</v>
      </c>
      <c r="FG74" s="49">
        <f t="shared" ref="FG74" si="159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60">+FK95*$FS$93</f>
        <v>-357.22763635999985</v>
      </c>
      <c r="FM74" s="49">
        <f t="shared" si="160"/>
        <v>1149.4037457638406</v>
      </c>
      <c r="FN74" s="49">
        <f t="shared" si="160"/>
        <v>3039.0109283186162</v>
      </c>
      <c r="FO74" s="49">
        <f t="shared" si="160"/>
        <v>5429.0905925296584</v>
      </c>
      <c r="FP74" s="49">
        <f t="shared" si="160"/>
        <v>8239.0283542775378</v>
      </c>
      <c r="FQ74" s="49">
        <f>+FP95*$FS$93</f>
        <v>11391.857881256541</v>
      </c>
    </row>
    <row r="75" spans="1:251" x14ac:dyDescent="0.25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1">AP73+AP74</f>
        <v>720.20000000000039</v>
      </c>
      <c r="AQ75" s="51">
        <f t="shared" si="161"/>
        <v>657.43663366336614</v>
      </c>
      <c r="AR75" s="51">
        <f t="shared" si="161"/>
        <v>596.29999999999973</v>
      </c>
      <c r="AS75" s="51">
        <f t="shared" si="161"/>
        <v>761.63333333333367</v>
      </c>
      <c r="AT75" s="51">
        <f t="shared" si="161"/>
        <v>837.40000000000077</v>
      </c>
      <c r="AU75" s="51">
        <f t="shared" si="161"/>
        <v>779.30000000000018</v>
      </c>
      <c r="AV75" s="51">
        <f t="shared" si="161"/>
        <v>821.09999999999991</v>
      </c>
      <c r="AW75" s="51">
        <f t="shared" si="161"/>
        <v>937.7000000000005</v>
      </c>
      <c r="AX75" s="51">
        <f t="shared" si="161"/>
        <v>2340.7000000000007</v>
      </c>
      <c r="AY75" s="51">
        <f t="shared" si="161"/>
        <v>1253.7000000000003</v>
      </c>
      <c r="AZ75" s="51">
        <f t="shared" ref="AZ75:BG75" si="162">AZ73+AZ74</f>
        <v>817.6</v>
      </c>
      <c r="BA75" s="51">
        <f t="shared" si="162"/>
        <v>2572.1999999999989</v>
      </c>
      <c r="BB75" s="51">
        <f t="shared" si="162"/>
        <v>2715.6000000000004</v>
      </c>
      <c r="BC75" s="51">
        <f t="shared" si="162"/>
        <v>2723.2000000000012</v>
      </c>
      <c r="BD75" s="51">
        <f t="shared" si="162"/>
        <v>2883.2999999999988</v>
      </c>
      <c r="BE75" s="51">
        <f t="shared" si="162"/>
        <v>3042.0000000000009</v>
      </c>
      <c r="BF75" s="51">
        <f t="shared" si="162"/>
        <v>1507.9999999999998</v>
      </c>
      <c r="BG75" s="51">
        <f t="shared" si="162"/>
        <v>1528.2</v>
      </c>
      <c r="BH75" s="51">
        <f t="shared" ref="BH75:BM75" si="163">BH73+BH74</f>
        <v>1393.4</v>
      </c>
      <c r="BI75" s="51">
        <f t="shared" si="163"/>
        <v>1619.3000000000006</v>
      </c>
      <c r="BJ75" s="51">
        <f t="shared" si="163"/>
        <v>1264.8999999999999</v>
      </c>
      <c r="BK75" s="51">
        <f t="shared" si="163"/>
        <v>1784</v>
      </c>
      <c r="BL75" s="51">
        <f t="shared" si="163"/>
        <v>1745.3999999999999</v>
      </c>
      <c r="BM75" s="51">
        <f t="shared" si="163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4">+BW73+BW74</f>
        <v>1477.3999999999999</v>
      </c>
      <c r="BX75" s="51">
        <f t="shared" si="164"/>
        <v>1578.4</v>
      </c>
      <c r="BY75" s="51">
        <f t="shared" si="164"/>
        <v>1513.3999999999999</v>
      </c>
      <c r="BZ75" s="51">
        <f>+BZ73+BZ74</f>
        <v>1002.4000000000002</v>
      </c>
      <c r="CA75" s="51">
        <f t="shared" ref="CA75" si="165">CA73-CA74</f>
        <v>810.20000000000073</v>
      </c>
      <c r="CB75" s="51">
        <f t="shared" ref="CB75:CC75" si="166">CB73-CB74</f>
        <v>832.80000000000041</v>
      </c>
      <c r="CC75" s="51">
        <f t="shared" si="166"/>
        <v>599.80000000000018</v>
      </c>
      <c r="CD75" s="51">
        <f t="shared" ref="CD75" si="167">CD73-CD74</f>
        <v>745.39999999999986</v>
      </c>
      <c r="CE75" s="51">
        <f t="shared" ref="CE75:CF75" si="168">CE73-CE74</f>
        <v>796.49999999999977</v>
      </c>
      <c r="CF75" s="51">
        <f t="shared" si="168"/>
        <v>1263.1999999999996</v>
      </c>
      <c r="CG75" s="51">
        <f t="shared" ref="CG75:CI75" si="169">CG73-CG74</f>
        <v>917.19999999999936</v>
      </c>
      <c r="CH75" s="51">
        <f t="shared" si="169"/>
        <v>699.10000000000014</v>
      </c>
      <c r="CI75" s="51">
        <f t="shared" si="169"/>
        <v>996.20000000000027</v>
      </c>
      <c r="CJ75" s="51">
        <f t="shared" ref="CJ75:CK75" si="170">CJ73-CJ74</f>
        <v>1126.6999999999996</v>
      </c>
      <c r="CK75" s="51">
        <f t="shared" si="170"/>
        <v>961.7999999999995</v>
      </c>
      <c r="CL75" s="51">
        <f t="shared" ref="CL75:CM75" si="171">CL73-CL74</f>
        <v>1038.0000000000002</v>
      </c>
      <c r="CM75" s="51">
        <f t="shared" si="171"/>
        <v>976.10000000000014</v>
      </c>
      <c r="CN75" s="51">
        <f t="shared" ref="CN75:CP75" si="172">CN73-CN74</f>
        <v>1189.7000000000003</v>
      </c>
      <c r="CO75" s="51">
        <f t="shared" si="172"/>
        <v>1103.2999999999997</v>
      </c>
      <c r="CP75" s="51">
        <f t="shared" si="172"/>
        <v>1113.4999999999991</v>
      </c>
      <c r="CQ75" s="51">
        <f t="shared" ref="CQ75:CR75" si="173">CQ73-CQ74</f>
        <v>648.09999999999991</v>
      </c>
      <c r="CR75" s="51">
        <f t="shared" si="173"/>
        <v>1627.6999999999998</v>
      </c>
      <c r="CS75" s="51">
        <f t="shared" ref="CS75:CT75" si="174">CS73-CS74</f>
        <v>1555.1</v>
      </c>
      <c r="CT75" s="51">
        <f t="shared" si="174"/>
        <v>1544.9000000000003</v>
      </c>
      <c r="CU75" s="51">
        <f t="shared" ref="CU75:DR75" si="175">CU73-CU74</f>
        <v>1278.0999999999976</v>
      </c>
      <c r="CV75" s="51">
        <f t="shared" si="175"/>
        <v>1483.5000000000009</v>
      </c>
      <c r="CW75" s="51">
        <f t="shared" si="175"/>
        <v>1474.900000000001</v>
      </c>
      <c r="CX75" s="51">
        <f t="shared" si="175"/>
        <v>1522.1999999999996</v>
      </c>
      <c r="CY75" s="51">
        <f t="shared" si="175"/>
        <v>1683.3999999999976</v>
      </c>
      <c r="CZ75" s="51">
        <f t="shared" si="175"/>
        <v>1460.1999999999987</v>
      </c>
      <c r="DA75" s="51">
        <f t="shared" si="175"/>
        <v>1422.399999999999</v>
      </c>
      <c r="DB75" s="51">
        <f t="shared" si="175"/>
        <v>2244.9999999999991</v>
      </c>
      <c r="DC75" s="51">
        <f t="shared" si="175"/>
        <v>1920.7000000000007</v>
      </c>
      <c r="DD75" s="51">
        <f t="shared" si="175"/>
        <v>1901.9999999999973</v>
      </c>
      <c r="DE75" s="51">
        <f t="shared" si="175"/>
        <v>1986.7999999999979</v>
      </c>
      <c r="DF75" s="51">
        <f t="shared" si="175"/>
        <v>2320.9999999999995</v>
      </c>
      <c r="DG75" s="51">
        <f t="shared" si="175"/>
        <v>2812.2999999999993</v>
      </c>
      <c r="DH75" s="51">
        <f t="shared" si="175"/>
        <v>1890.9000000000017</v>
      </c>
      <c r="DI75" s="51">
        <f t="shared" si="175"/>
        <v>1834.2999999999993</v>
      </c>
      <c r="DJ75" s="51">
        <f t="shared" si="175"/>
        <v>2195.3000000000011</v>
      </c>
      <c r="DK75" s="51">
        <f t="shared" si="175"/>
        <v>1689.299999999999</v>
      </c>
      <c r="DL75" s="51">
        <f t="shared" si="175"/>
        <v>1807.0999999999992</v>
      </c>
      <c r="DM75" s="51">
        <f t="shared" si="175"/>
        <v>2926.5999999999976</v>
      </c>
      <c r="DN75" s="51">
        <f t="shared" si="175"/>
        <v>3316.0000000000018</v>
      </c>
      <c r="DO75" s="51">
        <f t="shared" si="175"/>
        <v>2704.7</v>
      </c>
      <c r="DP75" s="51">
        <f t="shared" si="175"/>
        <v>4399.7999999999984</v>
      </c>
      <c r="DQ75" s="51">
        <f t="shared" si="175"/>
        <v>4635.9000000000051</v>
      </c>
      <c r="DR75" s="51">
        <f t="shared" si="175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6">EJ73+EJ74</f>
        <v>2205.6999999999998</v>
      </c>
      <c r="EK75" s="51">
        <f t="shared" si="176"/>
        <v>2643.1999999999985</v>
      </c>
      <c r="EL75" s="51">
        <f t="shared" si="176"/>
        <v>3179.8999999999992</v>
      </c>
      <c r="EM75" s="51">
        <f t="shared" si="176"/>
        <v>3377.3999999999996</v>
      </c>
      <c r="EN75" s="51">
        <f t="shared" ref="EN75:ES75" si="177">EN73+EN74</f>
        <v>3951</v>
      </c>
      <c r="EO75" s="51">
        <f t="shared" si="177"/>
        <v>3620.2000000000007</v>
      </c>
      <c r="EP75" s="51">
        <f t="shared" si="177"/>
        <v>3590</v>
      </c>
      <c r="EQ75" s="51">
        <f t="shared" si="177"/>
        <v>3939</v>
      </c>
      <c r="ER75" s="51">
        <f t="shared" si="177"/>
        <v>3966</v>
      </c>
      <c r="ES75" s="51">
        <f t="shared" si="177"/>
        <v>4601.4999999999982</v>
      </c>
      <c r="ET75" s="51">
        <f t="shared" ref="ET75" si="178">ET73+ET74</f>
        <v>6493.6959999999981</v>
      </c>
      <c r="EU75" s="51">
        <f t="shared" ref="EU75:FD75" si="179">EU73+EU74</f>
        <v>10156.499999999998</v>
      </c>
      <c r="EV75" s="51">
        <f t="shared" si="179"/>
        <v>5805.7999999999993</v>
      </c>
      <c r="EW75" s="51">
        <f t="shared" si="179"/>
        <v>5544.899999999996</v>
      </c>
      <c r="EX75" s="51">
        <f t="shared" si="179"/>
        <v>5729.7000000000016</v>
      </c>
      <c r="EY75" s="51">
        <f t="shared" si="179"/>
        <v>4299.5999999999995</v>
      </c>
      <c r="EZ75" s="51">
        <f t="shared" si="179"/>
        <v>-7137.8249999999998</v>
      </c>
      <c r="FA75" s="51">
        <f t="shared" si="179"/>
        <v>-5710.26</v>
      </c>
      <c r="FB75" s="51">
        <f t="shared" si="179"/>
        <v>0</v>
      </c>
      <c r="FC75" s="51">
        <f t="shared" si="179"/>
        <v>0</v>
      </c>
      <c r="FD75" s="51">
        <f t="shared" si="179"/>
        <v>4447.9000000000051</v>
      </c>
      <c r="FE75" s="51">
        <f t="shared" ref="FE75:FP75" si="180">FE73+FE74</f>
        <v>5785.0999999999985</v>
      </c>
      <c r="FF75" s="51">
        <f t="shared" si="180"/>
        <v>6399.0999999999976</v>
      </c>
      <c r="FG75" s="51">
        <f t="shared" si="180"/>
        <v>7464.2000000000007</v>
      </c>
      <c r="FH75" s="51">
        <f>FH73+FH74</f>
        <v>8534.0999999999985</v>
      </c>
      <c r="FI75" s="51">
        <f t="shared" si="180"/>
        <v>8728.0000000000055</v>
      </c>
      <c r="FJ75" s="51">
        <f>FJ73+FJ74</f>
        <v>9583.1000000000022</v>
      </c>
      <c r="FK75" s="51">
        <f>FK73+FK74</f>
        <v>16444.358200000006</v>
      </c>
      <c r="FL75" s="51">
        <f t="shared" si="180"/>
        <v>26904.131823640004</v>
      </c>
      <c r="FM75" s="51">
        <f t="shared" si="180"/>
        <v>33742.985402763843</v>
      </c>
      <c r="FN75" s="51">
        <f t="shared" si="180"/>
        <v>42679.99400376861</v>
      </c>
      <c r="FO75" s="51">
        <f t="shared" si="180"/>
        <v>50177.46003121214</v>
      </c>
      <c r="FP75" s="51">
        <f t="shared" si="180"/>
        <v>56300.527267482175</v>
      </c>
      <c r="FQ75" s="51">
        <f>FQ73+FQ74</f>
        <v>60735.428736587477</v>
      </c>
    </row>
    <row r="76" spans="1:251" x14ac:dyDescent="0.25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1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v>618.1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2">EZ75*0.28</f>
        <v>-1998.5910000000001</v>
      </c>
      <c r="FA76" s="51">
        <f t="shared" si="182"/>
        <v>-1598.8728000000003</v>
      </c>
      <c r="FB76" s="51">
        <f t="shared" si="182"/>
        <v>0</v>
      </c>
      <c r="FC76" s="51"/>
      <c r="FD76" s="51"/>
      <c r="FE76" s="51"/>
      <c r="FF76" s="49">
        <f t="shared" ref="FF76" si="183">SUM(CU76:CX76)</f>
        <v>685.4</v>
      </c>
      <c r="FG76" s="49">
        <f t="shared" ref="FG76" si="184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2302.210148000001</v>
      </c>
      <c r="FL76" s="51">
        <f t="shared" ref="FL76:FP76" si="185">FL75*0.2</f>
        <v>5380.826364728001</v>
      </c>
      <c r="FM76" s="51">
        <f t="shared" si="185"/>
        <v>6748.5970805527686</v>
      </c>
      <c r="FN76" s="51">
        <f t="shared" si="185"/>
        <v>8535.9988007537231</v>
      </c>
      <c r="FO76" s="51">
        <f t="shared" si="185"/>
        <v>10035.492006242428</v>
      </c>
      <c r="FP76" s="51">
        <f t="shared" si="185"/>
        <v>11260.105453496435</v>
      </c>
      <c r="FQ76" s="51">
        <f>FQ75*0.2</f>
        <v>12147.085747317496</v>
      </c>
    </row>
    <row r="77" spans="1:251" x14ac:dyDescent="0.25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6">AP75-AP76</f>
        <v>490.20000000000039</v>
      </c>
      <c r="AQ77" s="51">
        <f t="shared" si="186"/>
        <v>449.43663366336614</v>
      </c>
      <c r="AR77" s="51">
        <f t="shared" si="186"/>
        <v>390.99999999999972</v>
      </c>
      <c r="AS77" s="51">
        <f t="shared" si="186"/>
        <v>537.53333333333364</v>
      </c>
      <c r="AT77" s="51">
        <f t="shared" si="186"/>
        <v>642.40000000000077</v>
      </c>
      <c r="AU77" s="51">
        <f t="shared" si="186"/>
        <v>557.30000000000018</v>
      </c>
      <c r="AV77" s="51">
        <f t="shared" si="186"/>
        <v>602.09999999999991</v>
      </c>
      <c r="AW77" s="51">
        <f t="shared" si="186"/>
        <v>717.10000000000048</v>
      </c>
      <c r="AX77" s="51">
        <f t="shared" si="186"/>
        <v>2114.1000000000008</v>
      </c>
      <c r="AY77" s="51">
        <f t="shared" si="186"/>
        <v>996.10000000000025</v>
      </c>
      <c r="AZ77" s="51">
        <f t="shared" si="186"/>
        <v>554.5</v>
      </c>
      <c r="BA77" s="51">
        <f t="shared" ref="BA77:BF77" si="187">BA75-BA76</f>
        <v>2308.8999999999987</v>
      </c>
      <c r="BB77" s="51">
        <f t="shared" si="187"/>
        <v>2517.7000000000003</v>
      </c>
      <c r="BC77" s="51">
        <f t="shared" si="187"/>
        <v>2731.2000000000012</v>
      </c>
      <c r="BD77" s="51">
        <f t="shared" si="187"/>
        <v>2635.7999999999988</v>
      </c>
      <c r="BE77" s="51">
        <f t="shared" si="187"/>
        <v>2722.0000000000009</v>
      </c>
      <c r="BF77" s="51">
        <f t="shared" si="187"/>
        <v>1212.0999999999999</v>
      </c>
      <c r="BG77" s="51">
        <f t="shared" ref="BG77:BL77" si="188">BG75-BG76</f>
        <v>1157.9000000000001</v>
      </c>
      <c r="BH77" s="51">
        <f t="shared" si="188"/>
        <v>1047.4000000000001</v>
      </c>
      <c r="BI77" s="51">
        <f t="shared" si="188"/>
        <v>1491.6000000000006</v>
      </c>
      <c r="BJ77" s="51">
        <f t="shared" si="188"/>
        <v>999.19999999999982</v>
      </c>
      <c r="BK77" s="51">
        <f t="shared" si="188"/>
        <v>1297.5999999999999</v>
      </c>
      <c r="BL77" s="51">
        <f t="shared" si="188"/>
        <v>1357.7999999999997</v>
      </c>
      <c r="BM77" s="51">
        <f t="shared" ref="BM77:BS77" si="189">BM75-BM76</f>
        <v>1340.6999999999998</v>
      </c>
      <c r="BN77" s="51">
        <f t="shared" si="189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89"/>
        <v>969.60000000000059</v>
      </c>
      <c r="BS77" s="51">
        <f t="shared" si="189"/>
        <v>1027.3</v>
      </c>
      <c r="BT77" s="51">
        <f t="shared" ref="BT77:BV77" si="190">BT75-BT76</f>
        <v>923.39999999999907</v>
      </c>
      <c r="BU77" s="51">
        <f t="shared" si="190"/>
        <v>887.49999999999989</v>
      </c>
      <c r="BV77" s="51">
        <f t="shared" si="190"/>
        <v>1031.2</v>
      </c>
      <c r="BW77" s="51">
        <f t="shared" ref="BW77:CA77" si="191">BW75-BW76</f>
        <v>1074.2999999999997</v>
      </c>
      <c r="BX77" s="51">
        <f t="shared" si="191"/>
        <v>1269.7</v>
      </c>
      <c r="BY77" s="51">
        <f t="shared" si="191"/>
        <v>1203.0999999999999</v>
      </c>
      <c r="BZ77" s="51">
        <f>BZ75-BZ76</f>
        <v>820.00000000000023</v>
      </c>
      <c r="CA77" s="51">
        <f t="shared" si="191"/>
        <v>647.30000000000075</v>
      </c>
      <c r="CB77" s="51">
        <f t="shared" ref="CB77:CC77" si="192">CB75-CB76</f>
        <v>625.90000000000043</v>
      </c>
      <c r="CC77" s="51">
        <f t="shared" si="192"/>
        <v>444.9000000000002</v>
      </c>
      <c r="CD77" s="51">
        <f t="shared" ref="CD77" si="193">CD75-CD76</f>
        <v>660.29999999999984</v>
      </c>
      <c r="CE77" s="51">
        <f t="shared" ref="CE77:CF77" si="194">CE75-CE76</f>
        <v>708.0999999999998</v>
      </c>
      <c r="CF77" s="51">
        <f t="shared" si="194"/>
        <v>1184.2999999999995</v>
      </c>
      <c r="CG77" s="51">
        <f t="shared" ref="CG77:CH77" si="195">CG75-CG76</f>
        <v>669.09999999999934</v>
      </c>
      <c r="CH77" s="51">
        <f t="shared" si="195"/>
        <v>699.10000000000014</v>
      </c>
      <c r="CI77" s="51">
        <f t="shared" ref="CI77:CJ77" si="196">CI75-CI76</f>
        <v>869.50000000000023</v>
      </c>
      <c r="CJ77" s="51">
        <f t="shared" si="196"/>
        <v>929.89999999999964</v>
      </c>
      <c r="CK77" s="51">
        <f t="shared" ref="CK77:CL77" si="197">CK75-CK76</f>
        <v>769.09999999999945</v>
      </c>
      <c r="CL77" s="51">
        <f t="shared" si="197"/>
        <v>917.80000000000018</v>
      </c>
      <c r="CM77" s="51">
        <f t="shared" ref="CM77:CN77" si="198">CM75-CM76</f>
        <v>804.10000000000014</v>
      </c>
      <c r="CN77" s="51">
        <f t="shared" si="198"/>
        <v>937.20000000000027</v>
      </c>
      <c r="CO77" s="51">
        <f t="shared" ref="CO77:CP77" si="199">CO75-CO76</f>
        <v>1067.2999999999997</v>
      </c>
      <c r="CP77" s="51">
        <f t="shared" si="199"/>
        <v>1113.4999999999991</v>
      </c>
      <c r="CQ77" s="51">
        <f t="shared" ref="CQ77:CR77" si="200">CQ75-CQ76</f>
        <v>424.49999999999989</v>
      </c>
      <c r="CR77" s="51">
        <f t="shared" si="200"/>
        <v>1362.9999999999998</v>
      </c>
      <c r="CS77" s="51">
        <f t="shared" ref="CS77:CT77" si="201">CS75-CS76</f>
        <v>1293.5999999999999</v>
      </c>
      <c r="CT77" s="51">
        <f t="shared" si="201"/>
        <v>1544.9000000000003</v>
      </c>
      <c r="CU77" s="51">
        <f t="shared" ref="CU77:DG77" si="202">CU75-CU76</f>
        <v>1094.6999999999975</v>
      </c>
      <c r="CV77" s="51">
        <f t="shared" si="202"/>
        <v>1329.0000000000009</v>
      </c>
      <c r="CW77" s="51">
        <f t="shared" si="202"/>
        <v>1294.8000000000011</v>
      </c>
      <c r="CX77" s="51">
        <f t="shared" si="202"/>
        <v>1354.7999999999995</v>
      </c>
      <c r="CY77" s="51">
        <f t="shared" si="202"/>
        <v>1431.4999999999975</v>
      </c>
      <c r="CZ77" s="51">
        <f t="shared" si="202"/>
        <v>1228.4999999999986</v>
      </c>
      <c r="DA77" s="51">
        <f t="shared" si="202"/>
        <v>1164.1999999999989</v>
      </c>
      <c r="DB77" s="51">
        <f t="shared" si="202"/>
        <v>1892.6999999999991</v>
      </c>
      <c r="DC77" s="51">
        <f t="shared" si="202"/>
        <v>1777.5000000000007</v>
      </c>
      <c r="DD77" s="51">
        <f t="shared" si="202"/>
        <v>1698.2999999999972</v>
      </c>
      <c r="DE77" s="51">
        <f t="shared" si="202"/>
        <v>1693.5999999999979</v>
      </c>
      <c r="DF77" s="51">
        <f t="shared" si="202"/>
        <v>2207.1999999999994</v>
      </c>
      <c r="DG77" s="51">
        <f t="shared" si="202"/>
        <v>2538.4999999999991</v>
      </c>
      <c r="DH77" s="51">
        <f>+DH75-DH76</f>
        <v>1703.7000000000016</v>
      </c>
      <c r="DI77" s="51">
        <f t="shared" ref="DI77:DR77" si="203">+DI75-DI76</f>
        <v>1720.4999999999993</v>
      </c>
      <c r="DJ77" s="51">
        <f t="shared" si="203"/>
        <v>2026.900000000001</v>
      </c>
      <c r="DK77" s="51">
        <f t="shared" si="203"/>
        <v>1504.4999999999991</v>
      </c>
      <c r="DL77" s="51">
        <f t="shared" si="203"/>
        <v>1481.3999999999992</v>
      </c>
      <c r="DM77" s="51">
        <f t="shared" si="203"/>
        <v>2633.9399999999978</v>
      </c>
      <c r="DN77" s="51">
        <f t="shared" si="203"/>
        <v>2976.9000000000019</v>
      </c>
      <c r="DO77" s="51">
        <f t="shared" si="203"/>
        <v>2388.1999999999998</v>
      </c>
      <c r="DP77" s="51">
        <f t="shared" si="203"/>
        <v>3701.9999999999982</v>
      </c>
      <c r="DQ77" s="51">
        <f t="shared" si="203"/>
        <v>4017.8000000000052</v>
      </c>
      <c r="DR77" s="51">
        <f t="shared" si="203"/>
        <v>4693.7494700000025</v>
      </c>
      <c r="DS77" s="51">
        <f t="shared" ref="DS77:DV77" si="204">+DS75-DS76</f>
        <v>0</v>
      </c>
      <c r="DT77" s="51">
        <f t="shared" si="204"/>
        <v>0</v>
      </c>
      <c r="DU77" s="51">
        <f t="shared" si="204"/>
        <v>0</v>
      </c>
      <c r="DV77" s="51">
        <f t="shared" si="204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5">EJ75-EJ76</f>
        <v>1320.4999999999998</v>
      </c>
      <c r="EK77" s="51">
        <f t="shared" si="205"/>
        <v>2074.4999999999982</v>
      </c>
      <c r="EL77" s="51">
        <f t="shared" si="205"/>
        <v>2481.1999999999989</v>
      </c>
      <c r="EM77" s="51">
        <f t="shared" si="205"/>
        <v>2576.4999999999995</v>
      </c>
      <c r="EN77" s="51">
        <f t="shared" ref="EN77:ET77" si="206">EN75-EN76</f>
        <v>3101</v>
      </c>
      <c r="EO77" s="51">
        <f t="shared" si="206"/>
        <v>2841.2000000000007</v>
      </c>
      <c r="EP77" s="51">
        <f t="shared" si="206"/>
        <v>2802</v>
      </c>
      <c r="EQ77" s="51">
        <f t="shared" si="206"/>
        <v>3073</v>
      </c>
      <c r="ER77" s="51">
        <f t="shared" si="206"/>
        <v>3134</v>
      </c>
      <c r="ES77" s="51">
        <f t="shared" si="206"/>
        <v>3689.4999999999982</v>
      </c>
      <c r="ET77" s="51">
        <f t="shared" si="206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7">EY75-EY76</f>
        <v>3268.2</v>
      </c>
      <c r="EZ77" s="51">
        <f t="shared" si="207"/>
        <v>-5139.2339999999995</v>
      </c>
      <c r="FA77" s="51">
        <f t="shared" si="207"/>
        <v>-4111.3872000000001</v>
      </c>
      <c r="FB77" s="51">
        <f t="shared" si="207"/>
        <v>0</v>
      </c>
      <c r="FC77" s="51">
        <f>FC75-FC76</f>
        <v>0</v>
      </c>
      <c r="FD77" s="51">
        <f>FD75-FD76</f>
        <v>4447.9000000000051</v>
      </c>
      <c r="FE77" s="51">
        <f t="shared" ref="FE77:FH77" si="208">FE75-FE76</f>
        <v>5785.0999999999985</v>
      </c>
      <c r="FF77" s="51">
        <f t="shared" si="208"/>
        <v>5713.699999999998</v>
      </c>
      <c r="FG77" s="51">
        <f t="shared" si="208"/>
        <v>6370.1</v>
      </c>
      <c r="FH77" s="51">
        <f t="shared" si="208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14142.148052000004</v>
      </c>
      <c r="FL77" s="51">
        <f t="shared" ref="FL77:FO77" si="209">+FL75-FL76</f>
        <v>21523.305458912004</v>
      </c>
      <c r="FM77" s="51">
        <f t="shared" si="209"/>
        <v>26994.388322211074</v>
      </c>
      <c r="FN77" s="51">
        <f t="shared" si="209"/>
        <v>34143.995203014885</v>
      </c>
      <c r="FO77" s="51">
        <f t="shared" si="209"/>
        <v>40141.968024969712</v>
      </c>
      <c r="FP77" s="51">
        <f>+FP75-FP76</f>
        <v>45040.42181398574</v>
      </c>
      <c r="FQ77" s="51">
        <f>+FQ75-FQ76</f>
        <v>48588.342989269979</v>
      </c>
      <c r="FR77" s="54">
        <f>+FQ77*(1+$FS$94)</f>
        <v>49560.109849055378</v>
      </c>
      <c r="FS77" s="54">
        <f t="shared" ref="FS77:ID77" si="210">+FR77*(1+$FS$94)</f>
        <v>50551.312046036488</v>
      </c>
      <c r="FT77" s="54">
        <f t="shared" si="210"/>
        <v>51562.338286957216</v>
      </c>
      <c r="FU77" s="54">
        <f t="shared" si="210"/>
        <v>52593.585052696362</v>
      </c>
      <c r="FV77" s="54">
        <f t="shared" si="210"/>
        <v>53645.456753750288</v>
      </c>
      <c r="FW77" s="54">
        <f t="shared" si="210"/>
        <v>54718.365888825298</v>
      </c>
      <c r="FX77" s="54">
        <f t="shared" si="210"/>
        <v>55812.733206601806</v>
      </c>
      <c r="FY77" s="54">
        <f t="shared" si="210"/>
        <v>56928.987870733843</v>
      </c>
      <c r="FZ77" s="54">
        <f t="shared" si="210"/>
        <v>58067.567628148521</v>
      </c>
      <c r="GA77" s="54">
        <f t="shared" si="210"/>
        <v>59228.918980711496</v>
      </c>
      <c r="GB77" s="54">
        <f t="shared" si="210"/>
        <v>60413.497360325724</v>
      </c>
      <c r="GC77" s="54">
        <f t="shared" si="210"/>
        <v>61621.767307532238</v>
      </c>
      <c r="GD77" s="54">
        <f t="shared" si="210"/>
        <v>62854.202653682885</v>
      </c>
      <c r="GE77" s="54">
        <f t="shared" si="210"/>
        <v>64111.286706756546</v>
      </c>
      <c r="GF77" s="54">
        <f t="shared" si="210"/>
        <v>65393.512440891674</v>
      </c>
      <c r="GG77" s="54">
        <f t="shared" si="210"/>
        <v>66701.382689709513</v>
      </c>
      <c r="GH77" s="54">
        <f t="shared" si="210"/>
        <v>68035.41034350371</v>
      </c>
      <c r="GI77" s="54">
        <f t="shared" si="210"/>
        <v>69396.11855037378</v>
      </c>
      <c r="GJ77" s="54">
        <f t="shared" si="210"/>
        <v>70784.040921381253</v>
      </c>
      <c r="GK77" s="54">
        <f t="shared" si="210"/>
        <v>72199.721739808883</v>
      </c>
      <c r="GL77" s="54">
        <f t="shared" si="210"/>
        <v>73643.716174605055</v>
      </c>
      <c r="GM77" s="54">
        <f t="shared" si="210"/>
        <v>75116.590498097154</v>
      </c>
      <c r="GN77" s="54">
        <f t="shared" si="210"/>
        <v>76618.922308059104</v>
      </c>
      <c r="GO77" s="54">
        <f t="shared" si="210"/>
        <v>78151.300754220283</v>
      </c>
      <c r="GP77" s="54">
        <f t="shared" si="210"/>
        <v>79714.326769304695</v>
      </c>
      <c r="GQ77" s="54">
        <f t="shared" si="210"/>
        <v>81308.613304690793</v>
      </c>
      <c r="GR77" s="54">
        <f t="shared" si="210"/>
        <v>82934.785570784603</v>
      </c>
      <c r="GS77" s="54">
        <f t="shared" si="210"/>
        <v>84593.4812822003</v>
      </c>
      <c r="GT77" s="54">
        <f t="shared" si="210"/>
        <v>86285.350907844302</v>
      </c>
      <c r="GU77" s="54">
        <f t="shared" si="210"/>
        <v>88011.057926001187</v>
      </c>
      <c r="GV77" s="54">
        <f t="shared" si="210"/>
        <v>89771.279084521215</v>
      </c>
      <c r="GW77" s="54">
        <f t="shared" si="210"/>
        <v>91566.704666211634</v>
      </c>
      <c r="GX77" s="54">
        <f t="shared" si="210"/>
        <v>93398.038759535862</v>
      </c>
      <c r="GY77" s="54">
        <f t="shared" si="210"/>
        <v>95265.999534726579</v>
      </c>
      <c r="GZ77" s="54">
        <f t="shared" si="210"/>
        <v>97171.319525421117</v>
      </c>
      <c r="HA77" s="54">
        <f t="shared" si="210"/>
        <v>99114.745915929539</v>
      </c>
      <c r="HB77" s="54">
        <f t="shared" si="210"/>
        <v>101097.04083424814</v>
      </c>
      <c r="HC77" s="54">
        <f t="shared" si="210"/>
        <v>103118.9816509331</v>
      </c>
      <c r="HD77" s="54">
        <f t="shared" si="210"/>
        <v>105181.36128395176</v>
      </c>
      <c r="HE77" s="54">
        <f t="shared" si="210"/>
        <v>107284.9885096308</v>
      </c>
      <c r="HF77" s="54">
        <f t="shared" si="210"/>
        <v>109430.68827982341</v>
      </c>
      <c r="HG77" s="54">
        <f t="shared" si="210"/>
        <v>111619.30204541988</v>
      </c>
      <c r="HH77" s="54">
        <f t="shared" si="210"/>
        <v>113851.68808632829</v>
      </c>
      <c r="HI77" s="54">
        <f t="shared" si="210"/>
        <v>116128.72184805485</v>
      </c>
      <c r="HJ77" s="54">
        <f t="shared" si="210"/>
        <v>118451.29628501595</v>
      </c>
      <c r="HK77" s="54">
        <f t="shared" si="210"/>
        <v>120820.32221071627</v>
      </c>
      <c r="HL77" s="54">
        <f t="shared" si="210"/>
        <v>123236.7286549306</v>
      </c>
      <c r="HM77" s="54">
        <f t="shared" si="210"/>
        <v>125701.46322802921</v>
      </c>
      <c r="HN77" s="54">
        <f t="shared" si="210"/>
        <v>128215.49249258979</v>
      </c>
      <c r="HO77" s="54">
        <f t="shared" si="210"/>
        <v>130779.80234244159</v>
      </c>
      <c r="HP77" s="54">
        <f t="shared" si="210"/>
        <v>133395.39838929044</v>
      </c>
      <c r="HQ77" s="54">
        <f t="shared" si="210"/>
        <v>136063.30635707625</v>
      </c>
      <c r="HR77" s="54">
        <f t="shared" si="210"/>
        <v>138784.57248421779</v>
      </c>
      <c r="HS77" s="54">
        <f t="shared" si="210"/>
        <v>141560.26393390214</v>
      </c>
      <c r="HT77" s="54">
        <f t="shared" si="210"/>
        <v>144391.46921258018</v>
      </c>
      <c r="HU77" s="54">
        <f t="shared" si="210"/>
        <v>147279.2985968318</v>
      </c>
      <c r="HV77" s="54">
        <f t="shared" si="210"/>
        <v>150224.88456876844</v>
      </c>
      <c r="HW77" s="54">
        <f t="shared" si="210"/>
        <v>153229.38226014382</v>
      </c>
      <c r="HX77" s="54">
        <f t="shared" si="210"/>
        <v>156293.96990534669</v>
      </c>
      <c r="HY77" s="54">
        <f t="shared" si="210"/>
        <v>159419.84930345364</v>
      </c>
      <c r="HZ77" s="54">
        <f t="shared" si="210"/>
        <v>162608.24628952271</v>
      </c>
      <c r="IA77" s="54">
        <f t="shared" si="210"/>
        <v>165860.41121531316</v>
      </c>
      <c r="IB77" s="54">
        <f t="shared" si="210"/>
        <v>169177.61943961942</v>
      </c>
      <c r="IC77" s="54">
        <f t="shared" si="210"/>
        <v>172561.17182841181</v>
      </c>
      <c r="ID77" s="54">
        <f t="shared" si="210"/>
        <v>176012.39526498006</v>
      </c>
      <c r="IE77" s="54">
        <f t="shared" ref="IE77:IQ77" si="211">+ID77*(1+$FS$94)</f>
        <v>179532.64317027965</v>
      </c>
      <c r="IF77" s="54">
        <f t="shared" si="211"/>
        <v>183123.29603368524</v>
      </c>
      <c r="IG77" s="54">
        <f t="shared" si="211"/>
        <v>186785.76195435895</v>
      </c>
      <c r="IH77" s="54">
        <f t="shared" si="211"/>
        <v>190521.47719344613</v>
      </c>
      <c r="II77" s="54">
        <f t="shared" si="211"/>
        <v>194331.90673731506</v>
      </c>
      <c r="IJ77" s="54">
        <f t="shared" si="211"/>
        <v>198218.54487206138</v>
      </c>
      <c r="IK77" s="54">
        <f t="shared" si="211"/>
        <v>202182.91576950261</v>
      </c>
      <c r="IL77" s="54">
        <f t="shared" si="211"/>
        <v>206226.57408489267</v>
      </c>
      <c r="IM77" s="54">
        <f t="shared" si="211"/>
        <v>210351.10556659053</v>
      </c>
      <c r="IN77" s="54">
        <f t="shared" si="211"/>
        <v>214558.12767792234</v>
      </c>
      <c r="IO77" s="54">
        <f t="shared" si="211"/>
        <v>218849.29023148079</v>
      </c>
      <c r="IP77" s="54">
        <f t="shared" si="211"/>
        <v>223226.27603611042</v>
      </c>
      <c r="IQ77" s="54">
        <f t="shared" si="211"/>
        <v>227690.80155683262</v>
      </c>
    </row>
    <row r="78" spans="1:251" s="58" customFormat="1" ht="13" x14ac:dyDescent="0.3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12">AP77/AP79</f>
        <v>0.4500550863018733</v>
      </c>
      <c r="AQ78" s="59">
        <f t="shared" si="212"/>
        <v>0.41270581603614886</v>
      </c>
      <c r="AR78" s="59">
        <f t="shared" si="212"/>
        <v>0.35871559633027494</v>
      </c>
      <c r="AS78" s="59">
        <f t="shared" si="212"/>
        <v>0.49269783073632784</v>
      </c>
      <c r="AT78" s="59">
        <f t="shared" si="212"/>
        <v>0.58747142203932401</v>
      </c>
      <c r="AU78" s="59">
        <f t="shared" si="212"/>
        <v>0.51269549218031296</v>
      </c>
      <c r="AV78" s="59">
        <f t="shared" si="212"/>
        <v>0.55477748088086243</v>
      </c>
      <c r="AW78" s="59">
        <f t="shared" si="212"/>
        <v>0.66006266499265509</v>
      </c>
      <c r="AX78" s="59">
        <f t="shared" si="212"/>
        <v>1.9411494109340131</v>
      </c>
      <c r="AY78" s="59">
        <f t="shared" si="212"/>
        <v>0.91395466836226802</v>
      </c>
      <c r="AZ78" s="59">
        <f t="shared" ref="AZ78:BF78" si="213">AZ77/AZ79</f>
        <v>0.50877207469820052</v>
      </c>
      <c r="BA78" s="59">
        <f t="shared" si="213"/>
        <v>2.117813888471034</v>
      </c>
      <c r="BB78" s="59">
        <f t="shared" si="213"/>
        <v>2.3042440483381479</v>
      </c>
      <c r="BC78" s="59">
        <f t="shared" si="213"/>
        <v>2.4963987218204564</v>
      </c>
      <c r="BD78" s="59">
        <f t="shared" si="213"/>
        <v>2.4096936275406082</v>
      </c>
      <c r="BE78" s="59">
        <f t="shared" si="213"/>
        <v>2.4881693125175399</v>
      </c>
      <c r="BF78" s="59">
        <f t="shared" si="213"/>
        <v>1.1054354299305693</v>
      </c>
      <c r="BG78" s="59">
        <f t="shared" ref="BG78:BL78" si="214">BG77/BG79</f>
        <v>1.0552687795737732</v>
      </c>
      <c r="BH78" s="59">
        <f t="shared" si="214"/>
        <v>0.95460042854031091</v>
      </c>
      <c r="BI78" s="59">
        <f t="shared" si="214"/>
        <v>1.3588746375286636</v>
      </c>
      <c r="BJ78" s="59">
        <f t="shared" si="214"/>
        <v>0.90717029507547786</v>
      </c>
      <c r="BK78" s="59">
        <f t="shared" si="214"/>
        <v>1.1759950553105565</v>
      </c>
      <c r="BL78" s="59">
        <f t="shared" si="214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5">BP77/BP79</f>
        <v>1.1491789109766626</v>
      </c>
      <c r="BQ78" s="59">
        <f t="shared" si="215"/>
        <v>1.125833938596263</v>
      </c>
      <c r="BR78" s="59">
        <f t="shared" si="215"/>
        <v>0.86959641255605435</v>
      </c>
      <c r="BS78" s="59">
        <f t="shared" si="215"/>
        <v>0.91970961062075252</v>
      </c>
      <c r="BT78" s="59">
        <f t="shared" si="215"/>
        <v>0.82593917710196696</v>
      </c>
      <c r="BU78" s="59">
        <f t="shared" si="215"/>
        <v>0.79266479166089832</v>
      </c>
      <c r="BV78" s="59">
        <f t="shared" si="215"/>
        <v>0.92577297374941636</v>
      </c>
      <c r="BW78" s="59">
        <f t="shared" ref="BW78:CA78" si="216">BW77/BW79</f>
        <v>0.98390293403280205</v>
      </c>
      <c r="BX78" s="59">
        <f t="shared" si="216"/>
        <v>1.1712699843271033</v>
      </c>
      <c r="BY78" s="59">
        <f t="shared" si="216"/>
        <v>1.1096077774918676</v>
      </c>
      <c r="BZ78" s="59">
        <f t="shared" si="216"/>
        <v>0.75997983273029257</v>
      </c>
      <c r="CA78" s="59">
        <f t="shared" si="216"/>
        <v>0.60167163024847725</v>
      </c>
      <c r="CB78" s="59">
        <f t="shared" ref="CB78:CC78" si="217">CB77/CB79</f>
        <v>0.58146556449260467</v>
      </c>
      <c r="CC78" s="59">
        <f t="shared" si="217"/>
        <v>0.41409698190408312</v>
      </c>
      <c r="CD78" s="59">
        <f t="shared" ref="CD78" si="218">CD77/CD79</f>
        <v>0.61722567202630041</v>
      </c>
      <c r="CE78" s="59">
        <f t="shared" ref="CE78:CF78" si="219">CE77/CE79</f>
        <v>0.66361397366161945</v>
      </c>
      <c r="CF78" s="59">
        <f t="shared" si="219"/>
        <v>1.1114093304704269</v>
      </c>
      <c r="CG78" s="59">
        <f t="shared" ref="CG78:CH78" si="220">CG77/CG79</f>
        <v>0.62816912780157641</v>
      </c>
      <c r="CH78" s="59">
        <f t="shared" si="220"/>
        <v>0.65649788288588629</v>
      </c>
      <c r="CI78" s="59">
        <f t="shared" ref="CI78:CJ78" si="221">CI77/CI79</f>
        <v>0.81791030736307424</v>
      </c>
      <c r="CJ78" s="59">
        <f t="shared" si="221"/>
        <v>0.87719546488340971</v>
      </c>
      <c r="CK78" s="59">
        <f t="shared" ref="CK78:CL78" si="222">CK77/CK79</f>
        <v>0.72502842232080689</v>
      </c>
      <c r="CL78" s="59">
        <f t="shared" si="222"/>
        <v>0.86462715897721909</v>
      </c>
      <c r="CM78" s="59">
        <f t="shared" ref="CM78:CN78" si="223">CM77/CM79</f>
        <v>0.76123774739516781</v>
      </c>
      <c r="CN78" s="59">
        <f t="shared" si="223"/>
        <v>0.88656809603541764</v>
      </c>
      <c r="CO78" s="59">
        <f t="shared" ref="CO78:CP78" si="224">CO77/CO79</f>
        <v>1.0106768305674578</v>
      </c>
      <c r="CP78" s="59">
        <f t="shared" si="224"/>
        <v>1.0593754489382929</v>
      </c>
      <c r="CQ78" s="59">
        <f t="shared" ref="CQ78:CR78" si="225">CQ77/CQ79</f>
        <v>0.40434771426856869</v>
      </c>
      <c r="CR78" s="59">
        <f t="shared" si="225"/>
        <v>1.3230312266431112</v>
      </c>
      <c r="CS78" s="59">
        <f t="shared" ref="CS78:CT78" si="226">CS77/CS79</f>
        <v>1.2604526170761319</v>
      </c>
      <c r="CT78" s="59">
        <f t="shared" si="226"/>
        <v>1.5171587522157357</v>
      </c>
      <c r="CU78" s="59">
        <f t="shared" ref="CU78:DO78" si="227">CU77/CU79</f>
        <v>1.1124988694117157</v>
      </c>
      <c r="CV78" s="59">
        <f t="shared" si="227"/>
        <v>1.4373316894325308</v>
      </c>
      <c r="CW78" s="59">
        <f t="shared" si="227"/>
        <v>1.4097603146156488</v>
      </c>
      <c r="CX78" s="59">
        <f t="shared" si="227"/>
        <v>1.4811769825009451</v>
      </c>
      <c r="CY78" s="59">
        <f t="shared" si="227"/>
        <v>1.5701212991368967</v>
      </c>
      <c r="CZ78" s="59">
        <f t="shared" si="227"/>
        <v>1.3486809603794077</v>
      </c>
      <c r="DA78" s="59">
        <f t="shared" si="227"/>
        <v>1.2773432314084667</v>
      </c>
      <c r="DB78" s="59">
        <f t="shared" si="227"/>
        <v>2.0739849505419174</v>
      </c>
      <c r="DC78" s="59">
        <f t="shared" si="227"/>
        <v>1.9481587023235432</v>
      </c>
      <c r="DD78" s="59">
        <f t="shared" si="227"/>
        <v>1.8654765461607379</v>
      </c>
      <c r="DE78" s="59">
        <f t="shared" si="227"/>
        <v>1.8595642497235774</v>
      </c>
      <c r="DF78" s="59">
        <f t="shared" si="227"/>
        <v>2.4266811792579883</v>
      </c>
      <c r="DG78" s="59">
        <f t="shared" si="227"/>
        <v>2.8006398940864949</v>
      </c>
      <c r="DH78" s="59">
        <f t="shared" si="227"/>
        <v>1.8868363346401771</v>
      </c>
      <c r="DI78" s="59">
        <f t="shared" si="227"/>
        <v>1.9036670347495295</v>
      </c>
      <c r="DJ78" s="59">
        <f t="shared" si="227"/>
        <v>2.2403319436031897</v>
      </c>
      <c r="DK78" s="59">
        <f t="shared" si="227"/>
        <v>1.6655909609723631</v>
      </c>
      <c r="DL78" s="59">
        <f t="shared" si="227"/>
        <v>1.641078587657679</v>
      </c>
      <c r="DM78" s="59">
        <f t="shared" si="227"/>
        <v>2.9178496929762834</v>
      </c>
      <c r="DN78" s="59">
        <f t="shared" si="227"/>
        <v>3.2931038297307484</v>
      </c>
      <c r="DO78" s="59">
        <f t="shared" si="227"/>
        <v>2.642392913492114</v>
      </c>
      <c r="DP78" s="59">
        <f>+DP77/DP79</f>
        <v>4.0940096079836481</v>
      </c>
      <c r="DQ78" s="59">
        <f t="shared" ref="DQ78:DR78" si="228">DQ77/DQ79</f>
        <v>4.4394255640991984</v>
      </c>
      <c r="DR78" s="59">
        <f t="shared" si="228"/>
        <v>5.1863087731084292</v>
      </c>
      <c r="DS78" s="59" t="e">
        <f t="shared" ref="DS78:DV78" si="229">DS77/DS79</f>
        <v>#DIV/0!</v>
      </c>
      <c r="DT78" s="59" t="e">
        <f t="shared" si="229"/>
        <v>#DIV/0!</v>
      </c>
      <c r="DU78" s="59" t="e">
        <f t="shared" si="229"/>
        <v>#DIV/0!</v>
      </c>
      <c r="DV78" s="59" t="e">
        <f t="shared" si="229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30">EJ77/EJ79</f>
        <v>1.1679856073746282</v>
      </c>
      <c r="EK78" s="59">
        <f t="shared" si="230"/>
        <v>1.8497778839860668</v>
      </c>
      <c r="EL78" s="59">
        <f t="shared" si="230"/>
        <v>2.2432880824190469</v>
      </c>
      <c r="EM78" s="59">
        <f t="shared" si="230"/>
        <v>2.3471270126853261</v>
      </c>
      <c r="EN78" s="59">
        <f t="shared" ref="EN78:ES78" si="231">EN77/EN79</f>
        <v>2.842346471127406</v>
      </c>
      <c r="EO78" s="59">
        <f t="shared" si="231"/>
        <v>2.6186175115207382</v>
      </c>
      <c r="EP78" s="59">
        <f t="shared" si="231"/>
        <v>2.5920444033302497</v>
      </c>
      <c r="EQ78" s="59">
        <f t="shared" si="231"/>
        <v>2.8218549127640036</v>
      </c>
      <c r="ER78" s="59">
        <f t="shared" si="231"/>
        <v>2.8752293577981654</v>
      </c>
      <c r="ES78" s="59">
        <f t="shared" si="231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32">EY77/EY79</f>
        <v>2.9255428662478531</v>
      </c>
      <c r="EZ78" s="59">
        <f t="shared" si="232"/>
        <v>-4.6004067580559385</v>
      </c>
      <c r="FA78" s="59">
        <f t="shared" si="232"/>
        <v>-3.6803254064447515</v>
      </c>
      <c r="FB78" s="59">
        <f t="shared" si="232"/>
        <v>0</v>
      </c>
      <c r="FC78" s="59">
        <f t="shared" si="232"/>
        <v>0</v>
      </c>
      <c r="FD78" s="59">
        <f t="shared" si="232"/>
        <v>4.2279493889392201</v>
      </c>
      <c r="FE78" s="59">
        <f t="shared" ref="FE78:FQ78" si="233">FE77/FE79</f>
        <v>5.5966766860120316</v>
      </c>
      <c r="FF78" s="59">
        <f t="shared" si="233"/>
        <v>6.1080298244437161</v>
      </c>
      <c r="FG78" s="59">
        <f t="shared" si="233"/>
        <v>6.9874077809652082</v>
      </c>
      <c r="FH78" s="59">
        <f t="shared" si="233"/>
        <v>8.5424186610816637</v>
      </c>
      <c r="FI78" s="59">
        <f t="shared" si="233"/>
        <v>8.8282169485004154</v>
      </c>
      <c r="FJ78" s="59">
        <f>FJ77/FJ79</f>
        <v>9.3458423029451172</v>
      </c>
      <c r="FK78" s="59">
        <f>FK77/FK79</f>
        <v>15.658428014142489</v>
      </c>
      <c r="FL78" s="59">
        <f t="shared" si="233"/>
        <v>23.830971639920826</v>
      </c>
      <c r="FM78" s="59">
        <f t="shared" si="233"/>
        <v>29.888648087613063</v>
      </c>
      <c r="FN78" s="59">
        <f t="shared" si="233"/>
        <v>37.804815013658782</v>
      </c>
      <c r="FO78" s="59">
        <f t="shared" si="233"/>
        <v>44.445873028185829</v>
      </c>
      <c r="FP78" s="59">
        <f t="shared" si="233"/>
        <v>49.869524778533872</v>
      </c>
      <c r="FQ78" s="59">
        <f t="shared" si="233"/>
        <v>53.797843738197386</v>
      </c>
    </row>
    <row r="79" spans="1:251" x14ac:dyDescent="0.25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4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v>905.02700000000004</v>
      </c>
      <c r="DR79" s="51">
        <f t="shared" ref="DQ79:DR79" si="235">+DQ79</f>
        <v>905.02700000000004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6">EY79</f>
        <v>1117.1260000000002</v>
      </c>
      <c r="FA79" s="51">
        <f t="shared" si="236"/>
        <v>1117.1260000000002</v>
      </c>
      <c r="FB79" s="51">
        <f t="shared" si="236"/>
        <v>1117.1260000000002</v>
      </c>
      <c r="FC79" s="51">
        <f t="shared" si="236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7">+FK79</f>
        <v>903.16525000000001</v>
      </c>
      <c r="FM79" s="49">
        <f t="shared" si="237"/>
        <v>903.16525000000001</v>
      </c>
      <c r="FN79" s="49">
        <f t="shared" si="237"/>
        <v>903.16525000000001</v>
      </c>
      <c r="FO79" s="49">
        <f t="shared" si="237"/>
        <v>903.16525000000001</v>
      </c>
      <c r="FP79" s="49">
        <f t="shared" si="237"/>
        <v>903.16525000000001</v>
      </c>
      <c r="FQ79" s="49">
        <f t="shared" si="237"/>
        <v>903.16525000000001</v>
      </c>
    </row>
    <row r="80" spans="1:251" x14ac:dyDescent="0.25">
      <c r="A80" s="102"/>
      <c r="AW80" s="51"/>
    </row>
    <row r="81" spans="1:175" s="55" customFormat="1" ht="13" x14ac:dyDescent="0.3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8">BD67/AZ67-1</f>
        <v>0.59843101721588976</v>
      </c>
      <c r="BE81" s="61">
        <f t="shared" si="238"/>
        <v>0.15215364534775344</v>
      </c>
      <c r="BF81" s="61">
        <f t="shared" si="238"/>
        <v>-0.21831165519000262</v>
      </c>
      <c r="BG81" s="61">
        <f t="shared" si="238"/>
        <v>-0.21628376429876006</v>
      </c>
      <c r="BH81" s="61">
        <f t="shared" si="238"/>
        <v>-0.23718952785858127</v>
      </c>
      <c r="BI81" s="61">
        <f t="shared" si="238"/>
        <v>-0.18168576851211593</v>
      </c>
      <c r="BJ81" s="61">
        <f t="shared" si="238"/>
        <v>0.13885423663755869</v>
      </c>
      <c r="BK81" s="61">
        <f t="shared" si="238"/>
        <v>0.12136636820802149</v>
      </c>
      <c r="BL81" s="61">
        <f t="shared" si="238"/>
        <v>0.12422020142759349</v>
      </c>
      <c r="BM81" s="61">
        <f t="shared" si="238"/>
        <v>1.6684645810859378E-2</v>
      </c>
      <c r="BN81" s="61">
        <f t="shared" si="238"/>
        <v>4.2669362992922233E-2</v>
      </c>
      <c r="BO81" s="61">
        <f t="shared" si="238"/>
        <v>6.4479081214109835E-2</v>
      </c>
      <c r="BP81" s="61">
        <f t="shared" si="238"/>
        <v>8.768939064484127E-2</v>
      </c>
      <c r="BQ81" s="61">
        <f t="shared" si="238"/>
        <v>8.7235622833698789E-2</v>
      </c>
      <c r="BR81" s="61">
        <f t="shared" si="238"/>
        <v>-2.2611197310576814E-2</v>
      </c>
      <c r="BS81" s="61">
        <f t="shared" si="238"/>
        <v>-4.0553500479517668E-2</v>
      </c>
      <c r="BT81" s="61">
        <f t="shared" si="238"/>
        <v>-0.10432126407369491</v>
      </c>
      <c r="BU81" s="61">
        <f t="shared" si="238"/>
        <v>-0.11476716383923491</v>
      </c>
      <c r="BV81" s="61">
        <f t="shared" si="238"/>
        <v>-1.4882674912770955E-2</v>
      </c>
      <c r="BW81" s="61">
        <f t="shared" ref="BW81:BZ81" si="239">BW67/BS67-1</f>
        <v>-7.1397972297715384E-5</v>
      </c>
      <c r="BX81" s="61">
        <f t="shared" si="239"/>
        <v>5.8780466029819012E-2</v>
      </c>
      <c r="BY81" s="61">
        <f t="shared" si="239"/>
        <v>6.0652273771244936E-2</v>
      </c>
      <c r="BZ81" s="61">
        <f t="shared" si="239"/>
        <v>-2.492739999664273E-2</v>
      </c>
      <c r="CA81" s="61">
        <f t="shared" ref="CA81" si="240">CA67/BW67-1</f>
        <v>-0.16403070332024272</v>
      </c>
      <c r="CB81" s="61">
        <f t="shared" ref="CB81" si="241">CB67/BX67-1</f>
        <v>-0.16764760443192728</v>
      </c>
      <c r="CC81" s="61">
        <f t="shared" ref="CC81" si="242">CC67/BY67-1</f>
        <v>-0.155389252676437</v>
      </c>
      <c r="CD81" s="61">
        <f t="shared" ref="CD81" si="243">CD67/BZ67-1</f>
        <v>-0.11835490979203966</v>
      </c>
      <c r="CE81" s="61">
        <f t="shared" ref="CE81:CH81" si="244">CE67/CA67-1</f>
        <v>-8.1996967820462396E-3</v>
      </c>
      <c r="CF81" s="61">
        <f t="shared" si="244"/>
        <v>8.73247426857926E-3</v>
      </c>
      <c r="CG81" s="61">
        <f t="shared" si="244"/>
        <v>1.7249159077856957E-2</v>
      </c>
      <c r="CH81" s="61">
        <f t="shared" si="244"/>
        <v>4.9655360943510418E-2</v>
      </c>
      <c r="CI81" s="61">
        <f t="shared" ref="CI81" si="245">CI67/CE67-1</f>
        <v>4.7451934462936274E-2</v>
      </c>
      <c r="CJ81" s="61">
        <f t="shared" ref="CJ81" si="246">CJ67/CF67-1</f>
        <v>8.5584590354911949E-2</v>
      </c>
      <c r="CK81" s="61">
        <f t="shared" ref="CK81" si="247">CK67/CG67-1</f>
        <v>4.6777022803798696E-2</v>
      </c>
      <c r="CL81" s="61">
        <f t="shared" ref="CL81" si="248">CL67/CH67-1</f>
        <v>7.1601309621251552E-2</v>
      </c>
      <c r="CM81" s="61">
        <f t="shared" ref="CM81" si="249">CM67/CI67-1</f>
        <v>7.4654169492918809E-2</v>
      </c>
      <c r="CN81" s="61">
        <f t="shared" ref="CN81:CU81" si="250">CN67/CJ67-1</f>
        <v>7.761619301361744E-2</v>
      </c>
      <c r="CO81" s="61">
        <f t="shared" si="250"/>
        <v>8.9816437775680491E-2</v>
      </c>
      <c r="CP81" s="61">
        <f t="shared" si="250"/>
        <v>6.9473136012498937E-2</v>
      </c>
      <c r="CQ81" s="61">
        <f t="shared" si="250"/>
        <v>-5.0590057953828205E-2</v>
      </c>
      <c r="CR81" s="61">
        <f t="shared" si="250"/>
        <v>9.115258485998301E-2</v>
      </c>
      <c r="CS81" s="61">
        <f t="shared" si="250"/>
        <v>7.1385648639094912E-2</v>
      </c>
      <c r="CT81" s="61">
        <f t="shared" si="250"/>
        <v>4.5108510396545842E-2</v>
      </c>
      <c r="CU81" s="61">
        <f t="shared" si="250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51">CZ67/CV67-1</f>
        <v>-2.4375532216861062E-2</v>
      </c>
      <c r="DA81" s="61">
        <f t="shared" si="251"/>
        <v>4.8205090749734891E-2</v>
      </c>
      <c r="DB81" s="61">
        <f t="shared" si="251"/>
        <v>0.21693545748961363</v>
      </c>
      <c r="DC81" s="61">
        <f t="shared" si="251"/>
        <v>0.16140482610328055</v>
      </c>
      <c r="DD81" s="61">
        <f t="shared" si="251"/>
        <v>0.22558824599047145</v>
      </c>
      <c r="DE81" s="61">
        <f t="shared" si="251"/>
        <v>0.17984182838030871</v>
      </c>
      <c r="DF81" s="61">
        <f t="shared" si="251"/>
        <v>7.5240924181126712E-2</v>
      </c>
      <c r="DG81" s="61">
        <f t="shared" si="251"/>
        <v>0.14759903608792735</v>
      </c>
      <c r="DH81" s="61">
        <f t="shared" ref="DH81" si="252">DH67/DD67-1</f>
        <v>-3.7403560830859939E-2</v>
      </c>
      <c r="DI81" s="61">
        <f t="shared" ref="DI81" si="253">DI67/DE67-1</f>
        <v>2.4878192824450363E-2</v>
      </c>
      <c r="DJ81" s="61">
        <f t="shared" ref="DJ81" si="254">DJ67/DF67-1</f>
        <v>-8.7251090638632789E-2</v>
      </c>
      <c r="DK81" s="61">
        <f t="shared" ref="DK81" si="255">DK67/DG67-1</f>
        <v>-0.10882062969744299</v>
      </c>
      <c r="DL81" s="61">
        <f t="shared" ref="DL81" si="256">DL67/DH67-1</f>
        <v>0.19194192265602084</v>
      </c>
      <c r="DM81" s="61">
        <f t="shared" ref="DM81" si="257">DM67/DI67-1</f>
        <v>0.16382626233522979</v>
      </c>
      <c r="DN81" s="61">
        <f t="shared" ref="DN81" si="258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59">DQ67/DM67-1</f>
        <v>0.41597039127582502</v>
      </c>
      <c r="DR81" s="61">
        <f t="shared" ref="DR81:DV81" si="260">DR67/DN67-1</f>
        <v>0.36391409526425345</v>
      </c>
      <c r="DS81" s="61">
        <f t="shared" si="260"/>
        <v>0.46897289098228878</v>
      </c>
      <c r="DT81" s="61">
        <f t="shared" si="260"/>
        <v>0.26846726888265682</v>
      </c>
      <c r="DU81" s="61">
        <f t="shared" si="260"/>
        <v>0.33671629134904557</v>
      </c>
      <c r="DV81" s="61">
        <f t="shared" si="260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61">EG67/EF67-1</f>
        <v>9.8701548523612681E-2</v>
      </c>
      <c r="EH81" s="62">
        <f t="shared" si="261"/>
        <v>0.13957560053225015</v>
      </c>
      <c r="EI81" s="62">
        <f t="shared" si="261"/>
        <v>7.5205875122910548E-2</v>
      </c>
      <c r="EJ81" s="62">
        <f t="shared" si="261"/>
        <v>0.14137719160367501</v>
      </c>
      <c r="EK81" s="62">
        <f t="shared" si="261"/>
        <v>0.15637793106901854</v>
      </c>
      <c r="EL81" s="62">
        <f t="shared" si="261"/>
        <v>8.2939979213580539E-2</v>
      </c>
      <c r="EM81" s="62">
        <f t="shared" ref="EM81" si="262">EM67/EL67-1</f>
        <v>8.5905087524617896E-2</v>
      </c>
      <c r="EN81" s="62">
        <f t="shared" ref="EN81" si="263">EN67/EM67-1</f>
        <v>7.0593434110953535E-2</v>
      </c>
      <c r="EO81" s="62">
        <f t="shared" ref="EO81" si="264">EO67/EN67-1</f>
        <v>-4.0656978244045017E-2</v>
      </c>
      <c r="EP81" s="62">
        <f t="shared" ref="EP81" si="265">EP67/EO67-1</f>
        <v>0.12807228267689719</v>
      </c>
      <c r="EQ81" s="62">
        <f t="shared" ref="EQ81" si="266">EQ67/EP67-1</f>
        <v>0.10123162495033777</v>
      </c>
      <c r="ER81" s="62">
        <f t="shared" ref="ER81:FD81" si="267">ER67/EQ67-1</f>
        <v>5.7074825023450515E-2</v>
      </c>
      <c r="ES81" s="62">
        <f t="shared" si="267"/>
        <v>7.7372013651876959E-2</v>
      </c>
      <c r="ET81" s="62">
        <f t="shared" si="267"/>
        <v>0.17624101118256408</v>
      </c>
      <c r="EU81" s="62">
        <f t="shared" si="267"/>
        <v>5.6004917803201604E-2</v>
      </c>
      <c r="EV81" s="62">
        <f t="shared" si="267"/>
        <v>6.985394754409513E-2</v>
      </c>
      <c r="EW81" s="62">
        <f t="shared" si="267"/>
        <v>4.383313819191037E-2</v>
      </c>
      <c r="EX81" s="62">
        <f t="shared" si="267"/>
        <v>9.0596424558550881E-2</v>
      </c>
      <c r="EY81" s="62">
        <f t="shared" si="267"/>
        <v>-7.8559971186021871E-2</v>
      </c>
      <c r="EZ81" s="62">
        <f t="shared" si="267"/>
        <v>5.0523827920823772E-2</v>
      </c>
      <c r="FA81" s="62">
        <f t="shared" si="267"/>
        <v>-0.15131678571892138</v>
      </c>
      <c r="FB81" s="62">
        <f t="shared" si="267"/>
        <v>2.1136130752407389E-2</v>
      </c>
      <c r="FC81" s="62">
        <f t="shared" si="267"/>
        <v>7.9534505224584828E-2</v>
      </c>
      <c r="FD81" s="62">
        <f t="shared" si="267"/>
        <v>-7.6269226856090944E-2</v>
      </c>
      <c r="FE81" s="62">
        <f t="shared" ref="FE81:FL81" si="268">FE67/FD67-1</f>
        <v>7.6043095593315124E-2</v>
      </c>
      <c r="FF81" s="62">
        <f t="shared" si="268"/>
        <v>3.8440243613066638E-2</v>
      </c>
      <c r="FG81" s="62">
        <f t="shared" si="268"/>
        <v>9.9492367592173503E-2</v>
      </c>
      <c r="FH81" s="62">
        <f t="shared" si="268"/>
        <v>0.15397780757052804</v>
      </c>
      <c r="FI81" s="62">
        <f t="shared" si="268"/>
        <v>7.871179617564783E-3</v>
      </c>
      <c r="FJ81" s="62">
        <f t="shared" si="268"/>
        <v>0.12386568283265698</v>
      </c>
      <c r="FK81" s="62">
        <f t="shared" si="268"/>
        <v>0.36745737560285208</v>
      </c>
      <c r="FL81" s="62">
        <f t="shared" si="268"/>
        <v>0.15093360040416259</v>
      </c>
      <c r="FM81" s="62">
        <f t="shared" ref="FM81:FQ81" si="269">FM67/FL67-1</f>
        <v>0.19559634231828604</v>
      </c>
      <c r="FN81" s="62">
        <f t="shared" si="269"/>
        <v>0.21622052748340548</v>
      </c>
      <c r="FO81" s="62">
        <f t="shared" si="269"/>
        <v>0.12884106212783419</v>
      </c>
      <c r="FP81" s="62">
        <f t="shared" si="269"/>
        <v>7.4039110610768955E-2</v>
      </c>
      <c r="FQ81" s="62">
        <f t="shared" si="269"/>
        <v>-7.5991910905702897E-2</v>
      </c>
    </row>
    <row r="82" spans="1:175" s="55" customFormat="1" ht="13" x14ac:dyDescent="0.3">
      <c r="A82" s="107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5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70">+CH5/CD5-1</f>
        <v>10.029411764705882</v>
      </c>
      <c r="CI83" s="66">
        <f t="shared" si="270"/>
        <v>6.8469945355191246</v>
      </c>
      <c r="CJ83" s="66">
        <f t="shared" si="270"/>
        <v>3.544018058690745</v>
      </c>
      <c r="CK83" s="66">
        <f t="shared" si="270"/>
        <v>2.3052917232021706</v>
      </c>
      <c r="CL83" s="66">
        <f t="shared" si="270"/>
        <v>1.9955555555555557</v>
      </c>
      <c r="CM83" s="66">
        <f t="shared" si="270"/>
        <v>1.5967966573816157</v>
      </c>
      <c r="CN83" s="66">
        <f t="shared" si="270"/>
        <v>1.3854942871336311</v>
      </c>
      <c r="CO83" s="66">
        <f t="shared" si="270"/>
        <v>1.1662561576354684</v>
      </c>
      <c r="CP83" s="66">
        <f t="shared" si="270"/>
        <v>0.9258160237388724</v>
      </c>
      <c r="CQ83" s="66">
        <f t="shared" si="270"/>
        <v>0.81898632341110211</v>
      </c>
      <c r="CR83" s="66">
        <f t="shared" si="270"/>
        <v>0.62390670553935856</v>
      </c>
      <c r="CS83" s="66">
        <f t="shared" si="270"/>
        <v>0.54671214705324989</v>
      </c>
      <c r="CT83" s="66">
        <f t="shared" si="270"/>
        <v>0.42480739599383677</v>
      </c>
      <c r="CU83" s="66">
        <f t="shared" si="270"/>
        <v>0.29691876750700286</v>
      </c>
      <c r="CV83" s="66">
        <f t="shared" si="270"/>
        <v>0.31892793023852284</v>
      </c>
      <c r="CW83" s="66">
        <f t="shared" si="270"/>
        <v>0.23927958833619201</v>
      </c>
      <c r="CX83" s="66">
        <f t="shared" si="270"/>
        <v>0.3064777765761868</v>
      </c>
      <c r="CY83" s="66">
        <f t="shared" si="270"/>
        <v>0.39752188245992959</v>
      </c>
      <c r="CZ83" s="66">
        <f t="shared" si="270"/>
        <v>0.19572192513368969</v>
      </c>
      <c r="DA83" s="66">
        <f t="shared" si="270"/>
        <v>9.4018783984181731E-2</v>
      </c>
      <c r="DB83" s="66">
        <f t="shared" si="270"/>
        <v>0.24360566178296517</v>
      </c>
      <c r="DC83" s="66">
        <f t="shared" si="270"/>
        <v>0.18138929559134542</v>
      </c>
      <c r="DD83" s="66">
        <f t="shared" si="270"/>
        <v>0.24865831842576025</v>
      </c>
      <c r="DE83" s="66">
        <f t="shared" si="270"/>
        <v>0.44596060003614668</v>
      </c>
      <c r="DF83" s="66">
        <f t="shared" si="270"/>
        <v>0.25379392971246006</v>
      </c>
      <c r="DG83" s="66">
        <f t="shared" si="270"/>
        <v>0.19891214541448621</v>
      </c>
      <c r="DH83" s="66">
        <f t="shared" si="270"/>
        <v>0.24505079447772871</v>
      </c>
      <c r="DI83" s="66">
        <f t="shared" si="270"/>
        <v>0.15642772326729593</v>
      </c>
      <c r="DJ83" s="66">
        <f t="shared" si="270"/>
        <v>2.7870680044593144E-2</v>
      </c>
      <c r="DK83" s="66">
        <f t="shared" si="270"/>
        <v>0.13541606845460286</v>
      </c>
      <c r="DL83" s="66">
        <f t="shared" si="270"/>
        <v>-5.1990166849730679E-2</v>
      </c>
      <c r="DM83" s="66">
        <f t="shared" si="270"/>
        <v>-9.5546908776480866E-2</v>
      </c>
      <c r="DN83" s="66">
        <f t="shared" si="270"/>
        <v>-0.13784732982129955</v>
      </c>
      <c r="DO83" s="66">
        <f t="shared" si="270"/>
        <v>-0.26341611451115265</v>
      </c>
      <c r="DP83" s="66">
        <f t="shared" si="270"/>
        <v>-0.3127724137931035</v>
      </c>
      <c r="DQ83" s="66">
        <f t="shared" si="270"/>
        <v>-0.22239483747609934</v>
      </c>
      <c r="DR83" s="66">
        <f t="shared" si="270"/>
        <v>-0.2802971305337566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71">+FB5/FA5-1</f>
        <v>23.3921568627451</v>
      </c>
      <c r="FC83" s="96">
        <f t="shared" si="271"/>
        <v>2.719855305466238</v>
      </c>
      <c r="FD83" s="96">
        <f t="shared" si="271"/>
        <v>1.1931928687196112</v>
      </c>
      <c r="FE83" s="96">
        <f t="shared" si="271"/>
        <v>0.57606660754754158</v>
      </c>
      <c r="FF83" s="96">
        <f t="shared" si="271"/>
        <v>0.29030039698665222</v>
      </c>
      <c r="FG83" s="96">
        <f t="shared" si="271"/>
        <v>0.22782111536411676</v>
      </c>
      <c r="FH83" s="96">
        <f t="shared" si="271"/>
        <v>0.2769425042421374</v>
      </c>
      <c r="FI83" s="96">
        <f t="shared" si="271"/>
        <v>0.14957198924565041</v>
      </c>
      <c r="FJ83" s="96">
        <f t="shared" si="271"/>
        <v>-4.1304873786929819E-2</v>
      </c>
    </row>
    <row r="84" spans="1:175" s="38" customFormat="1" x14ac:dyDescent="0.25">
      <c r="A84" s="106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1.2086851628468032</v>
      </c>
      <c r="DR84" s="66">
        <f>DR6/DN6-1</f>
        <v>0.63796699310845129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25">
      <c r="A85" s="106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72">+CN9/CJ9-1</f>
        <v>6.1865284974093253</v>
      </c>
      <c r="CO85" s="66">
        <f t="shared" si="272"/>
        <v>3.6553846153846159</v>
      </c>
      <c r="CP85" s="66">
        <f t="shared" si="272"/>
        <v>1.8140293637846656</v>
      </c>
      <c r="CQ85" s="66">
        <f t="shared" si="272"/>
        <v>0.51656314699792971</v>
      </c>
      <c r="CR85" s="66">
        <f t="shared" si="272"/>
        <v>0.58687815428983425</v>
      </c>
      <c r="CS85" s="66">
        <f t="shared" si="272"/>
        <v>0.74421678783873069</v>
      </c>
      <c r="CT85" s="66">
        <f t="shared" si="272"/>
        <v>0.77971014492753632</v>
      </c>
      <c r="CU85" s="66">
        <f t="shared" si="272"/>
        <v>0.72354948805460761</v>
      </c>
      <c r="CV85" s="66">
        <f t="shared" si="272"/>
        <v>0.607451158564289</v>
      </c>
      <c r="CW85" s="66">
        <f t="shared" si="272"/>
        <v>0.28836680560818495</v>
      </c>
      <c r="CX85" s="66">
        <f t="shared" si="272"/>
        <v>0.36840390879478835</v>
      </c>
      <c r="CY85" s="66">
        <f t="shared" si="272"/>
        <v>0.75643564356435644</v>
      </c>
      <c r="CZ85" s="66">
        <f t="shared" si="272"/>
        <v>0.11701526286037311</v>
      </c>
      <c r="DA85" s="66">
        <f t="shared" si="272"/>
        <v>0.33676470588235285</v>
      </c>
      <c r="DB85" s="66">
        <f t="shared" si="272"/>
        <v>0.17900499880980725</v>
      </c>
      <c r="DC85" s="66">
        <f t="shared" si="272"/>
        <v>-9.0868094701240132E-2</v>
      </c>
      <c r="DD85" s="66">
        <f t="shared" si="272"/>
        <v>0.44003036437246967</v>
      </c>
      <c r="DE85" s="66">
        <f t="shared" si="272"/>
        <v>0.304950495049505</v>
      </c>
      <c r="DF85" s="66">
        <f t="shared" si="272"/>
        <v>0.30708661417322825</v>
      </c>
      <c r="DG85" s="66">
        <f t="shared" si="272"/>
        <v>0.21056547619047628</v>
      </c>
      <c r="DH85" s="66">
        <f t="shared" si="272"/>
        <v>6.519065190651907E-2</v>
      </c>
      <c r="DI85" s="66">
        <f t="shared" si="272"/>
        <v>0.14634968807958182</v>
      </c>
      <c r="DJ85" s="66">
        <f t="shared" si="272"/>
        <v>9.3296261970960748E-2</v>
      </c>
      <c r="DK85" s="66">
        <f t="shared" si="272"/>
        <v>7.9696783446015163E-2</v>
      </c>
      <c r="DL85" s="66">
        <f t="shared" si="272"/>
        <v>0.16116793137578345</v>
      </c>
      <c r="DM85" s="66">
        <f t="shared" si="272"/>
        <v>9.4572731284012557E-2</v>
      </c>
      <c r="DN85" s="66">
        <f t="shared" si="272"/>
        <v>0.10850522746538571</v>
      </c>
      <c r="DO85" s="66">
        <f t="shared" si="272"/>
        <v>0.14629981024667926</v>
      </c>
      <c r="DP85" s="66">
        <f t="shared" si="272"/>
        <v>0.17161528626225331</v>
      </c>
      <c r="DQ85" s="66">
        <f t="shared" si="272"/>
        <v>0.18194033861865089</v>
      </c>
      <c r="DR85" s="66">
        <f t="shared" si="272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 t="shared" ref="FE85:FJ86" si="273">+FE9/FD9-1</f>
        <v>0.67680200321945971</v>
      </c>
      <c r="FF85" s="96">
        <f t="shared" si="273"/>
        <v>0.45749333333333353</v>
      </c>
      <c r="FG85" s="96">
        <f t="shared" si="273"/>
        <v>0.3089139344262295</v>
      </c>
      <c r="FH85" s="96">
        <f t="shared" si="273"/>
        <v>0.23723790886217522</v>
      </c>
      <c r="FI85" s="96">
        <f t="shared" si="273"/>
        <v>0.12165582067968184</v>
      </c>
      <c r="FJ85" s="96">
        <f t="shared" si="273"/>
        <v>0.11188557614826755</v>
      </c>
    </row>
    <row r="86" spans="1:175" s="38" customFormat="1" x14ac:dyDescent="0.25">
      <c r="A86" s="106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 t="shared" ref="CT86:DC87" si="274">+CT10/CP10-1</f>
        <v>2.9571428571428569</v>
      </c>
      <c r="CU86" s="66">
        <f t="shared" si="274"/>
        <v>2.6835016835016838</v>
      </c>
      <c r="CV86" s="66">
        <f t="shared" si="274"/>
        <v>1.3206239168110918</v>
      </c>
      <c r="CW86" s="66">
        <f t="shared" si="274"/>
        <v>0.86035502958579868</v>
      </c>
      <c r="CX86" s="66">
        <f t="shared" si="274"/>
        <v>1.1552346570397112</v>
      </c>
      <c r="CY86" s="66">
        <f t="shared" si="274"/>
        <v>0.71846435100548445</v>
      </c>
      <c r="CZ86" s="66">
        <f t="shared" si="274"/>
        <v>0.55787901418969366</v>
      </c>
      <c r="DA86" s="66">
        <f t="shared" si="274"/>
        <v>0.49109414758269732</v>
      </c>
      <c r="DB86" s="66">
        <f t="shared" si="274"/>
        <v>0.57230597431602481</v>
      </c>
      <c r="DC86" s="66">
        <f t="shared" si="274"/>
        <v>0.43085106382978733</v>
      </c>
      <c r="DD86" s="66">
        <f t="shared" ref="DD86:DM87" si="275">+DD10/CZ10-1</f>
        <v>0.63614573346116976</v>
      </c>
      <c r="DE86" s="66">
        <f t="shared" si="275"/>
        <v>0.43131399317406149</v>
      </c>
      <c r="DF86" s="66">
        <f t="shared" si="275"/>
        <v>0.43501420454545459</v>
      </c>
      <c r="DG86" s="66">
        <f t="shared" si="275"/>
        <v>0.7449814126394052</v>
      </c>
      <c r="DH86" s="66">
        <f t="shared" si="275"/>
        <v>0.72428948139466742</v>
      </c>
      <c r="DI86" s="66">
        <f t="shared" si="275"/>
        <v>0.84113263785394943</v>
      </c>
      <c r="DJ86" s="66">
        <f t="shared" si="275"/>
        <v>0.99950507300173208</v>
      </c>
      <c r="DK86" s="66">
        <f t="shared" si="275"/>
        <v>0.59970174691095024</v>
      </c>
      <c r="DL86" s="66">
        <f t="shared" si="275"/>
        <v>0.57485131690739166</v>
      </c>
      <c r="DM86" s="66">
        <f t="shared" si="275"/>
        <v>0.68398899141978298</v>
      </c>
      <c r="DN86" s="66">
        <f t="shared" ref="DN86:DR87" si="276">+DN10/DJ10-1</f>
        <v>0.41757425742574261</v>
      </c>
      <c r="DO86" s="66">
        <f t="shared" si="276"/>
        <v>0.39872153415900913</v>
      </c>
      <c r="DP86" s="66">
        <f t="shared" si="276"/>
        <v>0.43709538195943054</v>
      </c>
      <c r="DQ86" s="66">
        <f t="shared" si="276"/>
        <v>0.31638146510286469</v>
      </c>
      <c r="DR86" s="66">
        <f t="shared" si="276"/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 t="shared" si="273"/>
        <v>11.142857142857142</v>
      </c>
      <c r="FF86" s="96">
        <f t="shared" si="273"/>
        <v>1.2729411764705882</v>
      </c>
      <c r="FG86" s="96">
        <f t="shared" si="273"/>
        <v>0.57453416149068315</v>
      </c>
      <c r="FH86" s="96">
        <f t="shared" si="273"/>
        <v>0.47918036379574858</v>
      </c>
      <c r="FI86" s="96">
        <f t="shared" si="273"/>
        <v>0.83983998814727023</v>
      </c>
      <c r="FJ86" s="96">
        <f t="shared" si="273"/>
        <v>0.55552423900789139</v>
      </c>
    </row>
    <row r="87" spans="1:175" s="38" customFormat="1" x14ac:dyDescent="0.25">
      <c r="A87" s="106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77">+CI11/CE11-1</f>
        <v>0.97927461139896388</v>
      </c>
      <c r="CJ87" s="66">
        <f t="shared" si="277"/>
        <v>2.612612612612613</v>
      </c>
      <c r="CK87" s="66">
        <f t="shared" si="277"/>
        <v>2.0844155844155843</v>
      </c>
      <c r="CL87" s="66">
        <f t="shared" si="277"/>
        <v>4.212328767123287</v>
      </c>
      <c r="CM87" s="66">
        <f t="shared" si="277"/>
        <v>0.93717277486910988</v>
      </c>
      <c r="CN87" s="66">
        <f t="shared" si="277"/>
        <v>1.57356608478803</v>
      </c>
      <c r="CO87" s="66">
        <f t="shared" si="277"/>
        <v>1.6778947368421053</v>
      </c>
      <c r="CP87" s="66">
        <f t="shared" si="277"/>
        <v>0.88173455978975035</v>
      </c>
      <c r="CQ87" s="66">
        <f t="shared" si="277"/>
        <v>1.0405405405405403</v>
      </c>
      <c r="CR87" s="66">
        <f t="shared" si="277"/>
        <v>0.42635658914728669</v>
      </c>
      <c r="CS87" s="66">
        <f t="shared" si="277"/>
        <v>0.31210691823899372</v>
      </c>
      <c r="CT87" s="66">
        <f t="shared" si="274"/>
        <v>0.34916201117318435</v>
      </c>
      <c r="CU87" s="66">
        <f t="shared" si="274"/>
        <v>0.34834437086092707</v>
      </c>
      <c r="CV87" s="66">
        <f t="shared" si="274"/>
        <v>0.57540760869565233</v>
      </c>
      <c r="CW87" s="66">
        <f t="shared" si="274"/>
        <v>0.44218094667465535</v>
      </c>
      <c r="CX87" s="66">
        <f t="shared" si="274"/>
        <v>0.38716356107660466</v>
      </c>
      <c r="CY87" s="66">
        <f t="shared" si="274"/>
        <v>0.31385068762278978</v>
      </c>
      <c r="CZ87" s="66">
        <f t="shared" si="274"/>
        <v>0.1297973264338077</v>
      </c>
      <c r="DA87" s="66">
        <f t="shared" si="274"/>
        <v>0.29123390112172842</v>
      </c>
      <c r="DB87" s="66">
        <f t="shared" si="274"/>
        <v>0.17014925373134338</v>
      </c>
      <c r="DC87" s="66">
        <f t="shared" si="274"/>
        <v>0.16635514018691588</v>
      </c>
      <c r="DD87" s="66">
        <f t="shared" si="275"/>
        <v>0.36068702290076327</v>
      </c>
      <c r="DE87" s="66">
        <f t="shared" si="275"/>
        <v>0.25611325611325597</v>
      </c>
      <c r="DF87" s="66">
        <f t="shared" si="275"/>
        <v>0.37723214285714279</v>
      </c>
      <c r="DG87" s="66">
        <f t="shared" si="275"/>
        <v>0.34423076923076912</v>
      </c>
      <c r="DH87" s="66">
        <f t="shared" si="275"/>
        <v>0.29312762973352036</v>
      </c>
      <c r="DI87" s="66">
        <f t="shared" si="275"/>
        <v>0.46849385245901631</v>
      </c>
      <c r="DJ87" s="66">
        <f t="shared" si="275"/>
        <v>0.41768927992590865</v>
      </c>
      <c r="DK87" s="66">
        <f t="shared" si="275"/>
        <v>0.37696709585121613</v>
      </c>
      <c r="DL87" s="66">
        <f t="shared" si="275"/>
        <v>0.44967462039045536</v>
      </c>
      <c r="DM87" s="66">
        <f t="shared" si="275"/>
        <v>0.22239665096807948</v>
      </c>
      <c r="DN87" s="66">
        <f t="shared" si="276"/>
        <v>0.30344602319124636</v>
      </c>
      <c r="DO87" s="66">
        <f t="shared" si="276"/>
        <v>0.18874458874458866</v>
      </c>
      <c r="DP87" s="66">
        <f t="shared" si="276"/>
        <v>0.15157863235074087</v>
      </c>
      <c r="DQ87" s="66">
        <f t="shared" si="276"/>
        <v>-2.0547945205479423E-2</v>
      </c>
      <c r="DR87" s="66">
        <f t="shared" si="276"/>
        <v>-0.11489788247086841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25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78">AU78/AQ78-1</f>
        <v>0.24227833061457504</v>
      </c>
      <c r="AV88" s="66">
        <f t="shared" si="278"/>
        <v>0.54656637892619053</v>
      </c>
      <c r="AW88" s="66">
        <f t="shared" si="278"/>
        <v>0.33969062540056982</v>
      </c>
      <c r="AX88" s="66">
        <f t="shared" si="278"/>
        <v>2.3042448332134815</v>
      </c>
      <c r="AY88" s="66">
        <f t="shared" si="278"/>
        <v>0.78264619506510846</v>
      </c>
      <c r="AZ88" s="66">
        <f t="shared" si="278"/>
        <v>-8.2925871665907591E-2</v>
      </c>
      <c r="BA88" s="66">
        <f t="shared" si="278"/>
        <v>2.2085042842024705</v>
      </c>
      <c r="BB88" s="66">
        <f t="shared" si="278"/>
        <v>0.1870513600647703</v>
      </c>
      <c r="BC88" s="66">
        <f t="shared" si="278"/>
        <v>1.731425100430636</v>
      </c>
      <c r="BD88" s="66">
        <f t="shared" si="278"/>
        <v>3.7362930227057349</v>
      </c>
      <c r="BE88" s="66">
        <f t="shared" si="278"/>
        <v>0.17487628448498183</v>
      </c>
      <c r="BF88" s="66">
        <f t="shared" si="278"/>
        <v>-0.52026113261404561</v>
      </c>
      <c r="BG88" s="66">
        <f t="shared" si="278"/>
        <v>-0.57728356037442752</v>
      </c>
      <c r="BH88" s="66">
        <f t="shared" si="278"/>
        <v>-0.60384987633693532</v>
      </c>
      <c r="BI88" s="66">
        <f t="shared" si="278"/>
        <v>-0.45386568723743781</v>
      </c>
      <c r="BJ88" s="66">
        <f t="shared" si="278"/>
        <v>-0.17935478589422826</v>
      </c>
      <c r="BK88" s="66">
        <f t="shared" si="278"/>
        <v>0.1144033426114861</v>
      </c>
      <c r="BL88" s="66">
        <f t="shared" si="278"/>
        <v>0.28860862968049394</v>
      </c>
      <c r="BM88" s="66">
        <f t="shared" si="278"/>
        <v>-0.10728645122357194</v>
      </c>
      <c r="BN88" s="66">
        <f t="shared" si="278"/>
        <v>0.24088397214917667</v>
      </c>
      <c r="BO88" s="66">
        <f t="shared" si="278"/>
        <v>5.1382705842108578E-2</v>
      </c>
      <c r="BP88" s="66">
        <f t="shared" si="278"/>
        <v>-6.5788977619371525E-2</v>
      </c>
      <c r="BQ88" s="66">
        <f t="shared" si="278"/>
        <v>-7.1925548393590666E-2</v>
      </c>
      <c r="BR88" s="66">
        <f t="shared" si="278"/>
        <v>-0.22750132460794636</v>
      </c>
      <c r="BS88" s="66">
        <f t="shared" si="278"/>
        <v>-0.25615165684029639</v>
      </c>
      <c r="BT88" s="66">
        <f t="shared" si="278"/>
        <v>-0.28127885987742418</v>
      </c>
      <c r="BU88" s="66">
        <f t="shared" si="278"/>
        <v>-0.29593098547977148</v>
      </c>
      <c r="BV88" s="66">
        <f t="shared" si="278"/>
        <v>6.4600727857465623E-2</v>
      </c>
      <c r="BW88" s="66">
        <f t="shared" si="278"/>
        <v>6.9797382424570564E-2</v>
      </c>
      <c r="BX88" s="66">
        <f t="shared" si="278"/>
        <v>0.41810682529532461</v>
      </c>
      <c r="BY88" s="66">
        <f t="shared" si="278"/>
        <v>0.39984491447748982</v>
      </c>
      <c r="BZ88" s="66">
        <f t="shared" ref="BZ88" si="279">+BZ78/BV78-1</f>
        <v>-0.17908617525056403</v>
      </c>
      <c r="CA88" s="66">
        <f t="shared" ref="CA88" si="280">+CA78/BW78-1</f>
        <v>-0.38848476873388582</v>
      </c>
      <c r="CB88" s="66">
        <f t="shared" ref="CB88" si="281">+CB78/BX78-1</f>
        <v>-0.50355974944012782</v>
      </c>
      <c r="CC88" s="66">
        <f t="shared" ref="CC88" si="282">+CC78/BY78-1</f>
        <v>-0.6268077871262776</v>
      </c>
      <c r="CD88" s="66">
        <f t="shared" ref="CD88:CH88" si="283">+CD78/BZ78-1</f>
        <v>-0.18783940646311048</v>
      </c>
      <c r="CE88" s="66">
        <f t="shared" si="283"/>
        <v>0.10295041397840432</v>
      </c>
      <c r="CF88" s="66">
        <f t="shared" si="283"/>
        <v>0.91139320767904608</v>
      </c>
      <c r="CG88" s="66">
        <f t="shared" si="283"/>
        <v>0.5169613768087753</v>
      </c>
      <c r="CH88" s="66">
        <f t="shared" si="283"/>
        <v>6.3626988700353992E-2</v>
      </c>
      <c r="CI88" s="66">
        <f t="shared" ref="CI88" si="284">+CI78/CE78-1</f>
        <v>0.23250916922393094</v>
      </c>
      <c r="CJ88" s="66">
        <f t="shared" ref="CJ88" si="285">+CJ78/CF78-1</f>
        <v>-0.21073591805089609</v>
      </c>
      <c r="CK88" s="66">
        <f t="shared" ref="CK88" si="286">+CK78/CG78-1</f>
        <v>0.15419301941534758</v>
      </c>
      <c r="CL88" s="66">
        <f t="shared" ref="CL88" si="287">+CL78/CH78-1</f>
        <v>0.3170296226644651</v>
      </c>
      <c r="CM88" s="66">
        <f t="shared" ref="CM88" si="288">+CM78/CI78-1</f>
        <v>-6.9289455650238252E-2</v>
      </c>
      <c r="CN88" s="66">
        <f t="shared" ref="CN88:CQ88" si="289">+CN78/CJ78-1</f>
        <v>1.0684769275743689E-2</v>
      </c>
      <c r="CO88" s="66">
        <f t="shared" si="289"/>
        <v>0.39398235910848012</v>
      </c>
      <c r="CP88" s="66">
        <f t="shared" si="289"/>
        <v>0.22523961679788629</v>
      </c>
      <c r="CQ88" s="66">
        <f t="shared" si="289"/>
        <v>-0.46882860755108235</v>
      </c>
      <c r="CR88" s="66">
        <f t="shared" ref="CR88" si="290">+CR78/CN78-1</f>
        <v>0.49230638070497101</v>
      </c>
      <c r="CS88" s="66">
        <f t="shared" ref="CS88" si="291">+CS78/CO78-1</f>
        <v>0.24713714508369033</v>
      </c>
      <c r="CT88" s="66">
        <f t="shared" ref="CT88" si="292">+CT78/CP78-1</f>
        <v>0.43212564887758509</v>
      </c>
      <c r="CU88" s="66">
        <f t="shared" ref="CU88" si="293">+CU78/CQ78-1</f>
        <v>1.7513420507993556</v>
      </c>
      <c r="CV88" s="66">
        <f t="shared" ref="CV88:DF88" si="294">+CV78/CR78-1</f>
        <v>8.6392868503512688E-2</v>
      </c>
      <c r="CW88" s="66">
        <f t="shared" si="294"/>
        <v>0.11845562103386764</v>
      </c>
      <c r="CX88" s="66">
        <f t="shared" si="294"/>
        <v>-2.3716548886028588E-2</v>
      </c>
      <c r="CY88" s="66">
        <f t="shared" si="294"/>
        <v>0.41134642228191165</v>
      </c>
      <c r="CZ88" s="66">
        <f t="shared" si="294"/>
        <v>-6.1677293908494524E-2</v>
      </c>
      <c r="DA88" s="66">
        <f t="shared" si="294"/>
        <v>-9.3928791890615648E-2</v>
      </c>
      <c r="DB88" s="66">
        <f t="shared" si="294"/>
        <v>0.40022763994078892</v>
      </c>
      <c r="DC88" s="66">
        <f t="shared" si="294"/>
        <v>0.24076955289661717</v>
      </c>
      <c r="DD88" s="66">
        <f t="shared" si="294"/>
        <v>0.38318594312768117</v>
      </c>
      <c r="DE88" s="66">
        <f t="shared" si="294"/>
        <v>0.45580624220564636</v>
      </c>
      <c r="DF88" s="66">
        <f t="shared" si="294"/>
        <v>0.17005727482444555</v>
      </c>
      <c r="DG88" s="66">
        <f>+DG78/DC78-1</f>
        <v>0.43758303199128945</v>
      </c>
      <c r="DH88" s="66">
        <f t="shared" ref="DH88:DN88" si="295">+DH78/DD78-1</f>
        <v>1.1450043970479884E-2</v>
      </c>
      <c r="DI88" s="66">
        <f t="shared" si="295"/>
        <v>2.3716730966681032E-2</v>
      </c>
      <c r="DJ88" s="66">
        <f t="shared" si="295"/>
        <v>-7.6791808189561661E-2</v>
      </c>
      <c r="DK88" s="66">
        <f t="shared" si="295"/>
        <v>-0.40528199841427992</v>
      </c>
      <c r="DL88" s="66">
        <f t="shared" si="295"/>
        <v>-0.130248576662779</v>
      </c>
      <c r="DM88" s="66">
        <f t="shared" si="295"/>
        <v>0.53275212509008574</v>
      </c>
      <c r="DN88" s="66">
        <f t="shared" si="295"/>
        <v>0.4699178124623602</v>
      </c>
      <c r="DO88" s="66">
        <f>+DO78/DK78-1</f>
        <v>0.58645968632628698</v>
      </c>
      <c r="DP88" s="66">
        <f>+DP78/DL78-1</f>
        <v>1.4947066147679449</v>
      </c>
      <c r="DQ88" s="66">
        <f t="shared" ref="DQ88" si="296">+DQ78/DM78-1</f>
        <v>0.52147164221158615</v>
      </c>
      <c r="DR88" s="66">
        <f t="shared" ref="DR88" si="297">+DR78/DN78-1</f>
        <v>0.57489986385654701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98">EO78/EN78-1</f>
        <v>-7.8712768439495151E-2</v>
      </c>
      <c r="EP88" s="67">
        <f t="shared" si="298"/>
        <v>-1.0147762349246858E-2</v>
      </c>
      <c r="EQ88" s="67">
        <f t="shared" si="298"/>
        <v>8.8659943146997877E-2</v>
      </c>
      <c r="ER88" s="67">
        <f t="shared" si="298"/>
        <v>1.8914666658705448E-2</v>
      </c>
      <c r="ES88" s="67">
        <f t="shared" si="298"/>
        <v>0.18158561537982321</v>
      </c>
      <c r="ET88" s="67">
        <f t="shared" si="298"/>
        <v>0.36697720609951956</v>
      </c>
      <c r="EU88" s="67">
        <f t="shared" si="298"/>
        <v>0.82971846943568472</v>
      </c>
      <c r="EV88" s="67">
        <f t="shared" si="298"/>
        <v>-0.49685325768272748</v>
      </c>
      <c r="EW88" s="67">
        <f t="shared" si="298"/>
        <v>-0.14043421391571609</v>
      </c>
      <c r="EX88" s="67">
        <f t="shared" si="298"/>
        <v>9.3314477344200064E-2</v>
      </c>
      <c r="EY88" s="67">
        <f t="shared" si="298"/>
        <v>-0.27187767535042584</v>
      </c>
      <c r="EZ88" s="67">
        <f t="shared" si="298"/>
        <v>-2.5724967872223239</v>
      </c>
      <c r="FA88" s="67">
        <f t="shared" si="298"/>
        <v>-0.19999999999999984</v>
      </c>
      <c r="FB88" s="67">
        <f t="shared" si="298"/>
        <v>-1</v>
      </c>
      <c r="FC88" s="67" t="e">
        <f t="shared" si="298"/>
        <v>#DIV/0!</v>
      </c>
      <c r="FD88" s="67" t="e">
        <f t="shared" si="298"/>
        <v>#DIV/0!</v>
      </c>
      <c r="FE88" s="67">
        <f t="shared" si="298"/>
        <v>0.32373313187086694</v>
      </c>
      <c r="FF88" s="67">
        <f t="shared" si="298"/>
        <v>9.1367282249790627E-2</v>
      </c>
      <c r="FG88" s="67"/>
      <c r="FH88" s="67"/>
    </row>
    <row r="89" spans="1:175" x14ac:dyDescent="0.25">
      <c r="A89" s="102"/>
      <c r="FE89" s="47"/>
      <c r="FF89" s="47"/>
      <c r="FG89" s="47"/>
      <c r="FH89" s="47"/>
    </row>
    <row r="90" spans="1:175" x14ac:dyDescent="0.25">
      <c r="A90" s="102"/>
      <c r="B90" t="s">
        <v>123</v>
      </c>
      <c r="AP90" s="64">
        <f t="shared" ref="AP90:BB90" si="299">AP69/AP67</f>
        <v>0.73930980486629738</v>
      </c>
      <c r="AQ90" s="64">
        <f t="shared" si="299"/>
        <v>0.73235178068634854</v>
      </c>
      <c r="AR90" s="64">
        <f t="shared" si="299"/>
        <v>0.73840333863752361</v>
      </c>
      <c r="AS90" s="64">
        <f t="shared" si="299"/>
        <v>0.74711692764659565</v>
      </c>
      <c r="AT90" s="64">
        <f t="shared" si="299"/>
        <v>0.75394477317554254</v>
      </c>
      <c r="AU90" s="64">
        <f t="shared" si="299"/>
        <v>0.76540229216359301</v>
      </c>
      <c r="AV90" s="64">
        <f t="shared" si="299"/>
        <v>0.76398673281982399</v>
      </c>
      <c r="AW90" s="64">
        <f t="shared" si="299"/>
        <v>0.76998832428042041</v>
      </c>
      <c r="AX90" s="64">
        <f t="shared" si="299"/>
        <v>0.81222054008379396</v>
      </c>
      <c r="AY90" s="64">
        <f t="shared" si="299"/>
        <v>0.78590823644085506</v>
      </c>
      <c r="AZ90" s="64">
        <f t="shared" si="299"/>
        <v>0.76181506032714963</v>
      </c>
      <c r="BA90" s="64">
        <f t="shared" si="299"/>
        <v>0.82123302764734796</v>
      </c>
      <c r="BB90" s="64">
        <f t="shared" si="299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300">BG69/BG67</f>
        <v>0.83310846723087617</v>
      </c>
      <c r="BH90" s="64">
        <f t="shared" si="300"/>
        <v>0.81472572601936055</v>
      </c>
      <c r="BI90" s="64">
        <f t="shared" si="300"/>
        <v>0.81087738223660555</v>
      </c>
      <c r="BJ90" s="64">
        <f t="shared" si="300"/>
        <v>0.75879676440849342</v>
      </c>
      <c r="BK90" s="64">
        <f t="shared" si="300"/>
        <v>0.79536961079208823</v>
      </c>
      <c r="BL90" s="64">
        <f t="shared" si="300"/>
        <v>0.82189016647241986</v>
      </c>
      <c r="BM90" s="64">
        <f t="shared" si="300"/>
        <v>0.82535191341868852</v>
      </c>
      <c r="BN90" s="64">
        <f t="shared" si="300"/>
        <v>0.80084690974915962</v>
      </c>
      <c r="BO90" s="64">
        <f t="shared" si="300"/>
        <v>0.79790039731470075</v>
      </c>
      <c r="BP90" s="64">
        <f t="shared" si="300"/>
        <v>0.80360798362333674</v>
      </c>
      <c r="BQ90" s="64">
        <f t="shared" si="300"/>
        <v>0.78235552447097467</v>
      </c>
      <c r="BR90" s="64">
        <f t="shared" si="300"/>
        <v>0.78143965075322874</v>
      </c>
      <c r="BS90" s="64">
        <f t="shared" si="300"/>
        <v>0.78618092246180205</v>
      </c>
      <c r="BT90" s="64">
        <f t="shared" si="300"/>
        <v>0.79525042406927948</v>
      </c>
      <c r="BU90" s="64">
        <f t="shared" si="300"/>
        <v>0.77885163068442809</v>
      </c>
      <c r="BV90" s="64">
        <f t="shared" si="300"/>
        <v>0.79045876487670585</v>
      </c>
      <c r="BW90" s="64">
        <f t="shared" si="300"/>
        <v>0.79323455908604068</v>
      </c>
      <c r="BX90" s="64">
        <f t="shared" si="300"/>
        <v>0.80349764743578933</v>
      </c>
      <c r="BY90" s="64">
        <f t="shared" si="300"/>
        <v>0.79245054221667877</v>
      </c>
      <c r="BZ90" s="64">
        <f t="shared" si="300"/>
        <v>0.76131042556121742</v>
      </c>
      <c r="CA90" s="64">
        <f t="shared" ref="CA90:CB90" si="301">CA69/CA67</f>
        <v>0.73891225897375679</v>
      </c>
      <c r="CB90" s="64">
        <f t="shared" si="301"/>
        <v>0.75895534484155935</v>
      </c>
      <c r="CC90" s="64">
        <f t="shared" ref="CC90:CD90" si="302">CC69/CC67</f>
        <v>0.74013454754286656</v>
      </c>
      <c r="CD90" s="64">
        <f t="shared" si="302"/>
        <v>0.75531603303848638</v>
      </c>
      <c r="CE90" s="64">
        <f t="shared" ref="CE90" si="303">CE69/CE67</f>
        <v>0.74321269403836632</v>
      </c>
      <c r="CF90" s="64">
        <f t="shared" ref="CF90" si="304">CF69/CF67</f>
        <v>0.79233534858497201</v>
      </c>
      <c r="CG90" s="64">
        <f t="shared" ref="CG90" si="305">CG69/CG67</f>
        <v>0.75060991592233395</v>
      </c>
      <c r="CH90" s="64">
        <f t="shared" ref="CH90" si="306">CH69/CH67</f>
        <v>0.7415730337078652</v>
      </c>
      <c r="CI90" s="64">
        <f t="shared" ref="CI90:CJ90" si="307">CI69/CI67</f>
        <v>0.72806314361472535</v>
      </c>
      <c r="CJ90" s="64">
        <f t="shared" si="307"/>
        <v>0.75976909413854343</v>
      </c>
      <c r="CK90" s="64">
        <f t="shared" ref="CK90:CL90" si="308">CK69/CK67</f>
        <v>0.73016545640156405</v>
      </c>
      <c r="CL90" s="64">
        <f t="shared" si="308"/>
        <v>0.74550820241298499</v>
      </c>
      <c r="CM90" s="64">
        <f t="shared" ref="CM90:CN90" si="309">CM69/CM67</f>
        <v>0.74219153453321351</v>
      </c>
      <c r="CN90" s="64">
        <f t="shared" si="309"/>
        <v>0.73014782892364749</v>
      </c>
      <c r="CO90" s="64">
        <f t="shared" ref="CO90:CQ90" si="310">CO69/CO67</f>
        <v>0.71963591375044178</v>
      </c>
      <c r="CP90" s="64">
        <f t="shared" si="310"/>
        <v>0.73300112000259698</v>
      </c>
      <c r="CQ90" s="64">
        <f t="shared" si="310"/>
        <v>0.68344816471251857</v>
      </c>
      <c r="CR90" s="64">
        <f t="shared" ref="CR90" si="311">CR69/CR67</f>
        <v>0.7320776686807654</v>
      </c>
      <c r="CS90" s="64">
        <f t="shared" ref="CS90" si="312">CS69/CS67</f>
        <v>0.74227552417558851</v>
      </c>
      <c r="CT90" s="64">
        <f t="shared" ref="CT90:CU90" si="313">CT69/CT67</f>
        <v>0.75247724660640514</v>
      </c>
      <c r="CU90" s="64">
        <f t="shared" si="313"/>
        <v>0.80155535044480652</v>
      </c>
      <c r="CV90" s="64">
        <f t="shared" ref="CV90:CW90" si="314">CV69/CV67</f>
        <v>0.80959054782855522</v>
      </c>
      <c r="CW90" s="64">
        <f t="shared" si="314"/>
        <v>0.79578570646021263</v>
      </c>
      <c r="CX90" s="64">
        <f t="shared" ref="CX90:CY90" si="315">CX69/CX67</f>
        <v>0.79891393241519193</v>
      </c>
      <c r="CY90" s="64">
        <f t="shared" si="315"/>
        <v>0.80263831530086338</v>
      </c>
      <c r="CZ90" s="64">
        <f t="shared" ref="CZ90:DF90" si="316">CZ69/CZ67</f>
        <v>0.79648688947885227</v>
      </c>
      <c r="DA90" s="64">
        <f t="shared" si="316"/>
        <v>0.79098003692993768</v>
      </c>
      <c r="DB90" s="64">
        <f t="shared" si="316"/>
        <v>0.76884719291407366</v>
      </c>
      <c r="DC90" s="64">
        <f t="shared" si="316"/>
        <v>0.75440813447748922</v>
      </c>
      <c r="DD90" s="64">
        <f t="shared" si="316"/>
        <v>0.7925816023738872</v>
      </c>
      <c r="DE90" s="64">
        <f t="shared" si="316"/>
        <v>0.79007825188247449</v>
      </c>
      <c r="DF90" s="64">
        <f t="shared" si="316"/>
        <v>0.74372179652245651</v>
      </c>
      <c r="DG90" s="64">
        <f>DG69/DG67</f>
        <v>0.76088654434642322</v>
      </c>
      <c r="DH90" s="64">
        <f t="shared" ref="DH90:DN90" si="317">DH69/DH67</f>
        <v>0.79820897362783039</v>
      </c>
      <c r="DI90" s="64">
        <f t="shared" si="317"/>
        <v>0.77251314557372319</v>
      </c>
      <c r="DJ90" s="64">
        <f t="shared" si="317"/>
        <v>0.80498226488996016</v>
      </c>
      <c r="DK90" s="64">
        <f t="shared" si="317"/>
        <v>0.78435964483779197</v>
      </c>
      <c r="DL90" s="64">
        <f t="shared" si="317"/>
        <v>0.78262556250969839</v>
      </c>
      <c r="DM90" s="64">
        <f t="shared" si="317"/>
        <v>0.78523772389122004</v>
      </c>
      <c r="DN90" s="64">
        <f t="shared" si="317"/>
        <v>0.82474673314811486</v>
      </c>
      <c r="DO90" s="64">
        <f t="shared" ref="DO90:DR90" si="318">DO69/DO67</f>
        <v>0.82500598747761822</v>
      </c>
      <c r="DP90" s="64">
        <f t="shared" si="318"/>
        <v>0.82029957443796608</v>
      </c>
      <c r="DQ90" s="64">
        <f t="shared" si="318"/>
        <v>0.82241765158402691</v>
      </c>
      <c r="DR90" s="64">
        <f t="shared" si="318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19">FF69/FF67</f>
        <v>0.80144538583199287</v>
      </c>
      <c r="FG90" s="64">
        <f t="shared" ref="FG90:FQ90" si="320">FG69/FG67</f>
        <v>0.78828764583392763</v>
      </c>
      <c r="FH90" s="64">
        <f t="shared" si="320"/>
        <v>0.7690061267369388</v>
      </c>
      <c r="FI90" s="64">
        <f t="shared" si="320"/>
        <v>0.78347943688816957</v>
      </c>
      <c r="FJ90" s="64">
        <f t="shared" si="320"/>
        <v>0.79499449756365215</v>
      </c>
      <c r="FK90" s="64">
        <f>FK69/FK67</f>
        <v>0.81647547210073435</v>
      </c>
      <c r="FL90" s="64">
        <f t="shared" si="320"/>
        <v>0.79000000000000015</v>
      </c>
      <c r="FM90" s="64">
        <f t="shared" si="320"/>
        <v>0.79</v>
      </c>
      <c r="FN90" s="64">
        <f t="shared" si="320"/>
        <v>0.79</v>
      </c>
      <c r="FO90" s="64">
        <f t="shared" si="320"/>
        <v>0.79</v>
      </c>
      <c r="FP90" s="64">
        <f t="shared" si="320"/>
        <v>0.79</v>
      </c>
      <c r="FQ90" s="64">
        <f t="shared" si="320"/>
        <v>0.85</v>
      </c>
    </row>
    <row r="91" spans="1:175" x14ac:dyDescent="0.25">
      <c r="A91" s="102"/>
      <c r="B91" t="s">
        <v>59</v>
      </c>
      <c r="AP91" s="64">
        <f t="shared" ref="AP91:BZ91" si="321">AP70/AP67</f>
        <v>0.33064321850156586</v>
      </c>
      <c r="AQ91" s="64">
        <f t="shared" si="321"/>
        <v>0.33962346804642624</v>
      </c>
      <c r="AR91" s="64">
        <f t="shared" si="321"/>
        <v>0.34410184045395864</v>
      </c>
      <c r="AS91" s="64">
        <f t="shared" si="321"/>
        <v>0.32022287121113957</v>
      </c>
      <c r="AT91" s="64">
        <f t="shared" si="321"/>
        <v>0.32599167214551827</v>
      </c>
      <c r="AU91" s="64">
        <f t="shared" si="321"/>
        <v>0.3324800744662284</v>
      </c>
      <c r="AV91" s="64">
        <f t="shared" si="321"/>
        <v>0.33935473260053178</v>
      </c>
      <c r="AW91" s="64">
        <f t="shared" si="321"/>
        <v>0.33054977410020808</v>
      </c>
      <c r="AX91" s="64">
        <f t="shared" si="321"/>
        <v>0.25034327359785935</v>
      </c>
      <c r="AY91" s="64">
        <f t="shared" si="321"/>
        <v>0.31024159298196752</v>
      </c>
      <c r="AZ91" s="64">
        <f t="shared" si="321"/>
        <v>0.36356049406266394</v>
      </c>
      <c r="BA91" s="64">
        <f t="shared" si="321"/>
        <v>0.25050429711999733</v>
      </c>
      <c r="BB91" s="64">
        <f t="shared" si="321"/>
        <v>0.26340819418815725</v>
      </c>
      <c r="BC91" s="64">
        <f t="shared" si="321"/>
        <v>0.24840590855202022</v>
      </c>
      <c r="BD91" s="64">
        <f t="shared" si="321"/>
        <v>0.25361378384426048</v>
      </c>
      <c r="BE91" s="64">
        <f t="shared" si="321"/>
        <v>0.24264002707116478</v>
      </c>
      <c r="BF91" s="64">
        <f t="shared" si="321"/>
        <v>0.32983398906055078</v>
      </c>
      <c r="BG91" s="64">
        <f t="shared" si="321"/>
        <v>0.31260476716137209</v>
      </c>
      <c r="BH91" s="64">
        <f t="shared" si="321"/>
        <v>0.33405690818421824</v>
      </c>
      <c r="BI91" s="64">
        <f t="shared" si="321"/>
        <v>0.30596907587198846</v>
      </c>
      <c r="BJ91" s="64">
        <f t="shared" si="321"/>
        <v>0.32917087967644082</v>
      </c>
      <c r="BK91" s="64">
        <f t="shared" si="321"/>
        <v>0.29430316288396685</v>
      </c>
      <c r="BL91" s="64">
        <f t="shared" si="321"/>
        <v>0.3053559935289718</v>
      </c>
      <c r="BM91" s="64">
        <f t="shared" si="321"/>
        <v>0.2997276649925727</v>
      </c>
      <c r="BN91" s="64">
        <f t="shared" si="321"/>
        <v>0.32142164468580292</v>
      </c>
      <c r="BO91" s="64">
        <f t="shared" si="321"/>
        <v>0.30581244006028224</v>
      </c>
      <c r="BP91" s="64">
        <f t="shared" si="321"/>
        <v>0.32673362333674522</v>
      </c>
      <c r="BQ91" s="64">
        <f t="shared" si="321"/>
        <v>0.31193376815601565</v>
      </c>
      <c r="BR91" s="64">
        <f t="shared" si="321"/>
        <v>0.35278554065450696</v>
      </c>
      <c r="BS91" s="64">
        <f t="shared" si="321"/>
        <v>0.32976938454947874</v>
      </c>
      <c r="BT91" s="64">
        <f t="shared" si="321"/>
        <v>0.34480849924113921</v>
      </c>
      <c r="BU91" s="64">
        <f t="shared" si="321"/>
        <v>0.32290307762976572</v>
      </c>
      <c r="BV91" s="64">
        <f t="shared" si="321"/>
        <v>0.33194568008997366</v>
      </c>
      <c r="BW91" s="64">
        <f t="shared" si="321"/>
        <v>0.29489468047126027</v>
      </c>
      <c r="BX91" s="64">
        <f t="shared" si="321"/>
        <v>0.3149569118167867</v>
      </c>
      <c r="BY91" s="64">
        <f t="shared" si="321"/>
        <v>0.28624883068288121</v>
      </c>
      <c r="BZ91" s="64">
        <f t="shared" si="321"/>
        <v>0.3363173116650599</v>
      </c>
      <c r="CA91" s="64">
        <f t="shared" ref="CA91:CB91" si="322">CA70/CA67</f>
        <v>0.31707629561615169</v>
      </c>
      <c r="CB91" s="64">
        <f t="shared" si="322"/>
        <v>0.33712213307399302</v>
      </c>
      <c r="CC91" s="64">
        <f t="shared" ref="CC91:CD91" si="323">CC70/CC67</f>
        <v>0.34295266223644266</v>
      </c>
      <c r="CD91" s="64">
        <f t="shared" si="323"/>
        <v>0.35145373245074496</v>
      </c>
      <c r="CE91" s="64">
        <f t="shared" ref="CE91" si="324">CE70/CE67</f>
        <v>0.32800826748767414</v>
      </c>
      <c r="CF91" s="64">
        <f t="shared" ref="CF91" si="325">CF70/CF67</f>
        <v>0.32847932191134233</v>
      </c>
      <c r="CG91" s="64">
        <f t="shared" ref="CG91" si="326">CG70/CG67</f>
        <v>0.31770066737907537</v>
      </c>
      <c r="CH91" s="64">
        <f t="shared" ref="CH91" si="327">CH70/CH67</f>
        <v>0.33454870154029315</v>
      </c>
      <c r="CI91" s="64">
        <f t="shared" ref="CI91:CJ91" si="328">CI70/CI67</f>
        <v>0.30295369057162236</v>
      </c>
      <c r="CJ91" s="64">
        <f t="shared" si="328"/>
        <v>0.30021462403789223</v>
      </c>
      <c r="CK91" s="64">
        <f t="shared" ref="CK91:CL91" si="329">CK70/CK67</f>
        <v>0.30151973342065225</v>
      </c>
      <c r="CL91" s="64">
        <f t="shared" si="329"/>
        <v>0.31075427480253448</v>
      </c>
      <c r="CM91" s="64">
        <f t="shared" ref="CM91:CN91" si="330">CM70/CM67</f>
        <v>0.29984889925979763</v>
      </c>
      <c r="CN91" s="64">
        <f t="shared" si="330"/>
        <v>0.29710008069639271</v>
      </c>
      <c r="CO91" s="64">
        <f t="shared" ref="CO91:CQ91" si="331">CO70/CO67</f>
        <v>0.27898550724637683</v>
      </c>
      <c r="CP91" s="64">
        <f t="shared" si="331"/>
        <v>0.29274270780917755</v>
      </c>
      <c r="CQ91" s="64">
        <f t="shared" si="331"/>
        <v>0.30218783996131993</v>
      </c>
      <c r="CR91" s="64">
        <f t="shared" ref="CR91" si="332">CR70/CR67</f>
        <v>0.26021210976837866</v>
      </c>
      <c r="CS91" s="64">
        <f t="shared" ref="CS91" si="333">CS70/CS67</f>
        <v>0.26668206337946848</v>
      </c>
      <c r="CT91" s="64">
        <f t="shared" ref="CT91:CU91" si="334">CT70/CT67</f>
        <v>0.28911564625850339</v>
      </c>
      <c r="CU91" s="64">
        <f t="shared" si="334"/>
        <v>0.29793209088588218</v>
      </c>
      <c r="CV91" s="64">
        <f t="shared" ref="CV91:CW91" si="335">CV70/CV67</f>
        <v>0.28141853533919947</v>
      </c>
      <c r="CW91" s="64">
        <f t="shared" si="335"/>
        <v>0.25787897600701165</v>
      </c>
      <c r="CX91" s="64">
        <f t="shared" ref="CX91:CY91" si="336">CX70/CX67</f>
        <v>0.27774869966305737</v>
      </c>
      <c r="CY91" s="64">
        <f t="shared" si="336"/>
        <v>0.26444588552510334</v>
      </c>
      <c r="CZ91" s="64">
        <f t="shared" ref="CZ91:DF91" si="337">CZ70/CZ67</f>
        <v>0.26341055387860496</v>
      </c>
      <c r="DA91" s="64">
        <f t="shared" si="337"/>
        <v>0.27333379786085082</v>
      </c>
      <c r="DB91" s="64">
        <f t="shared" si="337"/>
        <v>0.20885471969462779</v>
      </c>
      <c r="DC91" s="64">
        <f t="shared" si="337"/>
        <v>0.23157399788409544</v>
      </c>
      <c r="DD91" s="64">
        <f t="shared" si="337"/>
        <v>0.25010385756676567</v>
      </c>
      <c r="DE91" s="64">
        <f t="shared" si="337"/>
        <v>0.23296914218219408</v>
      </c>
      <c r="DF91" s="64">
        <f t="shared" si="337"/>
        <v>0.19900248753109415</v>
      </c>
      <c r="DG91" s="64">
        <f>DG70/DG67</f>
        <v>0.1994724779452248</v>
      </c>
      <c r="DH91" s="64">
        <f t="shared" ref="DH91:DN91" si="338">DH70/DH67</f>
        <v>0.27464973257910874</v>
      </c>
      <c r="DI91" s="64">
        <f t="shared" si="338"/>
        <v>0.232543398400922</v>
      </c>
      <c r="DJ91" s="64">
        <f t="shared" si="338"/>
        <v>0.22503731905394483</v>
      </c>
      <c r="DK91" s="64">
        <f t="shared" si="338"/>
        <v>0.25131461739605188</v>
      </c>
      <c r="DL91" s="64">
        <f t="shared" si="338"/>
        <v>0.24897843066259767</v>
      </c>
      <c r="DM91" s="64">
        <f t="shared" si="338"/>
        <v>0.19980937527077383</v>
      </c>
      <c r="DN91" s="64">
        <f t="shared" si="338"/>
        <v>0.20331069161129478</v>
      </c>
      <c r="DO91" s="64">
        <f t="shared" ref="DO91:DR91" si="339">DO70/DO67</f>
        <v>0.22264292964428684</v>
      </c>
      <c r="DP91" s="64">
        <f t="shared" si="339"/>
        <v>0.18732692188592109</v>
      </c>
      <c r="DQ91" s="64">
        <f t="shared" si="339"/>
        <v>0.23901146933351972</v>
      </c>
      <c r="DR91" s="64">
        <f t="shared" si="339"/>
        <v>0.16397056203828914</v>
      </c>
      <c r="DS91" s="64"/>
      <c r="DT91" s="64"/>
      <c r="DU91" s="64"/>
      <c r="DV91" s="64"/>
      <c r="EN91" s="64">
        <f t="shared" ref="EN91:FG91" si="340">EN70/EN67</f>
        <v>0.29383437956832059</v>
      </c>
      <c r="EO91" s="64">
        <f t="shared" si="340"/>
        <v>0.30691454079346014</v>
      </c>
      <c r="EP91" s="64">
        <f t="shared" si="340"/>
        <v>0.32220897894318634</v>
      </c>
      <c r="EQ91" s="64">
        <f t="shared" si="340"/>
        <v>0.30911321163143085</v>
      </c>
      <c r="ER91" s="64">
        <f t="shared" si="340"/>
        <v>0.30696245733788396</v>
      </c>
      <c r="ES91" s="64">
        <f t="shared" si="340"/>
        <v>0.30107390629454817</v>
      </c>
      <c r="ET91" s="64">
        <f t="shared" si="340"/>
        <v>0.26364165212332757</v>
      </c>
      <c r="EU91" s="64">
        <f t="shared" si="340"/>
        <v>0.33758834028714957</v>
      </c>
      <c r="EV91" s="64">
        <f t="shared" si="340"/>
        <v>0.32861448926124026</v>
      </c>
      <c r="EW91" s="64">
        <f t="shared" si="340"/>
        <v>0.32216426568252204</v>
      </c>
      <c r="EX91" s="64">
        <f t="shared" si="340"/>
        <v>0.33001637538582668</v>
      </c>
      <c r="EY91" s="64">
        <f t="shared" si="340"/>
        <v>0.34149944321978049</v>
      </c>
      <c r="EZ91" s="64">
        <f t="shared" si="340"/>
        <v>0.30882162063937763</v>
      </c>
      <c r="FA91" s="64">
        <f t="shared" si="340"/>
        <v>0.2911066135799385</v>
      </c>
      <c r="FB91" s="64">
        <f t="shared" si="340"/>
        <v>0</v>
      </c>
      <c r="FC91" s="64">
        <f t="shared" si="340"/>
        <v>0</v>
      </c>
      <c r="FD91" s="64">
        <f t="shared" si="340"/>
        <v>0.29950636320853891</v>
      </c>
      <c r="FE91" s="64">
        <f t="shared" si="340"/>
        <v>0.27800084678338632</v>
      </c>
      <c r="FF91" s="64">
        <f t="shared" ref="FF91" si="341">FF70/FF67</f>
        <v>0.27840478868064855</v>
      </c>
      <c r="FG91" s="64">
        <f t="shared" si="340"/>
        <v>0.24943866926923092</v>
      </c>
      <c r="FH91" s="64">
        <f>FH70/FH67</f>
        <v>0.22711654925225563</v>
      </c>
      <c r="FI91" s="64">
        <f t="shared" ref="FI91:FQ91" si="342">FI70/FI67</f>
        <v>0.23114493332492445</v>
      </c>
      <c r="FJ91" s="64">
        <f t="shared" si="342"/>
        <v>0.22487974136990399</v>
      </c>
      <c r="FK91" s="64">
        <f t="shared" si="342"/>
        <v>0.20337309910376547</v>
      </c>
      <c r="FL91" s="64">
        <f t="shared" si="342"/>
        <v>0.25</v>
      </c>
      <c r="FM91" s="64">
        <f t="shared" si="342"/>
        <v>0.25</v>
      </c>
      <c r="FN91" s="64">
        <f t="shared" si="342"/>
        <v>0.25</v>
      </c>
      <c r="FO91" s="64">
        <f t="shared" si="342"/>
        <v>0.25</v>
      </c>
      <c r="FP91" s="64">
        <f t="shared" si="342"/>
        <v>0.25</v>
      </c>
      <c r="FQ91" s="64">
        <f t="shared" si="342"/>
        <v>0.25</v>
      </c>
    </row>
    <row r="92" spans="1:175" x14ac:dyDescent="0.25">
      <c r="A92" s="102"/>
      <c r="B92" t="s">
        <v>60</v>
      </c>
      <c r="AP92" s="64">
        <f t="shared" ref="AP92:BZ92" si="343">AP71/AP67</f>
        <v>0.21259937364490483</v>
      </c>
      <c r="AQ92" s="64">
        <f t="shared" si="343"/>
        <v>0.2187299766684323</v>
      </c>
      <c r="AR92" s="64">
        <f t="shared" si="343"/>
        <v>0.22890083165700903</v>
      </c>
      <c r="AS92" s="64">
        <f t="shared" si="343"/>
        <v>0.2245656702582555</v>
      </c>
      <c r="AT92" s="64">
        <f t="shared" si="343"/>
        <v>0.22189349112426032</v>
      </c>
      <c r="AU92" s="64">
        <f t="shared" si="343"/>
        <v>0.21554482517889348</v>
      </c>
      <c r="AV92" s="64">
        <f t="shared" si="343"/>
        <v>0.21243935199144762</v>
      </c>
      <c r="AW92" s="64">
        <f t="shared" si="343"/>
        <v>0.20021320879232446</v>
      </c>
      <c r="AX92" s="64">
        <f t="shared" si="343"/>
        <v>0.15667359081787136</v>
      </c>
      <c r="AY92" s="64">
        <f t="shared" si="343"/>
        <v>0.19359929448351085</v>
      </c>
      <c r="AZ92" s="64">
        <f t="shared" si="343"/>
        <v>0.20372931470265629</v>
      </c>
      <c r="BA92" s="64">
        <f t="shared" si="343"/>
        <v>0.14315257742444021</v>
      </c>
      <c r="BB92" s="64">
        <f t="shared" si="343"/>
        <v>0.14306074380785214</v>
      </c>
      <c r="BC92" s="64">
        <f t="shared" si="343"/>
        <v>0.14052036271588322</v>
      </c>
      <c r="BD92" s="64">
        <f t="shared" si="343"/>
        <v>0.14194077720593723</v>
      </c>
      <c r="BE92" s="64">
        <f t="shared" si="343"/>
        <v>0.14021097853433181</v>
      </c>
      <c r="BF92" s="64">
        <f t="shared" si="343"/>
        <v>0.19884847903272238</v>
      </c>
      <c r="BG92" s="64">
        <f t="shared" si="343"/>
        <v>0.19365059896152745</v>
      </c>
      <c r="BH92" s="64">
        <f t="shared" si="343"/>
        <v>0.20346142563801703</v>
      </c>
      <c r="BI92" s="64">
        <f t="shared" si="343"/>
        <v>0.20174397698669541</v>
      </c>
      <c r="BJ92" s="64">
        <f t="shared" si="343"/>
        <v>0.2050387596899225</v>
      </c>
      <c r="BK92" s="64">
        <f t="shared" si="343"/>
        <v>0.1894266703126424</v>
      </c>
      <c r="BL92" s="64">
        <f t="shared" si="343"/>
        <v>0.20651625584914851</v>
      </c>
      <c r="BM92" s="64">
        <f t="shared" si="343"/>
        <v>0.2157105467921058</v>
      </c>
      <c r="BN92" s="64">
        <f t="shared" si="343"/>
        <v>0.23243147142487713</v>
      </c>
      <c r="BO92" s="64">
        <f t="shared" si="343"/>
        <v>0.19249212220852172</v>
      </c>
      <c r="BP92" s="64">
        <f t="shared" si="343"/>
        <v>0.20160568065506657</v>
      </c>
      <c r="BQ92" s="64">
        <f t="shared" si="343"/>
        <v>0.20834078821099203</v>
      </c>
      <c r="BR92" s="64">
        <f t="shared" si="343"/>
        <v>0.22411654788087243</v>
      </c>
      <c r="BS92" s="64">
        <f t="shared" si="343"/>
        <v>0.20553691275167782</v>
      </c>
      <c r="BT92" s="64">
        <f t="shared" si="343"/>
        <v>0.23581823051513262</v>
      </c>
      <c r="BU92" s="64">
        <f t="shared" si="343"/>
        <v>0.24672485071198896</v>
      </c>
      <c r="BV92" s="64">
        <f t="shared" si="343"/>
        <v>0.2455978379467208</v>
      </c>
      <c r="BW92" s="64">
        <f t="shared" si="343"/>
        <v>0.24064619778650481</v>
      </c>
      <c r="BX92" s="64">
        <f t="shared" si="343"/>
        <v>0.22436210938158763</v>
      </c>
      <c r="BY92" s="64">
        <f t="shared" si="343"/>
        <v>0.23860998510203374</v>
      </c>
      <c r="BZ92" s="64">
        <f t="shared" si="343"/>
        <v>0.25399394022861865</v>
      </c>
      <c r="CA92" s="64">
        <f t="shared" ref="CA92:CB92" si="344">CA71/CA67</f>
        <v>0.23687301146676343</v>
      </c>
      <c r="CB92" s="64">
        <f t="shared" si="344"/>
        <v>0.24219952994570063</v>
      </c>
      <c r="CC92" s="64">
        <f t="shared" ref="CC92:CD92" si="345">CC71/CC67</f>
        <v>0.25498400196898841</v>
      </c>
      <c r="CD92" s="64">
        <f t="shared" si="345"/>
        <v>0.2315232460508074</v>
      </c>
      <c r="CE92" s="64">
        <f t="shared" ref="CE92" si="346">CE71/CE67</f>
        <v>0.22376041509677697</v>
      </c>
      <c r="CF92" s="64">
        <f t="shared" ref="CF92" si="347">CF71/CF67</f>
        <v>0.23490067688352381</v>
      </c>
      <c r="CG92" s="64">
        <f t="shared" ref="CG92" si="348">CG71/CG67</f>
        <v>0.230538137387342</v>
      </c>
      <c r="CH92" s="64">
        <f t="shared" ref="CH92" si="349">CH71/CH67</f>
        <v>0.26865838232011308</v>
      </c>
      <c r="CI92" s="64">
        <f t="shared" ref="CI92:CJ92" si="350">CI71/CI67</f>
        <v>0.25097120305851883</v>
      </c>
      <c r="CJ92" s="64">
        <f t="shared" si="350"/>
        <v>0.24716918294849025</v>
      </c>
      <c r="CK92" s="64">
        <f t="shared" ref="CK92:CL92" si="351">CK71/CK67</f>
        <v>0.23814935377621976</v>
      </c>
      <c r="CL92" s="64">
        <f t="shared" si="351"/>
        <v>0.25181841854005726</v>
      </c>
      <c r="CM92" s="64">
        <f t="shared" ref="CM92:CN92" si="352">CM71/CM67</f>
        <v>0.24067096379320235</v>
      </c>
      <c r="CN92" s="64">
        <f t="shared" si="352"/>
        <v>0.21841251309170198</v>
      </c>
      <c r="CO92" s="64">
        <f t="shared" ref="CO92:CQ92" si="353">CO71/CO67</f>
        <v>0.23683280311063981</v>
      </c>
      <c r="CP92" s="64">
        <f t="shared" si="353"/>
        <v>0.24135244371581155</v>
      </c>
      <c r="CQ92" s="64">
        <f t="shared" si="353"/>
        <v>0.23709657923365166</v>
      </c>
      <c r="CR92" s="64">
        <f t="shared" ref="CR92" si="354">CR71/CR67</f>
        <v>0.20976523162134944</v>
      </c>
      <c r="CS92" s="64">
        <f t="shared" ref="CS92" si="355">CS71/CS67</f>
        <v>0.22159718900014846</v>
      </c>
      <c r="CT92" s="64">
        <f t="shared" ref="CT92:CU92" si="356">CT71/CT67</f>
        <v>0.22579442735998506</v>
      </c>
      <c r="CU92" s="64">
        <f t="shared" si="356"/>
        <v>0.2416488285776007</v>
      </c>
      <c r="CV92" s="64">
        <f t="shared" ref="CV92:CW92" si="357">CV71/CV67</f>
        <v>0.24875816065852963</v>
      </c>
      <c r="CW92" s="64">
        <f t="shared" si="357"/>
        <v>0.25214549172844464</v>
      </c>
      <c r="CX92" s="64">
        <f t="shared" ref="CX92:CY92" si="358">CX71/CX67</f>
        <v>0.25866073473126372</v>
      </c>
      <c r="CY92" s="64">
        <f t="shared" si="358"/>
        <v>0.23756783507969564</v>
      </c>
      <c r="CZ92" s="64">
        <f t="shared" ref="CZ92:DF92" si="359">CZ71/CZ67</f>
        <v>0.25279121358693685</v>
      </c>
      <c r="DA92" s="64">
        <f t="shared" si="359"/>
        <v>0.25526948402606009</v>
      </c>
      <c r="DB92" s="64">
        <f t="shared" si="359"/>
        <v>0.24703969032674294</v>
      </c>
      <c r="DC92" s="64">
        <f t="shared" si="359"/>
        <v>0.24569472199365225</v>
      </c>
      <c r="DD92" s="64">
        <f t="shared" si="359"/>
        <v>0.24818991097922857</v>
      </c>
      <c r="DE92" s="64">
        <f t="shared" si="359"/>
        <v>0.25231064520891783</v>
      </c>
      <c r="DF92" s="64">
        <f t="shared" si="359"/>
        <v>0.24492806160077002</v>
      </c>
      <c r="DG92" s="64">
        <f>DG71/DG67</f>
        <v>0.20615613116349343</v>
      </c>
      <c r="DH92" s="64">
        <f t="shared" ref="DH92:DN92" si="360">DH71/DH67</f>
        <v>0.25048166587031234</v>
      </c>
      <c r="DI92" s="64">
        <f t="shared" si="360"/>
        <v>0.25972772455521143</v>
      </c>
      <c r="DJ92" s="64">
        <f t="shared" si="360"/>
        <v>0.27333981566441606</v>
      </c>
      <c r="DK92" s="64">
        <f t="shared" si="360"/>
        <v>0.28520732162868884</v>
      </c>
      <c r="DL92" s="64">
        <f t="shared" si="360"/>
        <v>0.3047250814669219</v>
      </c>
      <c r="DM92" s="64">
        <f t="shared" si="360"/>
        <v>0.22316709371557311</v>
      </c>
      <c r="DN92" s="64">
        <f t="shared" si="360"/>
        <v>0.27071823204419887</v>
      </c>
      <c r="DO92" s="64">
        <f t="shared" ref="DO92:DR92" si="361">DO71/DO67</f>
        <v>0.28771825781508392</v>
      </c>
      <c r="DP92" s="64">
        <f t="shared" si="361"/>
        <v>0.22622028364903959</v>
      </c>
      <c r="DQ92" s="64">
        <f t="shared" si="361"/>
        <v>0.18356178753758998</v>
      </c>
      <c r="DR92" s="64">
        <f t="shared" si="361"/>
        <v>0.21833490560922977</v>
      </c>
      <c r="DS92" s="64"/>
      <c r="DT92" s="64"/>
      <c r="DU92" s="64"/>
      <c r="DV92" s="64"/>
      <c r="FE92" s="53"/>
      <c r="FF92" s="64">
        <f t="shared" ref="FF92" si="362">+FF71/FF67</f>
        <v>0.25067990483572516</v>
      </c>
      <c r="FG92" s="64">
        <f t="shared" ref="FG92" si="363">+FG71/FG67</f>
        <v>0.24799204560735785</v>
      </c>
      <c r="FH92" s="64">
        <f t="shared" ref="FH92" si="364">+FH71/FH67</f>
        <v>0.2476543602238819</v>
      </c>
      <c r="FI92" s="64">
        <f>+FI71/FI67</f>
        <v>0.24644901791783161</v>
      </c>
      <c r="FJ92" s="64">
        <f>+FJ71/FJ67</f>
        <v>0.27144936979178036</v>
      </c>
    </row>
    <row r="93" spans="1:175" x14ac:dyDescent="0.25">
      <c r="A93" s="102"/>
      <c r="B93" t="s">
        <v>206</v>
      </c>
      <c r="AP93" s="64">
        <f t="shared" ref="AP93:BB93" si="365">AP76/AP75</f>
        <v>0.31935573451818922</v>
      </c>
      <c r="AQ93" s="64">
        <f t="shared" si="365"/>
        <v>0.31638030092874975</v>
      </c>
      <c r="AR93" s="64">
        <f t="shared" si="365"/>
        <v>0.34428978701995655</v>
      </c>
      <c r="AS93" s="64">
        <f t="shared" si="365"/>
        <v>0.29423607160050752</v>
      </c>
      <c r="AT93" s="64">
        <f t="shared" si="365"/>
        <v>0.23286362550752307</v>
      </c>
      <c r="AU93" s="64">
        <f t="shared" si="365"/>
        <v>0.2848710381111253</v>
      </c>
      <c r="AV93" s="64">
        <f t="shared" si="365"/>
        <v>0.2667153818048959</v>
      </c>
      <c r="AW93" s="64">
        <f t="shared" si="365"/>
        <v>0.23525647861789473</v>
      </c>
      <c r="AX93" s="64">
        <f t="shared" si="365"/>
        <v>9.6808646985944338E-2</v>
      </c>
      <c r="AY93" s="64">
        <f t="shared" si="365"/>
        <v>0.20547180346175317</v>
      </c>
      <c r="AZ93" s="64">
        <f t="shared" si="365"/>
        <v>0.32179549902152643</v>
      </c>
      <c r="BA93" s="64">
        <f t="shared" si="365"/>
        <v>0.10236373532384734</v>
      </c>
      <c r="BB93" s="64">
        <f t="shared" si="365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66">BG76/BG75</f>
        <v>0.24231121580944903</v>
      </c>
      <c r="BH93" s="64">
        <f t="shared" si="366"/>
        <v>0.24831347782402755</v>
      </c>
      <c r="BI93" s="64">
        <f t="shared" si="366"/>
        <v>7.8861236336688664E-2</v>
      </c>
      <c r="BJ93" s="64">
        <f t="shared" si="366"/>
        <v>0.21005613091944028</v>
      </c>
      <c r="BK93" s="64">
        <f t="shared" si="366"/>
        <v>0.27264573991031388</v>
      </c>
      <c r="BL93" s="64">
        <f t="shared" si="366"/>
        <v>0.22206943966998971</v>
      </c>
      <c r="BM93" s="64">
        <f t="shared" si="366"/>
        <v>0.21555204493593119</v>
      </c>
      <c r="BN93" s="64">
        <f t="shared" si="366"/>
        <v>0.16120365394948946</v>
      </c>
      <c r="BO93" s="64">
        <f t="shared" si="366"/>
        <v>0.20900931998619257</v>
      </c>
      <c r="BP93" s="64">
        <f t="shared" si="366"/>
        <v>0.20076941572493406</v>
      </c>
      <c r="BQ93" s="64">
        <f t="shared" si="366"/>
        <v>0.17926565874730019</v>
      </c>
      <c r="BR93" s="64">
        <f t="shared" si="366"/>
        <v>0.19874390546235837</v>
      </c>
      <c r="BS93" s="64">
        <f t="shared" si="366"/>
        <v>0.24435454211107024</v>
      </c>
      <c r="BT93" s="64">
        <f t="shared" si="366"/>
        <v>0.22108814846056535</v>
      </c>
      <c r="BU93" s="64">
        <f t="shared" si="366"/>
        <v>0.22108127084430404</v>
      </c>
      <c r="BV93" s="64">
        <f t="shared" si="366"/>
        <v>0.15225254850378164</v>
      </c>
      <c r="BW93" s="64">
        <f t="shared" si="366"/>
        <v>0.27284418573169084</v>
      </c>
      <c r="BX93" s="64">
        <f t="shared" si="366"/>
        <v>0.1955778003041054</v>
      </c>
      <c r="BY93" s="64">
        <f t="shared" si="366"/>
        <v>0.20503502048367916</v>
      </c>
      <c r="BZ93" s="64">
        <f t="shared" si="366"/>
        <v>0.18196328810853948</v>
      </c>
      <c r="CA93" s="64">
        <f t="shared" ref="CA93:CB93" si="367">CA76/CA75</f>
        <v>0.20106146630461597</v>
      </c>
      <c r="CB93" s="64">
        <f t="shared" si="367"/>
        <v>0.24843900096061469</v>
      </c>
      <c r="CC93" s="64">
        <f t="shared" ref="CC93:CD93" si="368">CC76/CC75</f>
        <v>0.25825275091697225</v>
      </c>
      <c r="CD93" s="64">
        <f t="shared" si="368"/>
        <v>0.11416689026026296</v>
      </c>
      <c r="CE93" s="64">
        <f t="shared" ref="CE93" si="369">CE76/CE75</f>
        <v>0.1109855618330195</v>
      </c>
      <c r="CF93" s="64">
        <f t="shared" ref="CF93" si="370">CF76/CF75</f>
        <v>6.2460417986067156E-2</v>
      </c>
      <c r="CG93" s="64">
        <f t="shared" ref="CG93" si="371">CG76/CG75</f>
        <v>0.27049716528565215</v>
      </c>
      <c r="CH93" s="64">
        <f t="shared" ref="CH93" si="372">CH76/CH75</f>
        <v>0</v>
      </c>
      <c r="CI93" s="64">
        <f t="shared" ref="CI93:CJ93" si="373">CI76/CI75</f>
        <v>0.12718329652680183</v>
      </c>
      <c r="CJ93" s="64">
        <f t="shared" si="373"/>
        <v>0.17466938847963084</v>
      </c>
      <c r="CK93" s="64">
        <f t="shared" ref="CK93:CL93" si="374">CK76/CK75</f>
        <v>0.20035350384695372</v>
      </c>
      <c r="CL93" s="64">
        <f t="shared" si="374"/>
        <v>0.11579961464354525</v>
      </c>
      <c r="CM93" s="64">
        <f t="shared" ref="CM93:CN93" si="375">CM76/CM75</f>
        <v>0.17621145374449337</v>
      </c>
      <c r="CN93" s="64">
        <f t="shared" si="375"/>
        <v>0.212238379423384</v>
      </c>
      <c r="CO93" s="64">
        <f t="shared" ref="CO93:CQ93" si="376">CO76/CO75</f>
        <v>3.2629384573552078E-2</v>
      </c>
      <c r="CP93" s="64">
        <f t="shared" si="376"/>
        <v>0</v>
      </c>
      <c r="CQ93" s="64">
        <f t="shared" si="376"/>
        <v>0.34500848634469994</v>
      </c>
      <c r="CR93" s="64">
        <f t="shared" ref="CR93" si="377">CR76/CR75</f>
        <v>0.16262210481046876</v>
      </c>
      <c r="CS93" s="64">
        <f t="shared" ref="CS93" si="378">CS76/CS75</f>
        <v>0.16815638865667804</v>
      </c>
      <c r="CT93" s="64">
        <f t="shared" ref="CT93:CU93" si="379">CT76/CT75</f>
        <v>0</v>
      </c>
      <c r="CU93" s="64">
        <f t="shared" si="379"/>
        <v>0.14349424927626972</v>
      </c>
      <c r="CV93" s="64">
        <f t="shared" ref="CV93:CW93" si="380">CV76/CV75</f>
        <v>0.10414560161779569</v>
      </c>
      <c r="CW93" s="64">
        <f t="shared" si="380"/>
        <v>0.12210997355752924</v>
      </c>
      <c r="CX93" s="64">
        <f t="shared" ref="CX93:CY93" si="381">CX76/CX75</f>
        <v>0.10997240835632641</v>
      </c>
      <c r="CY93" s="64">
        <f t="shared" si="381"/>
        <v>0.14963763811334227</v>
      </c>
      <c r="CZ93" s="64">
        <f t="shared" ref="CZ93:DF93" si="382">CZ76/CZ75</f>
        <v>0.15867689357622258</v>
      </c>
      <c r="DA93" s="64">
        <f t="shared" si="382"/>
        <v>0.18152418447694052</v>
      </c>
      <c r="DB93" s="64">
        <f t="shared" si="382"/>
        <v>0.15692650334075731</v>
      </c>
      <c r="DC93" s="64">
        <f t="shared" si="382"/>
        <v>7.4556151403134235E-2</v>
      </c>
      <c r="DD93" s="64">
        <f t="shared" si="382"/>
        <v>0.1070977917981074</v>
      </c>
      <c r="DE93" s="64">
        <f t="shared" si="382"/>
        <v>0.1475739883229315</v>
      </c>
      <c r="DF93" s="64">
        <f t="shared" si="382"/>
        <v>4.903059026281776E-2</v>
      </c>
      <c r="DG93" s="64">
        <f>DG76/DG75</f>
        <v>9.7358034349109293E-2</v>
      </c>
      <c r="DH93" s="64">
        <f t="shared" ref="DH93:DN93" si="383">DH76/DH75</f>
        <v>9.9000475963826662E-2</v>
      </c>
      <c r="DI93" s="64">
        <f t="shared" si="383"/>
        <v>6.2040015264678644E-2</v>
      </c>
      <c r="DJ93" s="64">
        <f t="shared" si="383"/>
        <v>7.6709333576276545E-2</v>
      </c>
      <c r="DK93" s="64">
        <f t="shared" si="383"/>
        <v>0.10939442372580366</v>
      </c>
      <c r="DL93" s="64">
        <f t="shared" si="383"/>
        <v>0.18023352332466389</v>
      </c>
      <c r="DM93" s="64">
        <f t="shared" si="383"/>
        <v>0.1</v>
      </c>
      <c r="DN93" s="64">
        <f t="shared" si="383"/>
        <v>0.10226176115802164</v>
      </c>
      <c r="DO93" s="64">
        <f t="shared" ref="DO93:DR93" si="384">DO76/DO75</f>
        <v>0.11701852331127298</v>
      </c>
      <c r="DP93" s="64">
        <f t="shared" si="384"/>
        <v>0.15859811809627719</v>
      </c>
      <c r="DQ93" s="64">
        <f t="shared" si="384"/>
        <v>0.13332901917642731</v>
      </c>
      <c r="DR93" s="64">
        <f t="shared" si="384"/>
        <v>0.15</v>
      </c>
      <c r="DS93" s="64"/>
      <c r="DT93" s="64"/>
      <c r="DU93" s="64"/>
      <c r="DV93" s="64"/>
      <c r="FE93" s="53"/>
      <c r="FF93" s="79">
        <f t="shared" ref="FF93" si="385">+FF76/FF75</f>
        <v>0.10710881217671239</v>
      </c>
      <c r="FG93" s="79">
        <f t="shared" ref="FG93" si="386">+FG76/FG75</f>
        <v>0.14657967364218533</v>
      </c>
      <c r="FH93" s="79">
        <f t="shared" ref="FH93" si="387">+FH76/FH75</f>
        <v>8.8339719478328124E-2</v>
      </c>
      <c r="FI93" s="79">
        <f>+FI76/FI75</f>
        <v>8.5151237396883531E-2</v>
      </c>
      <c r="FJ93" s="79">
        <f t="shared" ref="FJ93:FQ93" si="388">+FJ76/FJ75</f>
        <v>0.1191952499713036</v>
      </c>
      <c r="FK93" s="79">
        <f t="shared" si="388"/>
        <v>0.14000000000000001</v>
      </c>
      <c r="FL93" s="79">
        <f t="shared" si="388"/>
        <v>0.2</v>
      </c>
      <c r="FM93" s="79">
        <f t="shared" si="388"/>
        <v>0.2</v>
      </c>
      <c r="FN93" s="79">
        <f t="shared" si="388"/>
        <v>0.20000000000000004</v>
      </c>
      <c r="FO93" s="79">
        <f t="shared" si="388"/>
        <v>0.2</v>
      </c>
      <c r="FP93" s="79">
        <f t="shared" si="388"/>
        <v>0.2</v>
      </c>
      <c r="FQ93" s="79">
        <f t="shared" si="388"/>
        <v>0.2</v>
      </c>
      <c r="FR93" s="52" t="s">
        <v>268</v>
      </c>
      <c r="FS93" s="66">
        <v>7.0000000000000007E-2</v>
      </c>
    </row>
    <row r="94" spans="1:175" x14ac:dyDescent="0.25">
      <c r="A94" s="102"/>
      <c r="FR94" s="47" t="s">
        <v>242</v>
      </c>
      <c r="FS94" s="63">
        <v>0.02</v>
      </c>
    </row>
    <row r="95" spans="1:175" x14ac:dyDescent="0.25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89">+BP97-BP110</f>
        <v>2544.1999999999989</v>
      </c>
      <c r="BQ95" s="51">
        <f t="shared" ref="BQ95" si="390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91">+CU97-CU110</f>
        <v>-11716.6</v>
      </c>
      <c r="CV95" s="51">
        <f t="shared" si="391"/>
        <v>-11565.600000000002</v>
      </c>
      <c r="CW95" s="51">
        <f t="shared" si="391"/>
        <v>-11747</v>
      </c>
      <c r="CX95" s="51">
        <f t="shared" si="391"/>
        <v>-10916.3</v>
      </c>
      <c r="CY95" s="51">
        <f t="shared" ref="CY95:DB95" si="392">+CY97-CY110</f>
        <v>-13304.199999999999</v>
      </c>
      <c r="CZ95" s="51">
        <f t="shared" si="392"/>
        <v>-11533.899999999998</v>
      </c>
      <c r="DA95" s="51">
        <f t="shared" si="392"/>
        <v>-10815.599999999999</v>
      </c>
      <c r="DB95" s="51">
        <f t="shared" si="392"/>
        <v>-9947.1999999999989</v>
      </c>
      <c r="DC95" s="51">
        <f t="shared" ref="DC95" si="393">+DC97-DC110</f>
        <v>-9920.7000000000007</v>
      </c>
      <c r="DD95" s="51">
        <f t="shared" ref="DD95" si="394">+DD97-DD110</f>
        <v>-9768.9999999999982</v>
      </c>
      <c r="DE95" s="51">
        <f t="shared" ref="DE95:DR95" si="395">+DE97-DE110</f>
        <v>-9909.6000000000022</v>
      </c>
      <c r="DF95" s="51">
        <f t="shared" si="395"/>
        <v>-9763.5</v>
      </c>
      <c r="DG95" s="51">
        <f t="shared" si="395"/>
        <v>-11213.199999999999</v>
      </c>
      <c r="DH95" s="51">
        <f t="shared" si="395"/>
        <v>-11489.9</v>
      </c>
      <c r="DI95" s="51">
        <f t="shared" si="395"/>
        <v>-10571.7</v>
      </c>
      <c r="DJ95" s="51">
        <f t="shared" si="395"/>
        <v>-11125</v>
      </c>
      <c r="DK95" s="51">
        <f t="shared" si="395"/>
        <v>-12463.899999999998</v>
      </c>
      <c r="DL95" s="51">
        <f t="shared" si="395"/>
        <v>-13245.8</v>
      </c>
      <c r="DM95" s="51">
        <f t="shared" si="395"/>
        <v>-14982.699999999999</v>
      </c>
      <c r="DN95" s="51">
        <f t="shared" si="395"/>
        <v>-19245.400000000001</v>
      </c>
      <c r="DO95" s="51">
        <f t="shared" si="395"/>
        <v>-20538.2</v>
      </c>
      <c r="DP95" s="51">
        <f t="shared" si="395"/>
        <v>-22650.400000000001</v>
      </c>
      <c r="DQ95" s="51">
        <f t="shared" si="395"/>
        <v>-24401.1</v>
      </c>
      <c r="DR95" s="51">
        <f t="shared" si="395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6">+FJ95+FK77</f>
        <v>-5103.2519479999974</v>
      </c>
      <c r="FL95" s="49">
        <f t="shared" si="396"/>
        <v>16420.053510912006</v>
      </c>
      <c r="FM95" s="49">
        <f t="shared" si="396"/>
        <v>43414.441833123085</v>
      </c>
      <c r="FN95" s="49">
        <f t="shared" si="396"/>
        <v>77558.43703613797</v>
      </c>
      <c r="FO95" s="49">
        <f t="shared" si="396"/>
        <v>117700.40506110768</v>
      </c>
      <c r="FP95" s="49">
        <f t="shared" si="396"/>
        <v>162740.82687509342</v>
      </c>
      <c r="FQ95" s="49">
        <f t="shared" si="396"/>
        <v>211329.16986436339</v>
      </c>
      <c r="FR95" s="47" t="s">
        <v>241</v>
      </c>
      <c r="FS95" s="63">
        <v>7.0000000000000007E-2</v>
      </c>
    </row>
    <row r="96" spans="1:175" x14ac:dyDescent="0.25">
      <c r="A96" s="102"/>
      <c r="FR96" s="47" t="s">
        <v>243</v>
      </c>
      <c r="FS96" s="51">
        <f>NPV(FS95,FL77:IS77)+Main!J5-Main!J6</f>
        <v>786954.55204451282</v>
      </c>
    </row>
    <row r="97" spans="1:175" s="49" customFormat="1" ht="13" x14ac:dyDescent="0.3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>
        <f>3369+149.4+3200.2</f>
        <v>6718.6</v>
      </c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7">+CX97</f>
        <v>4400.8999999999996</v>
      </c>
      <c r="FG97" s="49">
        <f t="shared" ref="FG97:FG108" si="398">+DB97</f>
        <v>6648.1</v>
      </c>
      <c r="FH97" s="49">
        <f t="shared" ref="FH97:FH123" si="399">+DF97</f>
        <v>7121.2</v>
      </c>
      <c r="FI97" s="49">
        <f t="shared" ref="FI97:FI123" si="400">+DJ97</f>
        <v>5113.6000000000004</v>
      </c>
      <c r="FJ97" s="49">
        <f>+DN97</f>
        <v>5979.9</v>
      </c>
      <c r="FR97" s="60" t="s">
        <v>264</v>
      </c>
      <c r="FS97" s="65">
        <f>+FS96/Main!J3</f>
        <v>828.97033833774674</v>
      </c>
    </row>
    <row r="98" spans="1:175" s="49" customFormat="1" x14ac:dyDescent="0.25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>
        <v>10294.799999999999</v>
      </c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7"/>
        <v>4547.3</v>
      </c>
      <c r="FG98" s="49">
        <f t="shared" si="398"/>
        <v>5875.3</v>
      </c>
      <c r="FH98" s="49">
        <f t="shared" si="399"/>
        <v>6672.8</v>
      </c>
      <c r="FI98" s="49">
        <f t="shared" si="400"/>
        <v>6896</v>
      </c>
      <c r="FJ98" s="49">
        <f t="shared" ref="FJ98:FJ121" si="401">+DN98</f>
        <v>9090.5</v>
      </c>
    </row>
    <row r="99" spans="1:175" s="49" customFormat="1" x14ac:dyDescent="0.25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>
        <v>1756.9</v>
      </c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7"/>
        <v>994.2</v>
      </c>
      <c r="FG99" s="49">
        <f t="shared" si="398"/>
        <v>1053.7</v>
      </c>
      <c r="FH99" s="49">
        <f t="shared" si="399"/>
        <v>1454.4</v>
      </c>
      <c r="FI99" s="49">
        <f t="shared" si="400"/>
        <v>1662.9</v>
      </c>
      <c r="FJ99" s="49">
        <f t="shared" si="401"/>
        <v>2245.6999999999998</v>
      </c>
    </row>
    <row r="100" spans="1:175" s="49" customFormat="1" x14ac:dyDescent="0.25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>
        <v>7459.8</v>
      </c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7"/>
        <v>3190.7</v>
      </c>
      <c r="FG100" s="49">
        <f t="shared" si="398"/>
        <v>3980.3</v>
      </c>
      <c r="FH100" s="49">
        <f t="shared" si="399"/>
        <v>3886</v>
      </c>
      <c r="FI100" s="49">
        <f t="shared" si="400"/>
        <v>4309.7</v>
      </c>
      <c r="FJ100" s="49">
        <f t="shared" si="401"/>
        <v>5772.8</v>
      </c>
    </row>
    <row r="101" spans="1:175" s="49" customFormat="1" x14ac:dyDescent="0.25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>
        <v>8250.6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7"/>
        <v>2538.9</v>
      </c>
      <c r="FG101" s="49">
        <f t="shared" si="398"/>
        <v>2871.5</v>
      </c>
      <c r="FH101" s="49">
        <f t="shared" si="399"/>
        <v>2530.6</v>
      </c>
      <c r="FI101" s="49">
        <f t="shared" si="400"/>
        <v>2954.1</v>
      </c>
      <c r="FJ101" s="49">
        <f t="shared" si="401"/>
        <v>5540.8</v>
      </c>
    </row>
    <row r="102" spans="1:175" s="49" customFormat="1" x14ac:dyDescent="0.25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>
        <v>134.6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7"/>
        <v>0</v>
      </c>
      <c r="FG102" s="49">
        <f t="shared" si="398"/>
        <v>0</v>
      </c>
      <c r="FI102" s="49">
        <f t="shared" si="400"/>
        <v>0</v>
      </c>
      <c r="FJ102" s="49">
        <f t="shared" si="401"/>
        <v>149.5</v>
      </c>
    </row>
    <row r="103" spans="1:175" s="49" customFormat="1" x14ac:dyDescent="0.25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>
        <f>5768.4+6537.3</f>
        <v>12305.7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7"/>
        <v>10297.4</v>
      </c>
      <c r="FG103" s="49">
        <f t="shared" si="398"/>
        <v>11216.5</v>
      </c>
      <c r="FH103" s="49">
        <f t="shared" si="399"/>
        <v>11583.9</v>
      </c>
      <c r="FI103" s="49">
        <f t="shared" si="400"/>
        <v>11279.6</v>
      </c>
      <c r="FJ103" s="49">
        <f t="shared" si="401"/>
        <v>11846.3</v>
      </c>
    </row>
    <row r="104" spans="1:175" s="49" customFormat="1" x14ac:dyDescent="0.25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>
        <v>7392.3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7"/>
        <v>2572.6</v>
      </c>
      <c r="FG104" s="49">
        <f t="shared" si="398"/>
        <v>2830.4</v>
      </c>
      <c r="FH104" s="49">
        <f t="shared" si="399"/>
        <v>2489.3000000000002</v>
      </c>
      <c r="FI104" s="49">
        <f t="shared" si="400"/>
        <v>2792.9</v>
      </c>
      <c r="FJ104" s="49">
        <f t="shared" si="401"/>
        <v>5477.3</v>
      </c>
    </row>
    <row r="105" spans="1:175" s="49" customFormat="1" x14ac:dyDescent="0.25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>
        <v>0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7"/>
        <v>0</v>
      </c>
      <c r="FG105" s="49">
        <f t="shared" si="398"/>
        <v>0</v>
      </c>
      <c r="FI105" s="49">
        <f t="shared" si="400"/>
        <v>0</v>
      </c>
      <c r="FJ105" s="49">
        <f t="shared" si="401"/>
        <v>0</v>
      </c>
    </row>
    <row r="106" spans="1:175" s="49" customFormat="1" x14ac:dyDescent="0.25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>
        <v>16171.8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7"/>
        <v>7872.9</v>
      </c>
      <c r="FG106" s="49">
        <f t="shared" si="398"/>
        <v>8681.9</v>
      </c>
      <c r="FH106" s="49">
        <f t="shared" si="399"/>
        <v>8985.1</v>
      </c>
      <c r="FI106" s="49">
        <f t="shared" si="400"/>
        <v>10144</v>
      </c>
      <c r="FJ106" s="49">
        <f t="shared" si="401"/>
        <v>12913.6</v>
      </c>
    </row>
    <row r="107" spans="1:175" s="49" customFormat="1" x14ac:dyDescent="0.25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>
        <v>5121.8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7"/>
        <v>2871.2</v>
      </c>
      <c r="FG107" s="49">
        <f t="shared" si="398"/>
        <v>3475.4</v>
      </c>
      <c r="FH107" s="49">
        <f t="shared" si="399"/>
        <v>4082.7</v>
      </c>
      <c r="FI107" s="49">
        <f t="shared" si="400"/>
        <v>4337</v>
      </c>
      <c r="FJ107" s="49">
        <f t="shared" si="401"/>
        <v>4989.8999999999996</v>
      </c>
    </row>
    <row r="108" spans="1:175" s="49" customFormat="1" x14ac:dyDescent="0.25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402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3">SUM(CU97:CU107)</f>
        <v>38006.800000000003</v>
      </c>
      <c r="CV108" s="51">
        <f t="shared" si="403"/>
        <v>38666.400000000001</v>
      </c>
      <c r="CW108" s="51">
        <f t="shared" si="403"/>
        <v>37893.1</v>
      </c>
      <c r="CX108" s="51">
        <f t="shared" si="403"/>
        <v>39286.1</v>
      </c>
      <c r="CY108" s="51">
        <f t="shared" ref="CY108:DB108" si="404">SUM(CY97:CY107)</f>
        <v>41102.799999999996</v>
      </c>
      <c r="CZ108" s="51">
        <f t="shared" si="404"/>
        <v>41967</v>
      </c>
      <c r="DA108" s="51">
        <f t="shared" si="404"/>
        <v>43946</v>
      </c>
      <c r="DB108" s="51">
        <f t="shared" si="404"/>
        <v>46633.100000000006</v>
      </c>
      <c r="DC108" s="51">
        <f t="shared" ref="DC108" si="405">SUM(DC97:DC107)</f>
        <v>46838.299999999996</v>
      </c>
      <c r="DD108" s="51">
        <f t="shared" ref="DD108" si="406">SUM(DD97:DD107)</f>
        <v>47808.999999999993</v>
      </c>
      <c r="DE108" s="51">
        <f t="shared" ref="DE108:DQ108" si="407">SUM(DE97:DE107)</f>
        <v>48187</v>
      </c>
      <c r="DF108" s="51">
        <f t="shared" si="407"/>
        <v>48806</v>
      </c>
      <c r="DG108" s="51">
        <f t="shared" si="407"/>
        <v>46919.3</v>
      </c>
      <c r="DH108" s="51">
        <f t="shared" si="407"/>
        <v>47063.6</v>
      </c>
      <c r="DI108" s="51">
        <f t="shared" si="407"/>
        <v>47461.5</v>
      </c>
      <c r="DJ108" s="51">
        <f t="shared" si="407"/>
        <v>49489.8</v>
      </c>
      <c r="DK108" s="51">
        <f t="shared" si="407"/>
        <v>53162.999999999993</v>
      </c>
      <c r="DL108" s="51">
        <f t="shared" si="407"/>
        <v>54814</v>
      </c>
      <c r="DM108" s="51">
        <f t="shared" si="407"/>
        <v>57915.500000000007</v>
      </c>
      <c r="DN108" s="51">
        <f t="shared" si="407"/>
        <v>64006.3</v>
      </c>
      <c r="DO108" s="51">
        <f t="shared" si="407"/>
        <v>63943.5</v>
      </c>
      <c r="DP108" s="51">
        <f t="shared" si="407"/>
        <v>71874.799999999988</v>
      </c>
      <c r="DQ108" s="51">
        <f t="shared" si="407"/>
        <v>75606.900000000009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7"/>
        <v>39286.1</v>
      </c>
      <c r="FG108" s="49">
        <f t="shared" si="398"/>
        <v>46633.100000000006</v>
      </c>
      <c r="FH108" s="49">
        <f t="shared" si="399"/>
        <v>48806</v>
      </c>
      <c r="FI108" s="49">
        <f t="shared" si="400"/>
        <v>49489.8</v>
      </c>
      <c r="FJ108" s="49">
        <f t="shared" si="401"/>
        <v>64006.3</v>
      </c>
    </row>
    <row r="109" spans="1:175" x14ac:dyDescent="0.25">
      <c r="A109" s="102"/>
      <c r="FG109" s="49"/>
      <c r="FH109" s="49"/>
      <c r="FI109" s="49"/>
    </row>
    <row r="110" spans="1:175" s="49" customFormat="1" x14ac:dyDescent="0.25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>
        <f>29045.4+2074.3</f>
        <v>31119.7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7"/>
        <v>15317.199999999999</v>
      </c>
      <c r="FG110" s="49">
        <f t="shared" ref="FG110:FG121" si="408">+DB110</f>
        <v>16595.3</v>
      </c>
      <c r="FH110" s="49">
        <f t="shared" si="399"/>
        <v>16884.7</v>
      </c>
      <c r="FI110" s="49">
        <f t="shared" si="400"/>
        <v>16238.6</v>
      </c>
      <c r="FJ110" s="49">
        <f t="shared" si="401"/>
        <v>25225.3</v>
      </c>
    </row>
    <row r="111" spans="1:175" s="49" customFormat="1" x14ac:dyDescent="0.25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>
        <v>2886.5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7"/>
        <v>1405.3</v>
      </c>
      <c r="FG111" s="49">
        <f t="shared" si="408"/>
        <v>1606.7</v>
      </c>
      <c r="FH111" s="49">
        <f t="shared" si="399"/>
        <v>1670.6</v>
      </c>
      <c r="FI111" s="49">
        <f t="shared" si="400"/>
        <v>1930.6</v>
      </c>
      <c r="FJ111" s="49">
        <f t="shared" si="401"/>
        <v>2598.8000000000002</v>
      </c>
    </row>
    <row r="112" spans="1:175" s="49" customFormat="1" x14ac:dyDescent="0.25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>
        <v>1703.3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7"/>
        <v>915.5</v>
      </c>
      <c r="FG112" s="49">
        <f t="shared" si="408"/>
        <v>997.2</v>
      </c>
      <c r="FH112" s="49">
        <f t="shared" si="399"/>
        <v>958.1</v>
      </c>
      <c r="FI112" s="49">
        <f t="shared" si="400"/>
        <v>1059.8</v>
      </c>
      <c r="FJ112" s="49">
        <f t="shared" si="401"/>
        <v>1650.4</v>
      </c>
    </row>
    <row r="113" spans="1:166" s="49" customFormat="1" x14ac:dyDescent="0.25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>
        <v>12429.7</v>
      </c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7"/>
        <v>4933.6000000000004</v>
      </c>
      <c r="FG113" s="49">
        <f t="shared" si="408"/>
        <v>5853</v>
      </c>
      <c r="FH113" s="49">
        <f t="shared" si="399"/>
        <v>6845.8</v>
      </c>
      <c r="FI113" s="49">
        <f t="shared" si="400"/>
        <v>8784.1</v>
      </c>
      <c r="FJ113" s="49">
        <f t="shared" si="401"/>
        <v>11689</v>
      </c>
    </row>
    <row r="114" spans="1:166" s="49" customFormat="1" x14ac:dyDescent="0.25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>
        <v>0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7"/>
        <v>671.5</v>
      </c>
      <c r="FG114" s="49">
        <f t="shared" si="408"/>
        <v>770.6</v>
      </c>
      <c r="FH114" s="49">
        <f t="shared" si="399"/>
        <v>885.5</v>
      </c>
      <c r="FI114" s="49">
        <f t="shared" si="400"/>
        <v>1017.2</v>
      </c>
      <c r="FJ114" s="49">
        <f t="shared" si="401"/>
        <v>1169.2</v>
      </c>
    </row>
    <row r="115" spans="1:166" s="49" customFormat="1" x14ac:dyDescent="0.25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>
        <v>0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7"/>
        <v>160.6</v>
      </c>
      <c r="FG115" s="49">
        <f t="shared" si="408"/>
        <v>495.1</v>
      </c>
      <c r="FH115" s="49">
        <f t="shared" si="399"/>
        <v>126.9</v>
      </c>
      <c r="FI115" s="49">
        <f t="shared" si="400"/>
        <v>475.1</v>
      </c>
      <c r="FJ115" s="49">
        <f t="shared" si="401"/>
        <v>0</v>
      </c>
    </row>
    <row r="116" spans="1:166" s="49" customFormat="1" x14ac:dyDescent="0.25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>
        <v>5580.3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7"/>
        <v>2189.4</v>
      </c>
      <c r="FG116" s="49">
        <f t="shared" si="408"/>
        <v>2750.3</v>
      </c>
      <c r="FH116" s="49">
        <f t="shared" si="399"/>
        <v>3027.5</v>
      </c>
      <c r="FI116" s="49">
        <f t="shared" si="400"/>
        <v>2370.3000000000002</v>
      </c>
      <c r="FJ116" s="49">
        <f t="shared" si="401"/>
        <v>3281.3</v>
      </c>
    </row>
    <row r="117" spans="1:166" s="49" customFormat="1" x14ac:dyDescent="0.25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>
        <v>1448.5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7"/>
        <v>3698.2</v>
      </c>
      <c r="FG117" s="49">
        <f t="shared" si="408"/>
        <v>4094.5</v>
      </c>
      <c r="FH117" s="49">
        <f t="shared" si="399"/>
        <v>1954.1</v>
      </c>
      <c r="FI117" s="49">
        <f t="shared" si="400"/>
        <v>1305.0999999999999</v>
      </c>
      <c r="FJ117" s="49">
        <f t="shared" si="401"/>
        <v>1438.8</v>
      </c>
    </row>
    <row r="118" spans="1:166" s="49" customFormat="1" x14ac:dyDescent="0.25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>
        <v>3878.8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7"/>
        <v>4621.5</v>
      </c>
      <c r="FG118" s="49">
        <f t="shared" si="408"/>
        <v>5937.7000000000007</v>
      </c>
      <c r="FH118" s="49">
        <f t="shared" si="399"/>
        <v>5653.7</v>
      </c>
      <c r="FI118" s="49">
        <f t="shared" si="400"/>
        <v>3796.9</v>
      </c>
      <c r="FJ118" s="49">
        <f t="shared" si="401"/>
        <v>3849.2</v>
      </c>
    </row>
    <row r="119" spans="1:166" s="49" customFormat="1" x14ac:dyDescent="0.25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>
        <v>2239.4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7"/>
        <v>2187.5</v>
      </c>
      <c r="FG119" s="49">
        <f t="shared" si="408"/>
        <v>1707.5</v>
      </c>
      <c r="FH119" s="49">
        <f t="shared" si="399"/>
        <v>1644.3</v>
      </c>
      <c r="FI119" s="49">
        <f t="shared" si="400"/>
        <v>1736.7</v>
      </c>
      <c r="FJ119" s="49">
        <f t="shared" si="401"/>
        <v>2240.6</v>
      </c>
    </row>
    <row r="120" spans="1:166" s="49" customFormat="1" x14ac:dyDescent="0.25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>
        <v>14320.7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7"/>
        <v>3185.7999999999997</v>
      </c>
      <c r="FG120" s="49">
        <f t="shared" si="408"/>
        <v>5825.2</v>
      </c>
      <c r="FH120" s="49">
        <f t="shared" si="399"/>
        <v>9154.7999999999993</v>
      </c>
      <c r="FI120" s="49">
        <f t="shared" si="400"/>
        <v>10775.4</v>
      </c>
      <c r="FJ120" s="49">
        <f t="shared" si="401"/>
        <v>10863.7</v>
      </c>
    </row>
    <row r="121" spans="1:166" s="49" customFormat="1" x14ac:dyDescent="0.25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09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10">SUM(CU110:CU120)</f>
        <v>38006.800000000003</v>
      </c>
      <c r="CV121" s="51">
        <f t="shared" si="410"/>
        <v>38666.400000000009</v>
      </c>
      <c r="CW121" s="51">
        <f t="shared" ref="CW121:CX121" si="411">SUM(CW110:CW120)</f>
        <v>37893.100000000006</v>
      </c>
      <c r="CX121" s="51">
        <f t="shared" si="411"/>
        <v>39286.100000000006</v>
      </c>
      <c r="CY121" s="51">
        <f t="shared" ref="CY121:DB121" si="412">SUM(CY110:CY120)</f>
        <v>41102.799999999996</v>
      </c>
      <c r="CZ121" s="51">
        <f t="shared" ref="CZ121" si="413">SUM(CZ110:CZ120)</f>
        <v>41967</v>
      </c>
      <c r="DA121" s="51">
        <f t="shared" si="412"/>
        <v>43945.999999999993</v>
      </c>
      <c r="DB121" s="51">
        <f t="shared" si="412"/>
        <v>46633.099999999991</v>
      </c>
      <c r="DC121" s="51">
        <f t="shared" ref="DC121" si="414">SUM(DC110:DC120)</f>
        <v>46838.3</v>
      </c>
      <c r="DD121" s="51">
        <f t="shared" ref="DD121" si="415">SUM(DD110:DD120)</f>
        <v>47809.000000000007</v>
      </c>
      <c r="DE121" s="51">
        <f t="shared" ref="DE121:DQ121" si="416">SUM(DE110:DE120)</f>
        <v>48187</v>
      </c>
      <c r="DF121" s="51">
        <f t="shared" si="416"/>
        <v>48806</v>
      </c>
      <c r="DG121" s="51">
        <f t="shared" si="416"/>
        <v>46919.299999999996</v>
      </c>
      <c r="DH121" s="51">
        <f t="shared" si="416"/>
        <v>47063.599999999991</v>
      </c>
      <c r="DI121" s="51">
        <f t="shared" si="416"/>
        <v>47461.5</v>
      </c>
      <c r="DJ121" s="51">
        <f t="shared" si="416"/>
        <v>49489.799999999996</v>
      </c>
      <c r="DK121" s="51">
        <f t="shared" si="416"/>
        <v>53163</v>
      </c>
      <c r="DL121" s="51">
        <f t="shared" si="416"/>
        <v>54814</v>
      </c>
      <c r="DM121" s="51">
        <f t="shared" si="416"/>
        <v>57915.5</v>
      </c>
      <c r="DN121" s="51">
        <f t="shared" si="416"/>
        <v>64006.3</v>
      </c>
      <c r="DO121" s="51">
        <f t="shared" si="416"/>
        <v>63943.500000000007</v>
      </c>
      <c r="DP121" s="51">
        <f t="shared" si="416"/>
        <v>71874.799999999988</v>
      </c>
      <c r="DQ121" s="51">
        <f t="shared" si="416"/>
        <v>75606.900000000009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7"/>
        <v>39286.100000000006</v>
      </c>
      <c r="FG121" s="49">
        <f t="shared" si="408"/>
        <v>46633.099999999991</v>
      </c>
      <c r="FH121" s="49">
        <f t="shared" si="399"/>
        <v>48806</v>
      </c>
      <c r="FI121" s="49">
        <f t="shared" si="400"/>
        <v>49489.799999999996</v>
      </c>
      <c r="FJ121" s="49">
        <f t="shared" si="401"/>
        <v>64006.3</v>
      </c>
    </row>
    <row r="122" spans="1:166" x14ac:dyDescent="0.25">
      <c r="A122" s="102"/>
      <c r="FG122" s="49"/>
      <c r="FH122" s="49"/>
      <c r="FI122" s="49"/>
    </row>
    <row r="123" spans="1:166" x14ac:dyDescent="0.25">
      <c r="A123" s="102"/>
      <c r="B123" s="50" t="s">
        <v>387</v>
      </c>
      <c r="CU123" s="51">
        <f t="shared" ref="CU123:CX123" si="417">CU77</f>
        <v>1094.6999999999975</v>
      </c>
      <c r="CV123" s="51">
        <f t="shared" si="417"/>
        <v>1329.0000000000009</v>
      </c>
      <c r="CW123" s="51">
        <f t="shared" si="417"/>
        <v>1294.8000000000011</v>
      </c>
      <c r="CX123" s="51">
        <f t="shared" si="417"/>
        <v>1354.7999999999995</v>
      </c>
      <c r="CY123" s="51">
        <f t="shared" ref="CY123:DB123" si="418">CY77</f>
        <v>1431.4999999999975</v>
      </c>
      <c r="CZ123" s="51">
        <f t="shared" si="418"/>
        <v>1228.4999999999986</v>
      </c>
      <c r="DA123" s="51">
        <f t="shared" si="418"/>
        <v>1164.1999999999989</v>
      </c>
      <c r="DB123" s="51">
        <f t="shared" si="418"/>
        <v>1892.6999999999991</v>
      </c>
      <c r="DC123" s="51">
        <f t="shared" ref="DC123:DJ123" si="419">DC77</f>
        <v>1777.5000000000007</v>
      </c>
      <c r="DD123" s="51">
        <f t="shared" si="419"/>
        <v>1698.2999999999972</v>
      </c>
      <c r="DE123" s="51">
        <f t="shared" si="419"/>
        <v>1693.5999999999979</v>
      </c>
      <c r="DF123" s="51">
        <f t="shared" si="419"/>
        <v>2207.1999999999994</v>
      </c>
      <c r="DG123" s="51">
        <f t="shared" si="419"/>
        <v>2538.4999999999991</v>
      </c>
      <c r="DH123" s="51">
        <f t="shared" si="419"/>
        <v>1703.7000000000016</v>
      </c>
      <c r="DI123" s="51">
        <f t="shared" si="419"/>
        <v>1720.4999999999993</v>
      </c>
      <c r="DJ123" s="51">
        <f t="shared" si="419"/>
        <v>2026.900000000001</v>
      </c>
      <c r="DK123" s="51">
        <f t="shared" ref="DK123:DP123" si="420">+DK77</f>
        <v>1504.4999999999991</v>
      </c>
      <c r="DL123" s="51">
        <f t="shared" si="420"/>
        <v>1481.3999999999992</v>
      </c>
      <c r="DM123" s="51">
        <f t="shared" si="420"/>
        <v>2633.9399999999978</v>
      </c>
      <c r="DN123" s="51">
        <f t="shared" si="420"/>
        <v>2976.9000000000019</v>
      </c>
      <c r="DO123" s="51">
        <f t="shared" si="420"/>
        <v>2388.1999999999998</v>
      </c>
      <c r="DP123" s="51">
        <f t="shared" si="420"/>
        <v>3701.9999999999982</v>
      </c>
      <c r="DQ123" s="51">
        <f>+DQ77</f>
        <v>4017.8000000000052</v>
      </c>
      <c r="FF123" s="49">
        <f>+DA123</f>
        <v>1164.1999999999989</v>
      </c>
      <c r="FG123" s="49">
        <f>+DB123</f>
        <v>1892.6999999999991</v>
      </c>
      <c r="FH123" s="49">
        <f t="shared" si="399"/>
        <v>2207.1999999999994</v>
      </c>
      <c r="FI123" s="49">
        <f t="shared" si="400"/>
        <v>2026.900000000001</v>
      </c>
      <c r="FJ123" s="49">
        <f>SUM(DK123:DN123)</f>
        <v>8596.739999999998</v>
      </c>
    </row>
    <row r="124" spans="1:166" x14ac:dyDescent="0.25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DQ124" s="51">
        <f>6180.2-DP124-DO124</f>
        <v>970.30000000000018</v>
      </c>
      <c r="FF124" s="49">
        <f t="shared" ref="FF124:FF131" si="421">SUM(CU124:CX124)</f>
        <v>8318.4</v>
      </c>
      <c r="FG124" s="49">
        <f t="shared" ref="FG124:FG131" si="422">SUM(CY124:DB124)</f>
        <v>6193.6999999999989</v>
      </c>
      <c r="FH124" s="49">
        <f t="shared" ref="FH124:FH129" si="423">SUM(DC124:DF124)</f>
        <v>5581.7</v>
      </c>
      <c r="FI124" s="49">
        <f t="shared" ref="FI124:FI129" si="424">SUM(DG124:DJ124)</f>
        <v>6244.8000000000011</v>
      </c>
      <c r="FJ124" s="49">
        <f t="shared" ref="FJ124:FJ129" si="425">SUM(DK124:DN124)</f>
        <v>5240.3999999999996</v>
      </c>
    </row>
    <row r="125" spans="1:166" x14ac:dyDescent="0.25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DQ125" s="51">
        <f>1281.8-DP125-DO125</f>
        <v>466.79999999999995</v>
      </c>
      <c r="FF125" s="49">
        <f t="shared" si="421"/>
        <v>1232.5999999999999</v>
      </c>
      <c r="FG125" s="49">
        <f t="shared" si="422"/>
        <v>1323.9</v>
      </c>
      <c r="FH125" s="49">
        <f t="shared" si="423"/>
        <v>1547.6</v>
      </c>
      <c r="FI125" s="49">
        <f t="shared" si="424"/>
        <v>1522.5</v>
      </c>
      <c r="FJ125" s="49">
        <f t="shared" si="425"/>
        <v>1527.3</v>
      </c>
    </row>
    <row r="126" spans="1:166" x14ac:dyDescent="0.25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DQ126" s="51">
        <f>-1716.4-DP126-DO126</f>
        <v>-429.80000000000018</v>
      </c>
      <c r="FF126" s="49">
        <f t="shared" si="421"/>
        <v>62.400000000000006</v>
      </c>
      <c r="FG126" s="49">
        <f t="shared" si="422"/>
        <v>-134.50000000000003</v>
      </c>
      <c r="FH126" s="49">
        <f t="shared" si="423"/>
        <v>-802.3</v>
      </c>
      <c r="FI126" s="49">
        <f t="shared" si="424"/>
        <v>-2185.1999999999998</v>
      </c>
      <c r="FJ126" s="49">
        <f t="shared" si="425"/>
        <v>-2341</v>
      </c>
    </row>
    <row r="127" spans="1:166" x14ac:dyDescent="0.25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DQ127" s="51">
        <f>503.7-DP127-DO127</f>
        <v>133.20000000000002</v>
      </c>
      <c r="FF127" s="49">
        <f t="shared" si="421"/>
        <v>312.39999999999998</v>
      </c>
      <c r="FG127" s="49">
        <f t="shared" si="422"/>
        <v>308.10000000000002</v>
      </c>
      <c r="FH127" s="49">
        <f t="shared" si="423"/>
        <v>342.8</v>
      </c>
      <c r="FI127" s="49">
        <f t="shared" si="424"/>
        <v>371.1</v>
      </c>
      <c r="FJ127" s="49">
        <f t="shared" si="425"/>
        <v>628.5</v>
      </c>
    </row>
    <row r="128" spans="1:166" x14ac:dyDescent="0.25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DQ128" s="51">
        <f>29.8-DP128-DO128</f>
        <v>-112.39999999999999</v>
      </c>
      <c r="FF128" s="49">
        <f t="shared" si="421"/>
        <v>-3990.3</v>
      </c>
      <c r="FG128" s="49">
        <f t="shared" si="422"/>
        <v>-1438.5</v>
      </c>
      <c r="FH128" s="49">
        <f t="shared" si="423"/>
        <v>-178</v>
      </c>
      <c r="FI128" s="49">
        <f t="shared" si="424"/>
        <v>420</v>
      </c>
      <c r="FJ128" s="49">
        <f t="shared" si="425"/>
        <v>23.5</v>
      </c>
    </row>
    <row r="129" spans="1:166" x14ac:dyDescent="0.25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DQ129" s="51">
        <f>3091.2-DP129-DO129</f>
        <v>2826.3999999999996</v>
      </c>
      <c r="FF129" s="49">
        <f t="shared" si="421"/>
        <v>239.6</v>
      </c>
      <c r="FG129" s="49">
        <f t="shared" si="422"/>
        <v>660.4</v>
      </c>
      <c r="FH129" s="49">
        <f t="shared" si="423"/>
        <v>874.9</v>
      </c>
      <c r="FI129" s="49">
        <f t="shared" si="424"/>
        <v>420.9</v>
      </c>
      <c r="FJ129" s="49">
        <f t="shared" si="425"/>
        <v>3799.8</v>
      </c>
    </row>
    <row r="130" spans="1:166" x14ac:dyDescent="0.25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DQ130" s="51">
        <f>234.6-DP130-DO130-100.7</f>
        <v>3284.2000000000003</v>
      </c>
      <c r="FF130" s="49">
        <f t="shared" si="421"/>
        <v>348.70000000000005</v>
      </c>
      <c r="FG130" s="49">
        <f t="shared" si="422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5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DQ131" s="51">
        <f>-3160.1-DP131-DO131</f>
        <v>-3426.8</v>
      </c>
      <c r="FF131" s="49">
        <f t="shared" si="421"/>
        <v>-1687.2000000000003</v>
      </c>
      <c r="FG131" s="49">
        <f t="shared" si="422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5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6">SUM(CU124:CU131)</f>
        <v>311.30000000000103</v>
      </c>
      <c r="CV132" s="51">
        <f t="shared" si="426"/>
        <v>1051.4999999999998</v>
      </c>
      <c r="CW132" s="51">
        <f t="shared" si="426"/>
        <v>1510.1</v>
      </c>
      <c r="CX132" s="51">
        <f t="shared" si="426"/>
        <v>1963.6999999999994</v>
      </c>
      <c r="CY132" s="51">
        <f>SUM(CY124:CY131)</f>
        <v>382.39999999999986</v>
      </c>
      <c r="CZ132" s="51">
        <f t="shared" ref="CZ132:DB132" si="427">SUM(CZ124:CZ131)</f>
        <v>2495.3999999999996</v>
      </c>
      <c r="DA132" s="51">
        <f t="shared" si="427"/>
        <v>1806.6000000000004</v>
      </c>
      <c r="DB132" s="51">
        <f t="shared" si="427"/>
        <v>1815.1999999999998</v>
      </c>
      <c r="DC132" s="51">
        <f t="shared" ref="DC132:DP132" si="428">SUM(DC124:DC131)</f>
        <v>1697.3999999999999</v>
      </c>
      <c r="DD132" s="51">
        <f t="shared" si="428"/>
        <v>1775.5</v>
      </c>
      <c r="DE132" s="51">
        <f t="shared" si="428"/>
        <v>1631.3</v>
      </c>
      <c r="DF132" s="51">
        <f t="shared" si="428"/>
        <v>2156.5000000000005</v>
      </c>
      <c r="DG132" s="51">
        <f t="shared" si="428"/>
        <v>2499.1999999999998</v>
      </c>
      <c r="DH132" s="51">
        <f t="shared" si="428"/>
        <v>820.7</v>
      </c>
      <c r="DI132" s="51">
        <f t="shared" si="428"/>
        <v>2185.1000000000004</v>
      </c>
      <c r="DJ132" s="51">
        <f t="shared" si="428"/>
        <v>1579.4000000000003</v>
      </c>
      <c r="DK132" s="52">
        <f t="shared" si="428"/>
        <v>1730.6000000000001</v>
      </c>
      <c r="DL132" s="52">
        <f t="shared" si="428"/>
        <v>631.89999999999986</v>
      </c>
      <c r="DM132" s="52">
        <f t="shared" si="428"/>
        <v>2189.5</v>
      </c>
      <c r="DN132" s="52">
        <f t="shared" si="428"/>
        <v>-311.90000000000146</v>
      </c>
      <c r="DO132" s="51">
        <f t="shared" si="428"/>
        <v>1165.9999999999998</v>
      </c>
      <c r="DP132" s="51">
        <f t="shared" si="428"/>
        <v>1466.1999999999998</v>
      </c>
      <c r="DQ132" s="51">
        <f>SUM(DQ124:DQ131)</f>
        <v>3711.8999999999996</v>
      </c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5">
      <c r="DC133" s="51"/>
      <c r="DD133" s="51"/>
      <c r="DJ133" s="51"/>
      <c r="DQ133" s="51"/>
      <c r="FG133" s="49"/>
      <c r="FH133" s="49"/>
      <c r="FI133" s="49"/>
    </row>
    <row r="134" spans="1:166" x14ac:dyDescent="0.25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DQ134" s="51">
        <f>-3561.8-DP134-DO134</f>
        <v>-1350.7</v>
      </c>
      <c r="FF134" s="49">
        <f t="shared" ref="FF134:FF137" si="429">SUM(CU134:CX134)</f>
        <v>-1033.9000000000001</v>
      </c>
      <c r="FG134" s="49">
        <f t="shared" ref="FG134:FG137" si="430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5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DQ135" s="51">
        <f>107.3-68.6+318-525.1-DP135-DO135</f>
        <v>-195.00000000000003</v>
      </c>
      <c r="FF135" s="49">
        <f t="shared" si="429"/>
        <v>456.19999999999993</v>
      </c>
      <c r="FG135" s="49">
        <f t="shared" si="430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5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DQ136" s="51">
        <f>530.9-947.7-3094.6-DP136-DO136</f>
        <v>-2289.1999999999998</v>
      </c>
      <c r="FF136" s="49">
        <f t="shared" si="429"/>
        <v>-7256.5</v>
      </c>
      <c r="FG136" s="49">
        <f t="shared" si="430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5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DQ137" s="51">
        <f>-139.4-DP137-DO137</f>
        <v>-169.8</v>
      </c>
      <c r="FF137" s="49">
        <f t="shared" si="429"/>
        <v>-248.7</v>
      </c>
      <c r="FG137" s="49">
        <f t="shared" si="430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5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31">SUM(CX134:CX137)</f>
        <v>-41.399999999999523</v>
      </c>
      <c r="CY138" s="51">
        <f t="shared" ref="CY138:DB138" si="432">SUM(CY134:CY137)</f>
        <v>-1060.8999999999999</v>
      </c>
      <c r="CZ138" s="51">
        <f t="shared" si="432"/>
        <v>-210.39999999999998</v>
      </c>
      <c r="DA138" s="51">
        <f t="shared" si="432"/>
        <v>-313.50000000000011</v>
      </c>
      <c r="DB138" s="51">
        <f t="shared" si="432"/>
        <v>-674.09999999999991</v>
      </c>
      <c r="DC138" s="51">
        <f t="shared" ref="DC138:DQ138" si="433">SUM(DC134:DC137)</f>
        <v>-1283.5</v>
      </c>
      <c r="DD138" s="51">
        <f t="shared" si="433"/>
        <v>-483.30000000000007</v>
      </c>
      <c r="DE138" s="51">
        <f t="shared" si="433"/>
        <v>-616.49999999999977</v>
      </c>
      <c r="DF138" s="51">
        <f t="shared" si="433"/>
        <v>-379.00000000000006</v>
      </c>
      <c r="DG138" s="51">
        <f t="shared" si="433"/>
        <v>-1013.8</v>
      </c>
      <c r="DH138" s="51">
        <f t="shared" si="433"/>
        <v>-463.89999999999992</v>
      </c>
      <c r="DI138" s="51">
        <f t="shared" si="433"/>
        <v>-923.4</v>
      </c>
      <c r="DJ138" s="51">
        <f t="shared" si="433"/>
        <v>-860.50000000000011</v>
      </c>
      <c r="DK138" s="51">
        <f t="shared" si="433"/>
        <v>-688.80000000000007</v>
      </c>
      <c r="DL138" s="51">
        <f t="shared" si="433"/>
        <v>-459.09999999999997</v>
      </c>
      <c r="DM138" s="51">
        <f t="shared" si="433"/>
        <v>-3080.5</v>
      </c>
      <c r="DN138" s="51">
        <f t="shared" si="433"/>
        <v>-2924.3</v>
      </c>
      <c r="DO138" s="51">
        <f t="shared" si="433"/>
        <v>-1177.6000000000001</v>
      </c>
      <c r="DP138" s="51">
        <f t="shared" si="433"/>
        <v>-2198.7000000000003</v>
      </c>
      <c r="DQ138" s="51">
        <f t="shared" si="433"/>
        <v>-4004.7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4">SUM(DI138:DL138)</f>
        <v>-2931.8</v>
      </c>
      <c r="FI138" s="49">
        <f t="shared" ref="FI138" si="435">SUM(DJ138:DM138)</f>
        <v>-5088.8999999999996</v>
      </c>
      <c r="FJ138" s="49">
        <f t="shared" ref="FJ138:FJ144" si="436">SUM(DK138:DN138)</f>
        <v>-7152.7</v>
      </c>
    </row>
    <row r="139" spans="1:166" x14ac:dyDescent="0.25">
      <c r="CW139" s="51"/>
      <c r="DC139" s="51"/>
      <c r="DD139" s="51"/>
      <c r="DJ139" s="51"/>
      <c r="DQ139" s="51"/>
      <c r="FG139" s="49"/>
      <c r="FH139" s="49"/>
      <c r="FI139" s="49"/>
    </row>
    <row r="140" spans="1:166" x14ac:dyDescent="0.25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DQ140" s="51">
        <f>-3512.1-DP140-DO140</f>
        <v>-1170.4999999999998</v>
      </c>
      <c r="FF140" s="49">
        <f t="shared" ref="FF140:FF143" si="437">SUM(CU140:CX140)</f>
        <v>-2409.8000000000002</v>
      </c>
      <c r="FG140" s="49">
        <f t="shared" ref="FG140:FG143" si="438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5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DQ141" s="51">
        <f>-4894.1+11417.1-664.2-DP141-DO141</f>
        <v>1875.2000000000007</v>
      </c>
      <c r="FF141" s="49">
        <f t="shared" si="437"/>
        <v>4685.3999999999996</v>
      </c>
      <c r="FG141" s="49">
        <f t="shared" si="438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5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DQ142" s="51">
        <f>-446.1-DP142-DO142</f>
        <v>-446.10000000000036</v>
      </c>
      <c r="FF142" s="49">
        <f t="shared" si="437"/>
        <v>-4400</v>
      </c>
      <c r="FG142" s="49">
        <f t="shared" si="438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5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DQ143" s="51">
        <f>-445.1-DP143-DO143</f>
        <v>-47.300000000000011</v>
      </c>
      <c r="FF143" s="49">
        <f t="shared" si="437"/>
        <v>-200.1</v>
      </c>
      <c r="FG143" s="49">
        <f t="shared" si="438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5">
      <c r="B144" s="38" t="s">
        <v>397</v>
      </c>
      <c r="CU144" s="51">
        <f t="shared" ref="CU144" si="439">SUM(CU140:CU143)</f>
        <v>1367.8000000000009</v>
      </c>
      <c r="CV144" s="51">
        <f t="shared" ref="CV144" si="440">SUM(CV140:CV143)</f>
        <v>-885.80000000000018</v>
      </c>
      <c r="CW144" s="51">
        <f t="shared" ref="CW144" si="441">SUM(CW140:CW143)</f>
        <v>-1692.8999999999999</v>
      </c>
      <c r="CX144" s="51">
        <f t="shared" ref="CX144" si="442">SUM(CX140:CX143)</f>
        <v>-1113.6000000000013</v>
      </c>
      <c r="CY144" s="51">
        <f t="shared" ref="CY144:DB144" si="443">SUM(CY140:CY143)</f>
        <v>106.70000000000013</v>
      </c>
      <c r="CZ144" s="51">
        <f t="shared" si="443"/>
        <v>-1673.2</v>
      </c>
      <c r="DA144" s="51">
        <f t="shared" si="443"/>
        <v>-279.09999999999968</v>
      </c>
      <c r="DB144" s="51">
        <f t="shared" si="443"/>
        <v>-1291.5000000000002</v>
      </c>
      <c r="DC144" s="51">
        <f t="shared" ref="DC144:DQ144" si="444">SUM(DC140:DC143)</f>
        <v>-1058.4000000000001</v>
      </c>
      <c r="DD144" s="51">
        <f t="shared" si="444"/>
        <v>-1083.2</v>
      </c>
      <c r="DE144" s="51">
        <f t="shared" si="444"/>
        <v>-463.19999999999987</v>
      </c>
      <c r="DF144" s="51">
        <f t="shared" si="444"/>
        <v>-1526.5000000000002</v>
      </c>
      <c r="DG144" s="51">
        <f t="shared" si="444"/>
        <v>-2878.3</v>
      </c>
      <c r="DH144" s="51">
        <f t="shared" si="444"/>
        <v>-123.70000000000016</v>
      </c>
      <c r="DI144" s="51">
        <f t="shared" si="444"/>
        <v>-1263.3</v>
      </c>
      <c r="DJ144" s="51">
        <f t="shared" si="444"/>
        <v>-1141.4000000000003</v>
      </c>
      <c r="DK144" s="51">
        <f t="shared" si="444"/>
        <v>412.29999999999995</v>
      </c>
      <c r="DL144" s="51">
        <f t="shared" si="444"/>
        <v>-1033.4000000000001</v>
      </c>
      <c r="DM144" s="51">
        <f t="shared" si="444"/>
        <v>572.00000000000023</v>
      </c>
      <c r="DN144" s="51">
        <f t="shared" si="444"/>
        <v>3544.6999999999994</v>
      </c>
      <c r="DO144" s="51">
        <f t="shared" si="444"/>
        <v>-311.3</v>
      </c>
      <c r="DP144" s="51">
        <f t="shared" si="444"/>
        <v>1555.5</v>
      </c>
      <c r="DQ144" s="51">
        <f t="shared" si="444"/>
        <v>211.30000000000058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5">SUM(DI144:DL144)</f>
        <v>-3025.8</v>
      </c>
      <c r="FI144" s="49">
        <f t="shared" ref="FI144" si="446">SUM(DJ144:DM144)</f>
        <v>-1190.5000000000002</v>
      </c>
      <c r="FJ144" s="49">
        <f t="shared" si="436"/>
        <v>3495.5999999999995</v>
      </c>
    </row>
    <row r="145" spans="2:166" x14ac:dyDescent="0.25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DQ145" s="51">
        <f>131.8-DP145-DO145</f>
        <v>226.9</v>
      </c>
      <c r="FF145" s="49">
        <f t="shared" ref="FF145" si="447">SUM(CU145:CX145)</f>
        <v>-89.9</v>
      </c>
      <c r="FG145" s="49">
        <f t="shared" ref="FG145" si="448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5">
      <c r="B146" s="38" t="s">
        <v>401</v>
      </c>
      <c r="CU146" s="51">
        <f t="shared" ref="CU146" si="449">+CU145+CU144+CU138+CU132</f>
        <v>-5961.7999999999975</v>
      </c>
      <c r="CV146" s="51">
        <f t="shared" ref="CV146" si="450">+CV145+CV144+CV138+CV132</f>
        <v>253.79999999999927</v>
      </c>
      <c r="CW146" s="51">
        <f t="shared" ref="CW146" si="451">+CW145+CW144+CW138+CW132</f>
        <v>-726.40000000000055</v>
      </c>
      <c r="CX146" s="51">
        <f t="shared" ref="CX146" si="452">+CX145+CX144+CX138+CX132</f>
        <v>773.69999999999845</v>
      </c>
      <c r="CY146" s="51">
        <f t="shared" ref="CY146:DB146" si="453">+CY145+CY144+CY138+CY132</f>
        <v>-638.49999999999989</v>
      </c>
      <c r="CZ146" s="51">
        <f t="shared" si="453"/>
        <v>666.09999999999945</v>
      </c>
      <c r="DA146" s="51">
        <f t="shared" si="453"/>
        <v>1230.2000000000005</v>
      </c>
      <c r="DB146" s="51">
        <f t="shared" si="453"/>
        <v>61.799999999999727</v>
      </c>
      <c r="DC146" s="51">
        <f t="shared" ref="DC146:DJ146" si="454">+DC145+DC144+DC138+DC132</f>
        <v>-654.7000000000005</v>
      </c>
      <c r="DD146" s="51">
        <f t="shared" si="454"/>
        <v>217.59999999999991</v>
      </c>
      <c r="DE146" s="51">
        <f t="shared" si="454"/>
        <v>568.20000000000027</v>
      </c>
      <c r="DF146" s="51">
        <f t="shared" si="454"/>
        <v>30.300000000000182</v>
      </c>
      <c r="DG146" s="51">
        <f t="shared" si="454"/>
        <v>-1359.3000000000002</v>
      </c>
      <c r="DH146" s="51">
        <f t="shared" si="454"/>
        <v>163.69999999999993</v>
      </c>
      <c r="DI146" s="51">
        <f t="shared" si="454"/>
        <v>-5.1999999999993634</v>
      </c>
      <c r="DJ146" s="51">
        <f t="shared" si="454"/>
        <v>-550.70000000000005</v>
      </c>
      <c r="DK146" s="51">
        <f t="shared" ref="DK146:DQ146" si="455">+DK132+DK138+DK144+DK145</f>
        <v>1478.9</v>
      </c>
      <c r="DL146" s="51">
        <f t="shared" si="455"/>
        <v>-851.40000000000009</v>
      </c>
      <c r="DM146" s="51">
        <f t="shared" si="455"/>
        <v>-313.69999999999976</v>
      </c>
      <c r="DN146" s="51">
        <f t="shared" si="455"/>
        <v>437.79999999999774</v>
      </c>
      <c r="DO146" s="51">
        <f t="shared" si="455"/>
        <v>-358.40000000000038</v>
      </c>
      <c r="DP146" s="51">
        <f t="shared" si="455"/>
        <v>763.39999999999952</v>
      </c>
      <c r="DQ146" s="51">
        <f t="shared" si="455"/>
        <v>145.4000000000004</v>
      </c>
      <c r="FF146" s="49">
        <f t="shared" ref="FF146:FI146" si="456">+FF144+FF145</f>
        <v>-5496.6</v>
      </c>
      <c r="FG146" s="49">
        <f t="shared" si="456"/>
        <v>-1900.1000000000004</v>
      </c>
      <c r="FH146" s="49">
        <f t="shared" si="456"/>
        <v>-3231.5</v>
      </c>
      <c r="FI146" s="49">
        <f t="shared" si="456"/>
        <v>-1358.1000000000001</v>
      </c>
      <c r="FJ146" s="49">
        <f>+FJ144+FJ145</f>
        <v>3664.1999999999994</v>
      </c>
    </row>
    <row r="147" spans="2:166" x14ac:dyDescent="0.25">
      <c r="DN147" s="51"/>
      <c r="FG147" s="49"/>
      <c r="FH147" s="49"/>
      <c r="FI147" s="49"/>
    </row>
    <row r="148" spans="2:166" x14ac:dyDescent="0.25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5">
      <c r="B149" s="38" t="s">
        <v>755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DQ149" s="47">
        <v>885.94</v>
      </c>
      <c r="FG149" s="49"/>
      <c r="FH149" s="49"/>
      <c r="FI149" s="49"/>
    </row>
    <row r="150" spans="2:166" x14ac:dyDescent="0.25">
      <c r="B150" s="38" t="s">
        <v>173</v>
      </c>
      <c r="DB150" s="51">
        <f t="shared" ref="DB150:DQ150" si="457">+DB149*DB79</f>
        <v>147757.60881000001</v>
      </c>
      <c r="DC150" s="51">
        <f t="shared" si="457"/>
        <v>164140.76</v>
      </c>
      <c r="DD150" s="51">
        <f t="shared" si="457"/>
        <v>202105.24799999999</v>
      </c>
      <c r="DE150" s="51">
        <f t="shared" si="457"/>
        <v>204190.37419999999</v>
      </c>
      <c r="DF150" s="51">
        <f t="shared" si="457"/>
        <v>244579.33949999997</v>
      </c>
      <c r="DG150" s="51">
        <f t="shared" si="457"/>
        <v>253746.68</v>
      </c>
      <c r="DH150" s="51">
        <f t="shared" si="457"/>
        <v>287162.00819999998</v>
      </c>
      <c r="DI150" s="51">
        <f t="shared" si="457"/>
        <v>287583.43239999999</v>
      </c>
      <c r="DJ150" s="51">
        <f t="shared" si="457"/>
        <v>326626.34663999995</v>
      </c>
      <c r="DK150" s="51">
        <f t="shared" si="457"/>
        <v>307107.18716999999</v>
      </c>
      <c r="DL150" s="51">
        <f t="shared" si="457"/>
        <v>420206.38449999999</v>
      </c>
      <c r="DM150" s="51">
        <f t="shared" si="457"/>
        <v>482303.04870999994</v>
      </c>
      <c r="DN150" s="51">
        <f t="shared" si="457"/>
        <v>525131.02179999999</v>
      </c>
      <c r="DO150" s="51">
        <f t="shared" si="457"/>
        <v>701928.78527999995</v>
      </c>
      <c r="DP150" s="51">
        <f t="shared" si="457"/>
        <v>818688.05424000008</v>
      </c>
      <c r="DQ150" s="51">
        <f t="shared" si="457"/>
        <v>801799.62038000009</v>
      </c>
      <c r="FG150" s="49"/>
      <c r="FH150" s="49"/>
      <c r="FI150" s="49"/>
    </row>
    <row r="151" spans="2:166" x14ac:dyDescent="0.25">
      <c r="B151" s="38" t="s">
        <v>790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25">
      <c r="FH152" s="49"/>
      <c r="FI152" s="49"/>
    </row>
    <row r="153" spans="2:166" s="49" customFormat="1" x14ac:dyDescent="0.25">
      <c r="B153" s="50" t="s">
        <v>979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>
        <v>5368.1</v>
      </c>
      <c r="DN153" s="51"/>
      <c r="DO153" s="51"/>
      <c r="DP153" s="51">
        <v>7835</v>
      </c>
      <c r="DQ153" s="51">
        <v>7813.6</v>
      </c>
      <c r="DR153" s="51"/>
      <c r="DS153" s="51"/>
      <c r="DT153" s="51"/>
      <c r="DU153" s="51"/>
      <c r="DV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51"/>
      <c r="FC153" s="51"/>
      <c r="FD153" s="51"/>
    </row>
    <row r="154" spans="2:166" s="49" customFormat="1" x14ac:dyDescent="0.25">
      <c r="B154" s="50" t="s">
        <v>980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>
        <v>2568.6</v>
      </c>
      <c r="DN154" s="51"/>
      <c r="DO154" s="51"/>
      <c r="DP154" s="51">
        <v>1404</v>
      </c>
      <c r="DQ154" s="51">
        <v>1628.3</v>
      </c>
      <c r="DR154" s="51"/>
      <c r="DS154" s="51"/>
      <c r="DT154" s="51"/>
      <c r="DU154" s="51"/>
      <c r="DV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</row>
    <row r="155" spans="2:166" s="49" customFormat="1" x14ac:dyDescent="0.25">
      <c r="B155" s="50" t="s">
        <v>981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>
        <v>390.8</v>
      </c>
      <c r="DN155" s="51"/>
      <c r="DO155" s="51"/>
      <c r="DP155" s="51">
        <v>463</v>
      </c>
      <c r="DQ155" s="51">
        <v>429.1</v>
      </c>
      <c r="DR155" s="51"/>
      <c r="DS155" s="51"/>
      <c r="DT155" s="51"/>
      <c r="DU155" s="51"/>
      <c r="DV155" s="51"/>
      <c r="EN155" s="51"/>
      <c r="EO155" s="51"/>
      <c r="EP155" s="51"/>
      <c r="EQ155" s="51"/>
      <c r="ER155" s="51"/>
      <c r="ES155" s="51"/>
      <c r="ET155" s="51"/>
      <c r="EU155" s="51"/>
      <c r="EV155" s="51"/>
      <c r="EW155" s="51"/>
      <c r="EX155" s="51"/>
      <c r="EY155" s="51"/>
      <c r="EZ155" s="51"/>
      <c r="FA155" s="51"/>
      <c r="FB155" s="51"/>
      <c r="FC155" s="51"/>
      <c r="FD155" s="51"/>
    </row>
    <row r="156" spans="2:166" s="49" customFormat="1" x14ac:dyDescent="0.25">
      <c r="B156" s="50" t="s">
        <v>552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>
        <v>390.8</v>
      </c>
      <c r="DN156" s="51"/>
      <c r="DO156" s="51"/>
      <c r="DP156" s="51">
        <v>395</v>
      </c>
      <c r="DQ156" s="51">
        <v>459.9</v>
      </c>
      <c r="DR156" s="51"/>
      <c r="DS156" s="51"/>
      <c r="DT156" s="51"/>
      <c r="DU156" s="51"/>
      <c r="DV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51"/>
      <c r="FC156" s="51"/>
      <c r="FD156" s="51"/>
    </row>
    <row r="157" spans="2:166" s="49" customFormat="1" x14ac:dyDescent="0.25">
      <c r="B157" s="50" t="s">
        <v>982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780.3</v>
      </c>
      <c r="DN157" s="51"/>
      <c r="DO157" s="51"/>
      <c r="DP157" s="51">
        <v>1206</v>
      </c>
      <c r="DQ157" s="51">
        <v>1108.2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53125" defaultRowHeight="12.5" x14ac:dyDescent="0.25"/>
  <cols>
    <col min="1" max="1" width="4.81640625" bestFit="1" customWidth="1"/>
    <col min="7" max="13" width="6.81640625" style="47" customWidth="1"/>
    <col min="14" max="42" width="5.36328125" customWidth="1"/>
    <col min="43" max="50" width="5.453125" customWidth="1"/>
    <col min="52" max="71" width="7.453125" customWidth="1"/>
    <col min="72" max="75" width="6.81640625" customWidth="1"/>
    <col min="76" max="118" width="6" customWidth="1"/>
  </cols>
  <sheetData>
    <row r="1" spans="1:169" x14ac:dyDescent="0.25">
      <c r="A1" s="13" t="s">
        <v>6</v>
      </c>
    </row>
    <row r="2" spans="1:169" x14ac:dyDescent="0.25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ht="13" x14ac:dyDescent="0.3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5">
      <c r="B5" s="38" t="s">
        <v>70</v>
      </c>
      <c r="C5" s="38" t="s">
        <v>221</v>
      </c>
      <c r="D5" s="83">
        <v>38470</v>
      </c>
      <c r="E5" s="38" t="s">
        <v>581</v>
      </c>
    </row>
    <row r="6" spans="1:169" x14ac:dyDescent="0.25">
      <c r="B6" s="38" t="s">
        <v>569</v>
      </c>
      <c r="C6" s="38" t="s">
        <v>576</v>
      </c>
      <c r="D6" s="83">
        <v>40203</v>
      </c>
      <c r="E6" s="38" t="s">
        <v>583</v>
      </c>
    </row>
    <row r="7" spans="1:169" x14ac:dyDescent="0.25">
      <c r="B7" s="38" t="s">
        <v>573</v>
      </c>
      <c r="C7" s="38" t="s">
        <v>221</v>
      </c>
      <c r="D7" s="83">
        <v>40935</v>
      </c>
      <c r="E7" s="38" t="s">
        <v>581</v>
      </c>
    </row>
    <row r="8" spans="1:169" x14ac:dyDescent="0.25">
      <c r="B8" s="38" t="s">
        <v>365</v>
      </c>
      <c r="C8" s="38" t="s">
        <v>462</v>
      </c>
      <c r="D8" s="83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5">
      <c r="B9" s="38" t="s">
        <v>570</v>
      </c>
      <c r="C9" s="38" t="s">
        <v>576</v>
      </c>
      <c r="D9" s="83">
        <v>41996</v>
      </c>
      <c r="E9" s="38" t="s">
        <v>583</v>
      </c>
    </row>
    <row r="10" spans="1:169" ht="13" x14ac:dyDescent="0.3">
      <c r="B10" s="38" t="s">
        <v>572</v>
      </c>
      <c r="C10" s="38" t="s">
        <v>575</v>
      </c>
      <c r="D10" s="83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5">
      <c r="B11" s="38" t="s">
        <v>571</v>
      </c>
      <c r="C11" s="38" t="s">
        <v>575</v>
      </c>
      <c r="D11" s="83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5">
      <c r="B12" s="38" t="s">
        <v>574</v>
      </c>
      <c r="C12" s="38" t="s">
        <v>575</v>
      </c>
      <c r="D12" s="83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ht="13" x14ac:dyDescent="0.3">
      <c r="B13" s="38" t="s">
        <v>506</v>
      </c>
      <c r="C13" s="38" t="s">
        <v>542</v>
      </c>
      <c r="D13" s="83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ht="13" x14ac:dyDescent="0.3">
      <c r="B14" s="38" t="s">
        <v>525</v>
      </c>
      <c r="C14" s="38" t="s">
        <v>542</v>
      </c>
      <c r="D14" s="83">
        <v>45238</v>
      </c>
      <c r="E14" s="38" t="s">
        <v>582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5">
      <c r="B15" s="38"/>
      <c r="C15" s="38"/>
      <c r="D15" s="83"/>
      <c r="E15" s="38"/>
    </row>
    <row r="16" spans="1:169" x14ac:dyDescent="0.25">
      <c r="B16" s="38" t="s">
        <v>579</v>
      </c>
      <c r="C16" s="38" t="s">
        <v>580</v>
      </c>
      <c r="E16" s="38" t="s">
        <v>581</v>
      </c>
    </row>
    <row r="17" spans="2:72" x14ac:dyDescent="0.25">
      <c r="B17" s="38" t="s">
        <v>584</v>
      </c>
      <c r="C17" s="38" t="s">
        <v>567</v>
      </c>
      <c r="E17" s="38" t="s">
        <v>582</v>
      </c>
    </row>
    <row r="18" spans="2:72" x14ac:dyDescent="0.25">
      <c r="C18" s="38" t="s">
        <v>585</v>
      </c>
    </row>
    <row r="19" spans="2:72" x14ac:dyDescent="0.25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25">
      <c r="B20" s="38" t="s">
        <v>590</v>
      </c>
      <c r="C20" s="38" t="s">
        <v>589</v>
      </c>
      <c r="E20" s="38" t="s">
        <v>591</v>
      </c>
    </row>
    <row r="21" spans="2:72" x14ac:dyDescent="0.25">
      <c r="C21" s="38" t="s">
        <v>592</v>
      </c>
    </row>
    <row r="22" spans="2:72" x14ac:dyDescent="0.25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5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5">
      <c r="C24" s="38" t="s">
        <v>596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5">
      <c r="B25" s="38" t="s">
        <v>595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5">
      <c r="B26" s="38" t="s">
        <v>597</v>
      </c>
    </row>
    <row r="27" spans="2:72" x14ac:dyDescent="0.25">
      <c r="B27" s="38" t="s">
        <v>598</v>
      </c>
    </row>
    <row r="28" spans="2:72" x14ac:dyDescent="0.25">
      <c r="E28" s="38" t="s">
        <v>599</v>
      </c>
    </row>
    <row r="29" spans="2:72" x14ac:dyDescent="0.25">
      <c r="E29" s="38" t="s">
        <v>600</v>
      </c>
    </row>
    <row r="30" spans="2:72" x14ac:dyDescent="0.25">
      <c r="E30" s="38" t="s">
        <v>601</v>
      </c>
    </row>
    <row r="31" spans="2:72" x14ac:dyDescent="0.25">
      <c r="B31" s="38" t="s">
        <v>602</v>
      </c>
      <c r="C31" s="38" t="s">
        <v>603</v>
      </c>
    </row>
    <row r="32" spans="2:72" x14ac:dyDescent="0.25">
      <c r="C32" s="38" t="s">
        <v>708</v>
      </c>
    </row>
    <row r="35" spans="7:72" x14ac:dyDescent="0.2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5">
      <c r="BT46" s="49"/>
    </row>
    <row r="47" spans="7:72" x14ac:dyDescent="0.25">
      <c r="BT47" s="49"/>
    </row>
    <row r="48" spans="7:72" x14ac:dyDescent="0.25">
      <c r="BT48" s="49"/>
    </row>
    <row r="49" spans="72:72" x14ac:dyDescent="0.2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53125" defaultRowHeight="12.5" x14ac:dyDescent="0.25"/>
  <cols>
    <col min="1" max="1" width="4.81640625" bestFit="1" customWidth="1"/>
    <col min="2" max="2" width="12" customWidth="1"/>
    <col min="3" max="10" width="8.36328125" style="53" customWidth="1"/>
    <col min="11" max="12" width="6.453125" customWidth="1"/>
  </cols>
  <sheetData>
    <row r="1" spans="1:12" ht="13" x14ac:dyDescent="0.3">
      <c r="A1" s="13" t="s">
        <v>6</v>
      </c>
      <c r="G1" s="87"/>
      <c r="H1" s="87"/>
      <c r="I1" s="87"/>
      <c r="J1" s="87"/>
    </row>
    <row r="2" spans="1:12" ht="13" x14ac:dyDescent="0.3">
      <c r="A2" s="38"/>
      <c r="B2" s="38" t="s">
        <v>675</v>
      </c>
      <c r="G2" s="87" t="s">
        <v>686</v>
      </c>
      <c r="H2" s="87" t="s">
        <v>685</v>
      </c>
      <c r="I2" s="87" t="s">
        <v>684</v>
      </c>
      <c r="J2" s="87" t="s">
        <v>683</v>
      </c>
    </row>
    <row r="3" spans="1:12" ht="13" x14ac:dyDescent="0.3">
      <c r="B3" s="38" t="s">
        <v>662</v>
      </c>
      <c r="C3" s="71" t="s">
        <v>679</v>
      </c>
      <c r="D3" s="71" t="s">
        <v>670</v>
      </c>
      <c r="E3" s="86" t="s">
        <v>671</v>
      </c>
      <c r="F3" s="86" t="s">
        <v>676</v>
      </c>
      <c r="G3" s="91" t="s">
        <v>677</v>
      </c>
      <c r="H3" s="91" t="s">
        <v>674</v>
      </c>
      <c r="I3" s="87" t="s">
        <v>672</v>
      </c>
      <c r="J3" s="87" t="s">
        <v>673</v>
      </c>
    </row>
    <row r="4" spans="1:12" ht="13" x14ac:dyDescent="0.3">
      <c r="B4" s="38" t="s">
        <v>663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ht="13" x14ac:dyDescent="0.3">
      <c r="B5" s="38" t="s">
        <v>664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ht="13" x14ac:dyDescent="0.3">
      <c r="B6" s="38" t="s">
        <v>665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ht="13" x14ac:dyDescent="0.3">
      <c r="B7" s="38" t="s">
        <v>666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ht="13" x14ac:dyDescent="0.3">
      <c r="B8" s="38" t="s">
        <v>667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ht="13" x14ac:dyDescent="0.3">
      <c r="B9" s="38" t="s">
        <v>668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ht="13" x14ac:dyDescent="0.3">
      <c r="B10" s="38" t="s">
        <v>669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ht="13" x14ac:dyDescent="0.3">
      <c r="G11" s="87"/>
      <c r="H11" s="87"/>
      <c r="I11" s="87"/>
      <c r="J11" s="87"/>
    </row>
    <row r="12" spans="1:12" x14ac:dyDescent="0.25">
      <c r="B12" s="38" t="s">
        <v>678</v>
      </c>
      <c r="G12" s="71"/>
      <c r="H12" s="71"/>
      <c r="I12" s="71"/>
      <c r="J12" s="71"/>
    </row>
    <row r="13" spans="1:12" ht="13" x14ac:dyDescent="0.3">
      <c r="B13" s="38" t="s">
        <v>662</v>
      </c>
      <c r="C13" s="71" t="s">
        <v>679</v>
      </c>
      <c r="D13" s="71" t="s">
        <v>670</v>
      </c>
      <c r="E13" s="86" t="s">
        <v>671</v>
      </c>
      <c r="F13" s="86" t="s">
        <v>676</v>
      </c>
      <c r="G13" s="86" t="s">
        <v>677</v>
      </c>
      <c r="H13" s="86" t="s">
        <v>674</v>
      </c>
      <c r="I13" s="71" t="s">
        <v>672</v>
      </c>
      <c r="J13" s="87" t="s">
        <v>673</v>
      </c>
    </row>
    <row r="14" spans="1:12" ht="13" x14ac:dyDescent="0.3">
      <c r="B14" s="38" t="s">
        <v>663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ht="13" x14ac:dyDescent="0.3">
      <c r="B15" s="38" t="s">
        <v>664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ht="13" x14ac:dyDescent="0.3">
      <c r="B16" s="38" t="s">
        <v>665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ht="13" x14ac:dyDescent="0.3">
      <c r="B17" s="38" t="s">
        <v>666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ht="13" x14ac:dyDescent="0.3">
      <c r="B18" s="38" t="s">
        <v>667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ht="13" x14ac:dyDescent="0.3">
      <c r="B19" s="38" t="s">
        <v>668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ht="13" x14ac:dyDescent="0.3">
      <c r="B20" s="38" t="s">
        <v>669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5">
      <c r="G21" s="71"/>
      <c r="H21" s="71"/>
      <c r="I21" s="71"/>
      <c r="J21" s="71"/>
    </row>
    <row r="22" spans="2:10" x14ac:dyDescent="0.25">
      <c r="G22" s="71"/>
      <c r="H22" s="71"/>
      <c r="I22" s="71"/>
      <c r="J22" s="71"/>
    </row>
    <row r="23" spans="2:10" x14ac:dyDescent="0.25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5">
      <c r="I24" s="71"/>
      <c r="J24" s="71"/>
    </row>
    <row r="25" spans="2:10" x14ac:dyDescent="0.25">
      <c r="B25" s="38" t="s">
        <v>681</v>
      </c>
      <c r="C25" s="54">
        <v>331000</v>
      </c>
      <c r="G25" s="71">
        <f>12.3+16.4+9.2+11.9</f>
        <v>49.8</v>
      </c>
      <c r="I25" s="71" t="s">
        <v>687</v>
      </c>
      <c r="J25" s="71"/>
    </row>
    <row r="26" spans="2:10" x14ac:dyDescent="0.25">
      <c r="B26" s="38" t="s">
        <v>682</v>
      </c>
      <c r="C26" s="54">
        <f>C25*0.75</f>
        <v>248250</v>
      </c>
      <c r="G26" s="71">
        <f>16.4+9.2+11.9</f>
        <v>37.5</v>
      </c>
      <c r="I26" s="71" t="s">
        <v>688</v>
      </c>
    </row>
    <row r="27" spans="2:10" x14ac:dyDescent="0.25">
      <c r="C27" s="54"/>
      <c r="G27" s="71">
        <f>9.2+11.9</f>
        <v>21.1</v>
      </c>
      <c r="I27" s="71" t="s">
        <v>689</v>
      </c>
    </row>
    <row r="28" spans="2:10" x14ac:dyDescent="0.25">
      <c r="G28" s="53">
        <v>11.9</v>
      </c>
      <c r="I28" s="71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2.363281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883</v>
      </c>
    </row>
    <row r="3" spans="1:3" x14ac:dyDescent="0.25">
      <c r="B3" s="38" t="s">
        <v>403</v>
      </c>
      <c r="C3" s="38" t="s">
        <v>884</v>
      </c>
    </row>
    <row r="4" spans="1:3" x14ac:dyDescent="0.25">
      <c r="B4" s="38" t="s">
        <v>847</v>
      </c>
      <c r="C4" s="38" t="s">
        <v>885</v>
      </c>
    </row>
    <row r="5" spans="1:3" x14ac:dyDescent="0.25">
      <c r="C5" s="38" t="s">
        <v>886</v>
      </c>
    </row>
    <row r="6" spans="1:3" x14ac:dyDescent="0.25">
      <c r="B6" s="38" t="s">
        <v>872</v>
      </c>
      <c r="C6" s="38" t="s">
        <v>891</v>
      </c>
    </row>
    <row r="7" spans="1:3" x14ac:dyDescent="0.25">
      <c r="B7" s="38" t="s">
        <v>92</v>
      </c>
    </row>
    <row r="8" spans="1:3" ht="13" x14ac:dyDescent="0.3">
      <c r="C8" s="20" t="s">
        <v>887</v>
      </c>
    </row>
    <row r="9" spans="1:3" x14ac:dyDescent="0.25">
      <c r="C9" s="38" t="s">
        <v>888</v>
      </c>
    </row>
    <row r="13" spans="1:3" ht="13" x14ac:dyDescent="0.3">
      <c r="C13" s="20" t="s">
        <v>889</v>
      </c>
    </row>
    <row r="14" spans="1:3" x14ac:dyDescent="0.25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53125" defaultRowHeight="12.5" x14ac:dyDescent="0.25"/>
  <cols>
    <col min="1" max="1" width="4.81640625" bestFit="1" customWidth="1"/>
    <col min="2" max="2" width="7.179687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365</v>
      </c>
    </row>
    <row r="3" spans="1:3" x14ac:dyDescent="0.25">
      <c r="B3" s="38" t="s">
        <v>403</v>
      </c>
      <c r="C3" s="38" t="s">
        <v>462</v>
      </c>
    </row>
    <row r="4" spans="1:3" x14ac:dyDescent="0.25">
      <c r="B4" s="38" t="s">
        <v>1</v>
      </c>
      <c r="C4" s="38" t="s">
        <v>36</v>
      </c>
    </row>
    <row r="5" spans="1:3" x14ac:dyDescent="0.25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>
      <selection activeCell="C19" sqref="C19"/>
    </sheetView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13" t="s">
        <v>6</v>
      </c>
    </row>
    <row r="2" spans="1:3" x14ac:dyDescent="0.25">
      <c r="B2" s="38" t="s">
        <v>402</v>
      </c>
      <c r="C2" s="38" t="s">
        <v>545</v>
      </c>
    </row>
    <row r="3" spans="1:3" x14ac:dyDescent="0.25">
      <c r="B3" s="38" t="s">
        <v>403</v>
      </c>
      <c r="C3" s="38" t="s">
        <v>542</v>
      </c>
    </row>
    <row r="4" spans="1:3" x14ac:dyDescent="0.25">
      <c r="B4" s="38" t="s">
        <v>1</v>
      </c>
      <c r="C4" s="38" t="s">
        <v>546</v>
      </c>
    </row>
    <row r="5" spans="1:3" x14ac:dyDescent="0.25">
      <c r="B5" s="38" t="s">
        <v>405</v>
      </c>
      <c r="C5" s="38" t="s">
        <v>918</v>
      </c>
    </row>
    <row r="6" spans="1:3" x14ac:dyDescent="0.25">
      <c r="B6" s="38" t="s">
        <v>923</v>
      </c>
      <c r="C6" s="38" t="s">
        <v>924</v>
      </c>
    </row>
    <row r="7" spans="1:3" x14ac:dyDescent="0.25">
      <c r="B7" s="38"/>
      <c r="C7" s="38"/>
    </row>
    <row r="8" spans="1:3" x14ac:dyDescent="0.25">
      <c r="B8" s="38" t="s">
        <v>92</v>
      </c>
    </row>
    <row r="9" spans="1:3" ht="13" x14ac:dyDescent="0.3">
      <c r="C9" s="20" t="s">
        <v>554</v>
      </c>
    </row>
    <row r="10" spans="1:3" x14ac:dyDescent="0.25">
      <c r="C10" s="38" t="s">
        <v>555</v>
      </c>
    </row>
    <row r="12" spans="1:3" ht="13" x14ac:dyDescent="0.3">
      <c r="C12" s="20" t="s">
        <v>744</v>
      </c>
    </row>
    <row r="16" spans="1:3" ht="13" x14ac:dyDescent="0.3">
      <c r="C16" s="20" t="s">
        <v>919</v>
      </c>
    </row>
    <row r="17" spans="3:3" x14ac:dyDescent="0.25">
      <c r="C17" s="38" t="s">
        <v>916</v>
      </c>
    </row>
    <row r="18" spans="3:3" x14ac:dyDescent="0.25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2024-12-11T03:11:03Z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