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fda80931a57275/Models Backup/"/>
    </mc:Choice>
  </mc:AlternateContent>
  <xr:revisionPtr revIDLastSave="1220" documentId="8_{DA53EA53-178E-408E-9433-2B1A269BD874}" xr6:coauthVersionLast="47" xr6:coauthVersionMax="47" xr10:uidLastSave="{71F59C5E-176E-4BF9-A8C8-DD8B5B933E46}"/>
  <bookViews>
    <workbookView xWindow="2340" yWindow="690" windowWidth="22065" windowHeight="15510" activeTab="1" xr2:uid="{8D27557D-2DB7-4671-BB85-E2F62711DC0C}"/>
  </bookViews>
  <sheets>
    <sheet name="Main" sheetId="1" r:id="rId1"/>
    <sheet name="Mode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1" i="2" l="1"/>
  <c r="L90" i="2"/>
  <c r="L89" i="2"/>
  <c r="L85" i="2"/>
  <c r="L84" i="2"/>
  <c r="L83" i="2"/>
  <c r="L98" i="2"/>
  <c r="K99" i="2"/>
  <c r="K98" i="2"/>
  <c r="K75" i="2"/>
  <c r="K74" i="2"/>
  <c r="K73" i="2"/>
  <c r="K65" i="2"/>
  <c r="K60" i="2"/>
  <c r="K80" i="2"/>
  <c r="K68" i="2"/>
  <c r="K59" i="2"/>
  <c r="L75" i="2"/>
  <c r="L74" i="2"/>
  <c r="L73" i="2"/>
  <c r="L80" i="2" s="1"/>
  <c r="L65" i="2"/>
  <c r="L64" i="2"/>
  <c r="L60" i="2"/>
  <c r="L68" i="2" s="1"/>
  <c r="M75" i="2"/>
  <c r="M74" i="2"/>
  <c r="M73" i="2"/>
  <c r="M59" i="2" s="1"/>
  <c r="M56" i="2" s="1"/>
  <c r="M80" i="2"/>
  <c r="M68" i="2"/>
  <c r="M65" i="2"/>
  <c r="M60" i="2"/>
  <c r="P55" i="2"/>
  <c r="O55" i="2"/>
  <c r="N55" i="2"/>
  <c r="M55" i="2"/>
  <c r="L55" i="2"/>
  <c r="K55" i="2"/>
  <c r="J55" i="2"/>
  <c r="I55" i="2"/>
  <c r="H55" i="2"/>
  <c r="G55" i="2"/>
  <c r="F55" i="2"/>
  <c r="AE49" i="2"/>
  <c r="AD49" i="2"/>
  <c r="AC49" i="2"/>
  <c r="AB49" i="2"/>
  <c r="AD26" i="2"/>
  <c r="AE26" i="2"/>
  <c r="AE103" i="2"/>
  <c r="AE105" i="2" s="1"/>
  <c r="AF103" i="2"/>
  <c r="AF105" i="2" s="1"/>
  <c r="AG103" i="2"/>
  <c r="AG105" i="2" s="1"/>
  <c r="AE98" i="2"/>
  <c r="AE93" i="2"/>
  <c r="AF90" i="2"/>
  <c r="AF98" i="2"/>
  <c r="AG88" i="2"/>
  <c r="AG90" i="2"/>
  <c r="AG98" i="2"/>
  <c r="N75" i="2"/>
  <c r="N74" i="2"/>
  <c r="N73" i="2"/>
  <c r="N65" i="2"/>
  <c r="N60" i="2"/>
  <c r="N68" i="2" s="1"/>
  <c r="P5" i="2"/>
  <c r="Q5" i="2" s="1"/>
  <c r="R5" i="2" s="1"/>
  <c r="N23" i="2"/>
  <c r="N19" i="2"/>
  <c r="J13" i="2"/>
  <c r="N13" i="2"/>
  <c r="K13" i="2"/>
  <c r="O13" i="2"/>
  <c r="K23" i="2"/>
  <c r="K19" i="2"/>
  <c r="O23" i="2"/>
  <c r="O19" i="2"/>
  <c r="N49" i="2"/>
  <c r="M49" i="2"/>
  <c r="L49" i="2"/>
  <c r="K49" i="2"/>
  <c r="J49" i="2"/>
  <c r="I49" i="2"/>
  <c r="H49" i="2"/>
  <c r="G49" i="2"/>
  <c r="F49" i="2"/>
  <c r="O28" i="2"/>
  <c r="O32" i="2" s="1"/>
  <c r="O48" i="2" s="1"/>
  <c r="O105" i="2"/>
  <c r="O98" i="2"/>
  <c r="O99" i="2" s="1"/>
  <c r="AE52" i="2"/>
  <c r="AD52" i="2"/>
  <c r="AC52" i="2"/>
  <c r="AB52" i="2"/>
  <c r="AG51" i="2"/>
  <c r="AF51" i="2"/>
  <c r="AE51" i="2"/>
  <c r="AD51" i="2"/>
  <c r="AC51" i="2"/>
  <c r="AB51" i="2"/>
  <c r="AA51" i="2"/>
  <c r="Z51" i="2"/>
  <c r="AH33" i="2"/>
  <c r="AI33" i="2" s="1"/>
  <c r="AB38" i="2"/>
  <c r="AB32" i="2"/>
  <c r="AB48" i="2" s="1"/>
  <c r="P37" i="2"/>
  <c r="Q37" i="2" s="1"/>
  <c r="R37" i="2" s="1"/>
  <c r="AH37" i="2" s="1"/>
  <c r="AI37" i="2" s="1"/>
  <c r="AJ37" i="2" s="1"/>
  <c r="AK37" i="2" s="1"/>
  <c r="AL37" i="2" s="1"/>
  <c r="AM37" i="2" s="1"/>
  <c r="AN37" i="2" s="1"/>
  <c r="AO37" i="2" s="1"/>
  <c r="AP37" i="2" s="1"/>
  <c r="P36" i="2"/>
  <c r="Q36" i="2" s="1"/>
  <c r="P35" i="2"/>
  <c r="Q35" i="2" s="1"/>
  <c r="R35" i="2" s="1"/>
  <c r="P34" i="2"/>
  <c r="Q34" i="2" s="1"/>
  <c r="R34" i="2" s="1"/>
  <c r="R31" i="2"/>
  <c r="R29" i="2"/>
  <c r="R28" i="2"/>
  <c r="R49" i="2" s="1"/>
  <c r="AC38" i="2"/>
  <c r="AC32" i="2"/>
  <c r="AC48" i="2" s="1"/>
  <c r="AD38" i="2"/>
  <c r="AD32" i="2"/>
  <c r="AD48" i="2" s="1"/>
  <c r="N7" i="1"/>
  <c r="N4" i="1"/>
  <c r="AF40" i="2"/>
  <c r="AE38" i="2"/>
  <c r="AH45" i="2"/>
  <c r="AI45" i="2" s="1"/>
  <c r="AJ45" i="2" s="1"/>
  <c r="AK45" i="2" s="1"/>
  <c r="AL45" i="2" s="1"/>
  <c r="AM45" i="2" s="1"/>
  <c r="AN45" i="2" s="1"/>
  <c r="AO45" i="2" s="1"/>
  <c r="AP45" i="2" s="1"/>
  <c r="AG45" i="2"/>
  <c r="AF45" i="2"/>
  <c r="AH42" i="2"/>
  <c r="AG42" i="2"/>
  <c r="AF42" i="2"/>
  <c r="AH40" i="2"/>
  <c r="AI40" i="2" s="1"/>
  <c r="AG40" i="2"/>
  <c r="AE32" i="2"/>
  <c r="AE48" i="2" s="1"/>
  <c r="AG37" i="2"/>
  <c r="AF37" i="2"/>
  <c r="AG36" i="2"/>
  <c r="AF36" i="2"/>
  <c r="AG35" i="2"/>
  <c r="AF35" i="2"/>
  <c r="AG34" i="2"/>
  <c r="AF34" i="2"/>
  <c r="AG33" i="2"/>
  <c r="AF33" i="2"/>
  <c r="AG29" i="2"/>
  <c r="AF29" i="2"/>
  <c r="AG28" i="2"/>
  <c r="AG52" i="2" s="1"/>
  <c r="AF28" i="2"/>
  <c r="AF52" i="2" s="1"/>
  <c r="F38" i="2"/>
  <c r="F32" i="2"/>
  <c r="F48" i="2" s="1"/>
  <c r="G38" i="2"/>
  <c r="G32" i="2"/>
  <c r="G48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Q31" i="2"/>
  <c r="Q29" i="2"/>
  <c r="Q28" i="2"/>
  <c r="Q49" i="2" s="1"/>
  <c r="P31" i="2"/>
  <c r="P29" i="2"/>
  <c r="P28" i="2"/>
  <c r="P49" i="2" s="1"/>
  <c r="H38" i="2"/>
  <c r="H32" i="2"/>
  <c r="H48" i="2" s="1"/>
  <c r="I38" i="2"/>
  <c r="I32" i="2"/>
  <c r="I48" i="2" s="1"/>
  <c r="N38" i="2"/>
  <c r="M38" i="2"/>
  <c r="L38" i="2"/>
  <c r="K38" i="2"/>
  <c r="J38" i="2"/>
  <c r="N32" i="2"/>
  <c r="N6" i="2" s="1"/>
  <c r="M32" i="2"/>
  <c r="M48" i="2" s="1"/>
  <c r="L32" i="2"/>
  <c r="L48" i="2" s="1"/>
  <c r="K32" i="2"/>
  <c r="K48" i="2" s="1"/>
  <c r="J32" i="2"/>
  <c r="J48" i="2" s="1"/>
  <c r="O75" i="2"/>
  <c r="O74" i="2"/>
  <c r="O73" i="2"/>
  <c r="O65" i="2"/>
  <c r="O60" i="2"/>
  <c r="O38" i="2"/>
  <c r="L99" i="2" l="1"/>
  <c r="AE99" i="2"/>
  <c r="L59" i="2"/>
  <c r="AF99" i="2"/>
  <c r="N80" i="2"/>
  <c r="N59" i="2"/>
  <c r="N56" i="2" s="1"/>
  <c r="AG49" i="2"/>
  <c r="AF49" i="2"/>
  <c r="AG99" i="2"/>
  <c r="K10" i="2"/>
  <c r="J10" i="2"/>
  <c r="J12" i="2"/>
  <c r="N12" i="2"/>
  <c r="N10" i="2"/>
  <c r="J6" i="2"/>
  <c r="O49" i="2"/>
  <c r="O12" i="2"/>
  <c r="K12" i="2"/>
  <c r="O6" i="2"/>
  <c r="O10" i="2"/>
  <c r="AF32" i="2"/>
  <c r="AF48" i="2" s="1"/>
  <c r="N39" i="2"/>
  <c r="N41" i="2" s="1"/>
  <c r="N43" i="2" s="1"/>
  <c r="AJ33" i="2"/>
  <c r="AK33" i="2" s="1"/>
  <c r="AL33" i="2" s="1"/>
  <c r="AM33" i="2" s="1"/>
  <c r="AN33" i="2" s="1"/>
  <c r="AO33" i="2" s="1"/>
  <c r="AP33" i="2" s="1"/>
  <c r="M39" i="2"/>
  <c r="M41" i="2" s="1"/>
  <c r="M43" i="2" s="1"/>
  <c r="N48" i="2"/>
  <c r="AH31" i="2"/>
  <c r="AI31" i="2" s="1"/>
  <c r="AJ31" i="2" s="1"/>
  <c r="AK31" i="2" s="1"/>
  <c r="AL31" i="2" s="1"/>
  <c r="AM31" i="2" s="1"/>
  <c r="AN31" i="2" s="1"/>
  <c r="AO31" i="2" s="1"/>
  <c r="AP31" i="2" s="1"/>
  <c r="AH35" i="2"/>
  <c r="AI35" i="2" s="1"/>
  <c r="AJ35" i="2" s="1"/>
  <c r="AK35" i="2" s="1"/>
  <c r="AL35" i="2" s="1"/>
  <c r="AM35" i="2" s="1"/>
  <c r="AN35" i="2" s="1"/>
  <c r="AO35" i="2" s="1"/>
  <c r="AP35" i="2" s="1"/>
  <c r="O68" i="2"/>
  <c r="P38" i="2"/>
  <c r="AC47" i="2"/>
  <c r="AF38" i="2"/>
  <c r="AH28" i="2"/>
  <c r="O59" i="2"/>
  <c r="O56" i="2" s="1"/>
  <c r="AE39" i="2"/>
  <c r="AG32" i="2"/>
  <c r="AH29" i="2"/>
  <c r="AI29" i="2" s="1"/>
  <c r="AJ29" i="2" s="1"/>
  <c r="AK29" i="2" s="1"/>
  <c r="AL29" i="2" s="1"/>
  <c r="AM29" i="2" s="1"/>
  <c r="AN29" i="2" s="1"/>
  <c r="AO29" i="2" s="1"/>
  <c r="AP29" i="2" s="1"/>
  <c r="N47" i="2"/>
  <c r="K47" i="2"/>
  <c r="K39" i="2"/>
  <c r="M47" i="2"/>
  <c r="L47" i="2"/>
  <c r="J47" i="2"/>
  <c r="AG38" i="2"/>
  <c r="AE47" i="2"/>
  <c r="O80" i="2"/>
  <c r="AD47" i="2"/>
  <c r="AB39" i="2"/>
  <c r="AB50" i="2" s="1"/>
  <c r="R36" i="2"/>
  <c r="R38" i="2" s="1"/>
  <c r="Q38" i="2"/>
  <c r="AH34" i="2"/>
  <c r="AC39" i="2"/>
  <c r="AD39" i="2"/>
  <c r="F39" i="2"/>
  <c r="G39" i="2"/>
  <c r="R32" i="2"/>
  <c r="Q32" i="2"/>
  <c r="P32" i="2"/>
  <c r="O39" i="2"/>
  <c r="H39" i="2"/>
  <c r="L39" i="2"/>
  <c r="I39" i="2"/>
  <c r="J39" i="2"/>
  <c r="O47" i="2"/>
  <c r="M44" i="2" l="1"/>
  <c r="M82" i="2"/>
  <c r="AI28" i="2"/>
  <c r="AI32" i="2" s="1"/>
  <c r="AI48" i="2" s="1"/>
  <c r="AH49" i="2"/>
  <c r="N44" i="2"/>
  <c r="N82" i="2"/>
  <c r="AF47" i="2"/>
  <c r="AF39" i="2"/>
  <c r="AF50" i="2" s="1"/>
  <c r="N50" i="2"/>
  <c r="M50" i="2"/>
  <c r="AG39" i="2"/>
  <c r="AG41" i="2" s="1"/>
  <c r="AG43" i="2" s="1"/>
  <c r="P47" i="2"/>
  <c r="P48" i="2"/>
  <c r="Q47" i="2"/>
  <c r="Q48" i="2"/>
  <c r="AE41" i="2"/>
  <c r="AE43" i="2" s="1"/>
  <c r="AE50" i="2"/>
  <c r="AD41" i="2"/>
  <c r="AD43" i="2" s="1"/>
  <c r="AD44" i="2" s="1"/>
  <c r="AD50" i="2"/>
  <c r="AC41" i="2"/>
  <c r="AC43" i="2" s="1"/>
  <c r="AC44" i="2" s="1"/>
  <c r="AC50" i="2"/>
  <c r="R47" i="2"/>
  <c r="R48" i="2"/>
  <c r="AH36" i="2"/>
  <c r="AI36" i="2" s="1"/>
  <c r="AJ36" i="2" s="1"/>
  <c r="AK36" i="2" s="1"/>
  <c r="AL36" i="2" s="1"/>
  <c r="AM36" i="2" s="1"/>
  <c r="AN36" i="2" s="1"/>
  <c r="AO36" i="2" s="1"/>
  <c r="AP36" i="2" s="1"/>
  <c r="AG48" i="2"/>
  <c r="J41" i="2"/>
  <c r="J43" i="2" s="1"/>
  <c r="J44" i="2" s="1"/>
  <c r="J50" i="2"/>
  <c r="G41" i="2"/>
  <c r="G43" i="2" s="1"/>
  <c r="G44" i="2" s="1"/>
  <c r="G50" i="2"/>
  <c r="F41" i="2"/>
  <c r="F43" i="2" s="1"/>
  <c r="F44" i="2" s="1"/>
  <c r="F50" i="2"/>
  <c r="L41" i="2"/>
  <c r="L43" i="2" s="1"/>
  <c r="L50" i="2"/>
  <c r="I41" i="2"/>
  <c r="I43" i="2" s="1"/>
  <c r="I44" i="2" s="1"/>
  <c r="I50" i="2"/>
  <c r="H41" i="2"/>
  <c r="H43" i="2" s="1"/>
  <c r="H44" i="2" s="1"/>
  <c r="H50" i="2"/>
  <c r="O41" i="2"/>
  <c r="O43" i="2" s="1"/>
  <c r="O50" i="2"/>
  <c r="K41" i="2"/>
  <c r="K43" i="2" s="1"/>
  <c r="K50" i="2"/>
  <c r="AH32" i="2"/>
  <c r="AG47" i="2"/>
  <c r="AB41" i="2"/>
  <c r="AB43" i="2" s="1"/>
  <c r="AB44" i="2" s="1"/>
  <c r="AI34" i="2"/>
  <c r="R39" i="2"/>
  <c r="Q39" i="2"/>
  <c r="P39" i="2"/>
  <c r="L44" i="2" l="1"/>
  <c r="L82" i="2"/>
  <c r="K44" i="2"/>
  <c r="K82" i="2"/>
  <c r="AJ28" i="2"/>
  <c r="AI49" i="2"/>
  <c r="AE44" i="2"/>
  <c r="AE82" i="2"/>
  <c r="AG44" i="2"/>
  <c r="AG82" i="2"/>
  <c r="AF41" i="2"/>
  <c r="AF43" i="2" s="1"/>
  <c r="AH38" i="2"/>
  <c r="AH39" i="2" s="1"/>
  <c r="AH41" i="2" s="1"/>
  <c r="AH43" i="2" s="1"/>
  <c r="AH44" i="2" s="1"/>
  <c r="O44" i="2"/>
  <c r="O82" i="2"/>
  <c r="AG50" i="2"/>
  <c r="AI47" i="2"/>
  <c r="AH48" i="2"/>
  <c r="Q41" i="2"/>
  <c r="Q43" i="2" s="1"/>
  <c r="Q44" i="2" s="1"/>
  <c r="Q50" i="2"/>
  <c r="P41" i="2"/>
  <c r="P43" i="2" s="1"/>
  <c r="P44" i="2" s="1"/>
  <c r="P50" i="2"/>
  <c r="R41" i="2"/>
  <c r="R43" i="2" s="1"/>
  <c r="R44" i="2" s="1"/>
  <c r="R50" i="2"/>
  <c r="AH47" i="2"/>
  <c r="AJ34" i="2"/>
  <c r="AI38" i="2"/>
  <c r="AI39" i="2" s="1"/>
  <c r="AK28" i="2" l="1"/>
  <c r="AJ49" i="2"/>
  <c r="AJ32" i="2"/>
  <c r="AH50" i="2"/>
  <c r="AF44" i="2"/>
  <c r="AF82" i="2"/>
  <c r="P59" i="2"/>
  <c r="AI41" i="2"/>
  <c r="AI43" i="2" s="1"/>
  <c r="AI44" i="2" s="1"/>
  <c r="AI50" i="2"/>
  <c r="AK34" i="2"/>
  <c r="AJ38" i="2"/>
  <c r="AJ39" i="2" s="1"/>
  <c r="Q59" i="2" l="1"/>
  <c r="R59" i="2" s="1"/>
  <c r="AH59" i="2" s="1"/>
  <c r="P56" i="2"/>
  <c r="AJ48" i="2"/>
  <c r="AJ47" i="2"/>
  <c r="AL28" i="2"/>
  <c r="AK49" i="2"/>
  <c r="AK32" i="2"/>
  <c r="AI59" i="2"/>
  <c r="AJ40" i="2" s="1"/>
  <c r="AJ41" i="2" s="1"/>
  <c r="AJ43" i="2" s="1"/>
  <c r="AJ44" i="2" s="1"/>
  <c r="AJ50" i="2"/>
  <c r="AL34" i="2"/>
  <c r="AK38" i="2"/>
  <c r="AK39" i="2" s="1"/>
  <c r="AK48" i="2" l="1"/>
  <c r="AK47" i="2"/>
  <c r="AM28" i="2"/>
  <c r="AL49" i="2"/>
  <c r="AL32" i="2"/>
  <c r="AJ59" i="2"/>
  <c r="AK40" i="2" s="1"/>
  <c r="AK41" i="2" s="1"/>
  <c r="AK43" i="2" s="1"/>
  <c r="AK50" i="2"/>
  <c r="AM34" i="2"/>
  <c r="AL38" i="2"/>
  <c r="AL39" i="2" s="1"/>
  <c r="AL48" i="2" l="1"/>
  <c r="AL47" i="2"/>
  <c r="AN28" i="2"/>
  <c r="AM49" i="2"/>
  <c r="AM32" i="2"/>
  <c r="AK59" i="2"/>
  <c r="AL40" i="2" s="1"/>
  <c r="AL41" i="2" s="1"/>
  <c r="AL43" i="2" s="1"/>
  <c r="AL44" i="2" s="1"/>
  <c r="AK44" i="2"/>
  <c r="AL50" i="2"/>
  <c r="AN34" i="2"/>
  <c r="AM38" i="2"/>
  <c r="AM39" i="2" s="1"/>
  <c r="AM48" i="2" l="1"/>
  <c r="AM47" i="2"/>
  <c r="AO28" i="2"/>
  <c r="AN49" i="2"/>
  <c r="AN32" i="2"/>
  <c r="AL59" i="2"/>
  <c r="AM40" i="2" s="1"/>
  <c r="AM41" i="2" s="1"/>
  <c r="AM43" i="2" s="1"/>
  <c r="AM50" i="2"/>
  <c r="AO34" i="2"/>
  <c r="AN38" i="2"/>
  <c r="AN39" i="2" s="1"/>
  <c r="AN47" i="2" l="1"/>
  <c r="AN48" i="2"/>
  <c r="AP28" i="2"/>
  <c r="AO49" i="2"/>
  <c r="AO32" i="2"/>
  <c r="AN50" i="2"/>
  <c r="AM44" i="2"/>
  <c r="AM59" i="2"/>
  <c r="AN40" i="2" s="1"/>
  <c r="AN41" i="2" s="1"/>
  <c r="AN43" i="2" s="1"/>
  <c r="AN44" i="2" s="1"/>
  <c r="AP34" i="2"/>
  <c r="AP38" i="2" s="1"/>
  <c r="AO38" i="2"/>
  <c r="AO39" i="2" s="1"/>
  <c r="AO47" i="2" l="1"/>
  <c r="AO48" i="2"/>
  <c r="AP49" i="2"/>
  <c r="AP32" i="2"/>
  <c r="AO41" i="2"/>
  <c r="AO42" i="2" s="1"/>
  <c r="AO43" i="2" s="1"/>
  <c r="AO44" i="2" s="1"/>
  <c r="AO50" i="2"/>
  <c r="AN59" i="2"/>
  <c r="AP47" i="2" l="1"/>
  <c r="AP48" i="2"/>
  <c r="AP39" i="2"/>
  <c r="AO59" i="2"/>
  <c r="AP41" i="2" l="1"/>
  <c r="AP42" i="2" s="1"/>
  <c r="AP43" i="2" s="1"/>
  <c r="AP50" i="2"/>
  <c r="AQ43" i="2" l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AS49" i="2" s="1"/>
  <c r="AS50" i="2" s="1"/>
  <c r="AP44" i="2"/>
  <c r="AP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tc={FC916003-1684-4E2F-8AA8-31ACAC0E574C}</author>
  </authors>
  <commentList>
    <comment ref="AC3" authorId="0" shapeId="0" xr:uid="{FC916003-1684-4E2F-8AA8-31ACAC0E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5398 as well</t>
      </text>
    </comment>
  </commentList>
</comments>
</file>

<file path=xl/sharedStrings.xml><?xml version="1.0" encoding="utf-8"?>
<sst xmlns="http://schemas.openxmlformats.org/spreadsheetml/2006/main" count="135" uniqueCount="125">
  <si>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</si>
  <si>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</si>
  <si>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</si>
  <si>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</si>
  <si>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</si>
  <si>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</si>
  <si>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</si>
  <si>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</si>
  <si>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</si>
  <si>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</si>
  <si>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</si>
  <si>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</si>
  <si>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</si>
  <si>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Q222</t>
  </si>
  <si>
    <t>Q322</t>
  </si>
  <si>
    <t>Q422</t>
  </si>
  <si>
    <t>Q119</t>
  </si>
  <si>
    <t>Q219</t>
  </si>
  <si>
    <t>Q319</t>
  </si>
  <si>
    <t>Q419</t>
  </si>
  <si>
    <t>Q221</t>
  </si>
  <si>
    <t>Q321</t>
  </si>
  <si>
    <t>Q421</t>
  </si>
  <si>
    <t>Q122</t>
  </si>
  <si>
    <t>Admissions</t>
  </si>
  <si>
    <t>Food &amp; Beverage</t>
  </si>
  <si>
    <t>Other theatre</t>
  </si>
  <si>
    <t>Film</t>
  </si>
  <si>
    <t>Operating Expense</t>
  </si>
  <si>
    <t>Rent</t>
  </si>
  <si>
    <t>G&amp;A</t>
  </si>
  <si>
    <t>TotalOpEx</t>
  </si>
  <si>
    <t>OpInc</t>
  </si>
  <si>
    <t>IntExp</t>
  </si>
  <si>
    <t>Pretax</t>
  </si>
  <si>
    <t>Taxes</t>
  </si>
  <si>
    <t>Net Income</t>
  </si>
  <si>
    <t>EPS</t>
  </si>
  <si>
    <t>Revenue y/y</t>
  </si>
  <si>
    <t>Assets</t>
  </si>
  <si>
    <t>AR</t>
  </si>
  <si>
    <t>OCA</t>
  </si>
  <si>
    <t>PPE</t>
  </si>
  <si>
    <t>Leases</t>
  </si>
  <si>
    <t>Goodwill</t>
  </si>
  <si>
    <t>DT</t>
  </si>
  <si>
    <t>OLTA</t>
  </si>
  <si>
    <t>AP</t>
  </si>
  <si>
    <t>AE</t>
  </si>
  <si>
    <t>DR</t>
  </si>
  <si>
    <t>Finance Lease</t>
  </si>
  <si>
    <t>Operating lease</t>
  </si>
  <si>
    <t>Exhibitor</t>
  </si>
  <si>
    <t>OLTL</t>
  </si>
  <si>
    <t>SE</t>
  </si>
  <si>
    <t>L+SE</t>
  </si>
  <si>
    <t>Net Cash</t>
  </si>
  <si>
    <t>OpMargin</t>
  </si>
  <si>
    <t>Film %</t>
  </si>
  <si>
    <t>Discount</t>
  </si>
  <si>
    <t>Terminal</t>
  </si>
  <si>
    <t>NPV</t>
  </si>
  <si>
    <t>Share</t>
  </si>
  <si>
    <t>Domestic Box Office</t>
  </si>
  <si>
    <t>Domestic Box y/y</t>
  </si>
  <si>
    <t>AMC market share</t>
  </si>
  <si>
    <t>Model NI</t>
  </si>
  <si>
    <t>Reported NI</t>
  </si>
  <si>
    <t>D&amp;A</t>
  </si>
  <si>
    <t>CFFO</t>
  </si>
  <si>
    <t>Extinguishment</t>
  </si>
  <si>
    <t>Hycroft</t>
  </si>
  <si>
    <t>SBC</t>
  </si>
  <si>
    <t>Disposition</t>
  </si>
  <si>
    <t>MI</t>
  </si>
  <si>
    <t>Landlord Contributions</t>
  </si>
  <si>
    <t>Rent Benefit</t>
  </si>
  <si>
    <t>Deferred Rent</t>
  </si>
  <si>
    <t>WC</t>
  </si>
  <si>
    <t>Amort deferred financing</t>
  </si>
  <si>
    <t>Amort of net discount</t>
  </si>
  <si>
    <t>Screen Advertising</t>
  </si>
  <si>
    <t>Hycroft Mining Holding (HYMC)</t>
  </si>
  <si>
    <t xml:space="preserve">  3/14/22: 27.9m financing</t>
  </si>
  <si>
    <t>US</t>
  </si>
  <si>
    <t>International</t>
  </si>
  <si>
    <t>CapEx</t>
  </si>
  <si>
    <t>CFFI</t>
  </si>
  <si>
    <t>Investments</t>
  </si>
  <si>
    <t>Other</t>
  </si>
  <si>
    <t>Rev/Theatre</t>
  </si>
  <si>
    <t>Rev/Screen</t>
  </si>
  <si>
    <t>IMAX</t>
  </si>
  <si>
    <t>Dolby Cinema</t>
  </si>
  <si>
    <t>PLF</t>
  </si>
  <si>
    <t>Dine-in Theatres</t>
  </si>
  <si>
    <t>Premium Seating</t>
  </si>
  <si>
    <t>Stubs A-List Households</t>
  </si>
  <si>
    <t>Q123</t>
  </si>
  <si>
    <t>Q223</t>
  </si>
  <si>
    <t>Q323</t>
  </si>
  <si>
    <t>Q423</t>
  </si>
  <si>
    <t>2029 $950m first lien at 7.5% issued on 2/14/22</t>
  </si>
  <si>
    <t>Attendence</t>
  </si>
  <si>
    <t>Rev/Attendence</t>
  </si>
  <si>
    <t xml:space="preserve">  Admissions</t>
  </si>
  <si>
    <t>Film GM%</t>
  </si>
  <si>
    <t>AMC4267538 5.75% 6/15/2025 trading at 69.04 (20%). $98m left outstanding.</t>
  </si>
  <si>
    <t xml:space="preserve">  Exhibition Costs</t>
  </si>
  <si>
    <t xml:space="preserve">  Film GM%</t>
  </si>
  <si>
    <t>Food/Attendence</t>
  </si>
  <si>
    <t>NCMI stock</t>
  </si>
  <si>
    <t>IR: John Merriwether, 866-248-3872</t>
  </si>
  <si>
    <t>CEO: Adam Aron. 1.25m salary. 6m bonus for 2021.</t>
  </si>
  <si>
    <t>CFO: Sean Goodman 675k salary. 1.6m bonus for 2021.</t>
  </si>
  <si>
    <t>Total US Theatres</t>
  </si>
  <si>
    <t>AMC Theatres</t>
  </si>
  <si>
    <t>Total US Screens</t>
  </si>
  <si>
    <t>AMC Screens</t>
  </si>
  <si>
    <t>AMC US Theatres</t>
  </si>
  <si>
    <t>Impairment</t>
  </si>
  <si>
    <t>Quarter End Price</t>
  </si>
  <si>
    <t>MC ($m)</t>
  </si>
  <si>
    <t>EV ($m)</t>
  </si>
  <si>
    <t>PIK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</si>
</sst>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9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0" fontId="0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9" fontId="0" fillId="0" borderId="0" xfId="0" applyNumberFormat="1" applyAlignment="1">
      <alignment horizontal="right"/>
    </xf>
    <xf numFmtId="164" fontId="0" fillId="0" borderId="0" xfId="0" applyNumberFormat="1" applyFill="1"/>
    <xf numFmtId="9" fontId="0" fillId="0" borderId="0" xfId="0" applyNumberFormat="1"/>
    <xf numFmtId="4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0</xdr:rowOff>
    </xdr:from>
    <xdr:to>
      <xdr:col>15</xdr:col>
      <xdr:colOff>28575</xdr:colOff>
      <xdr:row>125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81652D-2F41-A126-AF37-22E1B98A9D10}"/>
            </a:ext>
          </a:extLst>
        </xdr:cNvPr>
        <xdr:cNvCxnSpPr/>
      </xdr:nvCxnSpPr>
      <xdr:spPr>
        <a:xfrm>
          <a:off x="9648825" y="0"/>
          <a:ext cx="0" cy="1946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57150</xdr:colOff>
      <xdr:row>0</xdr:row>
      <xdr:rowOff>0</xdr:rowOff>
    </xdr:from>
    <xdr:to>
      <xdr:col>33</xdr:col>
      <xdr:colOff>57150</xdr:colOff>
      <xdr:row>106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B4D805-66A8-4AC4-8EDF-2BAFDAE82589}"/>
            </a:ext>
          </a:extLst>
        </xdr:cNvPr>
        <xdr:cNvCxnSpPr/>
      </xdr:nvCxnSpPr>
      <xdr:spPr>
        <a:xfrm>
          <a:off x="20726400" y="0"/>
          <a:ext cx="0" cy="16335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6FC3560-C579-4F45-9E73-B6CE53E35EF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2-07-04T19:46:36.54" personId="{06FC3560-C579-4F45-9E73-B6CE53E35EF7}" id="{FC916003-1684-4E2F-8AA8-31ACAC0E574C}">
    <text>5398 as well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C95-5A89-4DF8-9664-BB610037C5AD}">
  <dimension ref="B2:N10"/>
  <sheetViews>
    <sheetView workbookViewId="0">
      <selection activeCell="B10" sqref="B10"/>
    </sheetView>
  </sheetViews>
  <sheetFormatPr defaultRowHeight="12.75" x14ac:dyDescent="0.2"/>
  <sheetData>
    <row r="2" spans="2:14" x14ac:dyDescent="0.2">
      <c r="B2" t="s">
        <v>82</v>
      </c>
      <c r="M2" t="s">
        <v>0</v>
      </c>
      <c r="N2" s="1">
        <v>13</v>
      </c>
    </row>
    <row r="3" spans="2:14" x14ac:dyDescent="0.2">
      <c r="B3" t="s">
        <v>83</v>
      </c>
      <c r="M3" t="s">
        <v>1</v>
      </c>
      <c r="N3" s="15">
        <v>515.9</v>
      </c>
    </row>
    <row r="4" spans="2:14" x14ac:dyDescent="0.2">
      <c r="M4" t="s">
        <v>2</v>
      </c>
      <c r="N4" s="15">
        <f>N2*N3</f>
        <v>6706.7</v>
      </c>
    </row>
    <row r="5" spans="2:14" x14ac:dyDescent="0.2">
      <c r="B5" t="s">
        <v>102</v>
      </c>
      <c r="M5" t="s">
        <v>3</v>
      </c>
      <c r="N5" s="15">
        <v>1188.5999999999999</v>
      </c>
    </row>
    <row r="6" spans="2:14" x14ac:dyDescent="0.2">
      <c r="B6" t="s">
        <v>107</v>
      </c>
      <c r="M6" t="s">
        <v>4</v>
      </c>
      <c r="N6" s="15">
        <v>5521.8</v>
      </c>
    </row>
    <row r="7" spans="2:14" x14ac:dyDescent="0.2">
      <c r="M7" t="s">
        <v>5</v>
      </c>
      <c r="N7" s="15">
        <f>N4-N5+N6</f>
        <v>11039.900000000001</v>
      </c>
    </row>
    <row r="8" spans="2:14" x14ac:dyDescent="0.2">
      <c r="B8" t="s">
        <v>113</v>
      </c>
      <c r="I8" t="s">
        <v>111</v>
      </c>
    </row>
    <row r="9" spans="2:14" x14ac:dyDescent="0.2">
      <c r="B9" t="s">
        <v>114</v>
      </c>
    </row>
    <row r="10" spans="2:14" x14ac:dyDescent="0.2">
      <c r="B10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CA33-ACCE-4F6E-BC14-505D1708A040}">
  <dimension ref="A1:CT119"/>
  <sheetViews>
    <sheetView tabSelected="1" workbookViewId="0">
      <pane xSplit="2" ySplit="2" topLeftCell="C71" activePane="bottomRight" state="frozen"/>
      <selection pane="topRight" activeCell="C1" sqref="C1"/>
      <selection pane="bottomLeft" activeCell="A4" sqref="A4"/>
      <selection pane="bottomRight" activeCell="L85" sqref="L85"/>
    </sheetView>
  </sheetViews>
  <sheetFormatPr defaultRowHeight="12.75" x14ac:dyDescent="0.2"/>
  <cols>
    <col min="1" max="1" width="5" bestFit="1" customWidth="1"/>
    <col min="2" max="2" width="21.5703125" customWidth="1"/>
    <col min="3" max="13" width="9.140625" style="2"/>
    <col min="14" max="22" width="8.5703125" style="2" customWidth="1"/>
    <col min="45" max="45" width="9.7109375" bestFit="1" customWidth="1"/>
  </cols>
  <sheetData>
    <row r="1" spans="1:47" x14ac:dyDescent="0.2">
      <c r="A1" s="6" t="s">
        <v>6</v>
      </c>
    </row>
    <row r="2" spans="1:47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13</v>
      </c>
      <c r="Q2" s="2" t="s">
        <v>14</v>
      </c>
      <c r="R2" s="2" t="s">
        <v>15</v>
      </c>
      <c r="S2" s="2" t="s">
        <v>98</v>
      </c>
      <c r="T2" s="2" t="s">
        <v>99</v>
      </c>
      <c r="U2" s="2" t="s">
        <v>100</v>
      </c>
      <c r="V2" s="2" t="s">
        <v>101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F2">
        <v>2020</v>
      </c>
      <c r="AG2">
        <f>AF2+1</f>
        <v>2021</v>
      </c>
      <c r="AH2">
        <f t="shared" ref="AH2:AU2" si="0">AG2+1</f>
        <v>2022</v>
      </c>
      <c r="AI2">
        <f t="shared" si="0"/>
        <v>2023</v>
      </c>
      <c r="AJ2">
        <f t="shared" si="0"/>
        <v>2024</v>
      </c>
      <c r="AK2">
        <f t="shared" si="0"/>
        <v>2025</v>
      </c>
      <c r="AL2">
        <f t="shared" si="0"/>
        <v>2026</v>
      </c>
      <c r="AM2">
        <f t="shared" si="0"/>
        <v>2027</v>
      </c>
      <c r="AN2">
        <f t="shared" si="0"/>
        <v>2028</v>
      </c>
      <c r="AO2">
        <f t="shared" si="0"/>
        <v>2029</v>
      </c>
      <c r="AP2">
        <f t="shared" si="0"/>
        <v>2030</v>
      </c>
      <c r="AQ2">
        <f t="shared" si="0"/>
        <v>2031</v>
      </c>
      <c r="AR2">
        <f t="shared" si="0"/>
        <v>2032</v>
      </c>
      <c r="AS2">
        <f t="shared" si="0"/>
        <v>2033</v>
      </c>
      <c r="AT2">
        <f t="shared" si="0"/>
        <v>2034</v>
      </c>
      <c r="AU2">
        <f t="shared" si="0"/>
        <v>2035</v>
      </c>
    </row>
    <row r="3" spans="1:47" s="15" customFormat="1" x14ac:dyDescent="0.2">
      <c r="B3" s="15" t="s">
        <v>115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X3" s="15">
        <v>5317</v>
      </c>
      <c r="Y3" s="15">
        <v>5326</v>
      </c>
      <c r="Z3" s="15">
        <v>5463</v>
      </c>
      <c r="AA3" s="15">
        <v>5484</v>
      </c>
      <c r="AB3" s="15">
        <v>5472</v>
      </c>
      <c r="AC3" s="15">
        <v>5747</v>
      </c>
      <c r="AD3" s="15">
        <v>5803</v>
      </c>
      <c r="AE3" s="15">
        <v>5869</v>
      </c>
      <c r="AF3" s="15">
        <v>5798</v>
      </c>
    </row>
    <row r="4" spans="1:47" s="15" customFormat="1" x14ac:dyDescent="0.2">
      <c r="B4" s="15" t="s">
        <v>119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>
        <v>593</v>
      </c>
      <c r="O4" s="16"/>
      <c r="P4" s="16"/>
      <c r="Q4" s="16"/>
      <c r="R4" s="16"/>
      <c r="S4" s="16"/>
      <c r="T4" s="16"/>
      <c r="U4" s="16"/>
      <c r="V4" s="16"/>
    </row>
    <row r="5" spans="1:47" s="7" customFormat="1" x14ac:dyDescent="0.2">
      <c r="B5" s="7" t="s">
        <v>116</v>
      </c>
      <c r="C5" s="8"/>
      <c r="D5" s="8"/>
      <c r="E5" s="8"/>
      <c r="F5" s="8"/>
      <c r="G5" s="8"/>
      <c r="H5" s="8"/>
      <c r="I5" s="8"/>
      <c r="J5" s="16">
        <v>503</v>
      </c>
      <c r="K5" s="16"/>
      <c r="L5" s="8"/>
      <c r="M5" s="8"/>
      <c r="N5" s="16">
        <v>930</v>
      </c>
      <c r="O5" s="16">
        <v>938</v>
      </c>
      <c r="P5" s="8">
        <f>O5+5</f>
        <v>943</v>
      </c>
      <c r="Q5" s="8">
        <f t="shared" ref="Q5:R5" si="1">P5+5</f>
        <v>948</v>
      </c>
      <c r="R5" s="8">
        <f t="shared" si="1"/>
        <v>953</v>
      </c>
      <c r="S5" s="8"/>
      <c r="T5" s="8"/>
      <c r="U5" s="8"/>
      <c r="V5" s="8"/>
    </row>
    <row r="6" spans="1:47" s="7" customFormat="1" x14ac:dyDescent="0.2">
      <c r="B6" s="7" t="s">
        <v>90</v>
      </c>
      <c r="C6" s="8"/>
      <c r="D6" s="8"/>
      <c r="E6" s="8"/>
      <c r="F6" s="8"/>
      <c r="G6" s="8"/>
      <c r="H6" s="8"/>
      <c r="I6" s="8"/>
      <c r="J6" s="8">
        <f>J32/J5*1000</f>
        <v>323.06163021868787</v>
      </c>
      <c r="K6" s="8"/>
      <c r="L6" s="8"/>
      <c r="M6" s="8"/>
      <c r="N6" s="8">
        <f>N32/N5*1000</f>
        <v>1259.8924731182794</v>
      </c>
      <c r="O6" s="8">
        <f>O32/O5*1000</f>
        <v>837.63326226012794</v>
      </c>
      <c r="P6" s="8"/>
      <c r="Q6" s="8"/>
      <c r="R6" s="8"/>
      <c r="S6" s="8"/>
      <c r="T6" s="8"/>
      <c r="U6" s="8"/>
      <c r="V6" s="8"/>
    </row>
    <row r="7" spans="1:47" s="7" customForma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47" s="7" customFormat="1" x14ac:dyDescent="0.2">
      <c r="B8" s="7" t="s">
        <v>117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47" s="7" customFormat="1" x14ac:dyDescent="0.2">
      <c r="B9" s="7" t="s">
        <v>118</v>
      </c>
      <c r="C9" s="8"/>
      <c r="D9" s="8"/>
      <c r="E9" s="8"/>
      <c r="F9" s="8"/>
      <c r="G9" s="8"/>
      <c r="H9" s="8"/>
      <c r="I9" s="8"/>
      <c r="J9" s="16">
        <v>7231</v>
      </c>
      <c r="K9" s="16">
        <v>6724</v>
      </c>
      <c r="L9" s="8"/>
      <c r="M9" s="8"/>
      <c r="N9" s="16">
        <v>10177</v>
      </c>
      <c r="O9" s="16">
        <v>10493</v>
      </c>
      <c r="P9" s="8"/>
      <c r="Q9" s="8"/>
      <c r="R9" s="8"/>
      <c r="S9" s="8"/>
      <c r="T9" s="8"/>
      <c r="U9" s="8"/>
      <c r="V9" s="8"/>
    </row>
    <row r="10" spans="1:47" s="7" customFormat="1" x14ac:dyDescent="0.2">
      <c r="B10" s="7" t="s">
        <v>91</v>
      </c>
      <c r="C10" s="8"/>
      <c r="D10" s="8"/>
      <c r="E10" s="8"/>
      <c r="F10" s="8"/>
      <c r="G10" s="8"/>
      <c r="H10" s="8"/>
      <c r="I10" s="8"/>
      <c r="J10" s="8">
        <f>J32*1000/J9</f>
        <v>22.472687041902919</v>
      </c>
      <c r="K10" s="8">
        <f>K32*1000/K9</f>
        <v>22.055324211778704</v>
      </c>
      <c r="L10" s="8"/>
      <c r="M10" s="8"/>
      <c r="N10" s="8">
        <f>N32*1000/N9</f>
        <v>115.1321607546428</v>
      </c>
      <c r="O10" s="8">
        <f>O32*1000/O9</f>
        <v>74.878490422186204</v>
      </c>
      <c r="P10" s="8"/>
      <c r="Q10" s="8"/>
      <c r="R10" s="8"/>
      <c r="S10" s="8"/>
      <c r="T10" s="8"/>
      <c r="U10" s="8"/>
      <c r="V10" s="8"/>
    </row>
    <row r="11" spans="1:47" s="7" customFormat="1" x14ac:dyDescent="0.2">
      <c r="B11" s="7" t="s">
        <v>103</v>
      </c>
      <c r="C11" s="8"/>
      <c r="D11" s="8"/>
      <c r="E11" s="8"/>
      <c r="F11" s="8"/>
      <c r="G11" s="8"/>
      <c r="H11" s="8"/>
      <c r="I11" s="8"/>
      <c r="J11" s="16">
        <v>8092</v>
      </c>
      <c r="K11" s="16">
        <v>6797</v>
      </c>
      <c r="L11" s="16"/>
      <c r="M11" s="16"/>
      <c r="N11" s="16">
        <v>59683</v>
      </c>
      <c r="O11" s="16">
        <v>39075</v>
      </c>
      <c r="P11" s="8"/>
      <c r="Q11" s="8"/>
      <c r="R11" s="8"/>
      <c r="S11" s="8"/>
      <c r="T11" s="8"/>
      <c r="U11" s="8"/>
      <c r="V11" s="8"/>
    </row>
    <row r="12" spans="1:47" s="7" customFormat="1" x14ac:dyDescent="0.2">
      <c r="B12" s="7" t="s">
        <v>104</v>
      </c>
      <c r="C12" s="8"/>
      <c r="D12" s="8"/>
      <c r="E12" s="8"/>
      <c r="F12" s="8"/>
      <c r="G12" s="8"/>
      <c r="H12" s="8"/>
      <c r="I12" s="8"/>
      <c r="J12" s="8">
        <f>J32*1000/J11</f>
        <v>20.081562036579339</v>
      </c>
      <c r="K12" s="8">
        <f>K32*1000/K11</f>
        <v>21.818449315874652</v>
      </c>
      <c r="L12" s="8"/>
      <c r="M12" s="8"/>
      <c r="N12" s="8">
        <f>N32*1000/N11</f>
        <v>19.632056029355088</v>
      </c>
      <c r="O12" s="8">
        <f>O32*1000/O11</f>
        <v>20.107485604606524</v>
      </c>
      <c r="P12" s="8"/>
      <c r="Q12" s="8"/>
      <c r="R12" s="8"/>
      <c r="S12" s="8"/>
      <c r="T12" s="8"/>
      <c r="U12" s="8"/>
      <c r="V12" s="8"/>
    </row>
    <row r="13" spans="1:47" s="7" customFormat="1" x14ac:dyDescent="0.2">
      <c r="B13" s="7" t="s">
        <v>110</v>
      </c>
      <c r="C13" s="8"/>
      <c r="D13" s="8"/>
      <c r="E13" s="8"/>
      <c r="F13" s="8"/>
      <c r="G13" s="8"/>
      <c r="H13" s="8"/>
      <c r="I13" s="8"/>
      <c r="J13" s="3">
        <f>J29*1000/J11</f>
        <v>5.5363321799307954</v>
      </c>
      <c r="K13" s="3">
        <f>K29*1000/K11</f>
        <v>7.3708989259967632</v>
      </c>
      <c r="L13" s="8"/>
      <c r="M13" s="8"/>
      <c r="N13" s="3">
        <f>N29*1000/N11</f>
        <v>6.3753497645895818</v>
      </c>
      <c r="O13" s="3">
        <f>O29*1000/O11</f>
        <v>6.4619321817018553</v>
      </c>
      <c r="P13" s="8"/>
      <c r="Q13" s="8"/>
      <c r="R13" s="8"/>
      <c r="S13" s="8"/>
      <c r="T13" s="8"/>
      <c r="U13" s="8"/>
      <c r="V13" s="8"/>
    </row>
    <row r="16" spans="1:47" x14ac:dyDescent="0.2">
      <c r="B16" t="s">
        <v>84</v>
      </c>
      <c r="J16" s="2">
        <v>102.4</v>
      </c>
      <c r="K16" s="2">
        <v>137.19999999999999</v>
      </c>
      <c r="N16" s="2">
        <v>825.9</v>
      </c>
      <c r="O16" s="2">
        <v>563.1</v>
      </c>
    </row>
    <row r="17" spans="2:42" x14ac:dyDescent="0.2">
      <c r="B17" t="s">
        <v>105</v>
      </c>
      <c r="K17" s="2">
        <v>64.900000000000006</v>
      </c>
      <c r="N17" s="2">
        <v>464.3</v>
      </c>
      <c r="O17" s="2">
        <v>310.8</v>
      </c>
    </row>
    <row r="18" spans="2:42" x14ac:dyDescent="0.2">
      <c r="B18" t="s">
        <v>108</v>
      </c>
      <c r="K18" s="2">
        <v>20.2</v>
      </c>
      <c r="N18" s="2">
        <v>229.5</v>
      </c>
      <c r="O18" s="2">
        <v>138.69999999999999</v>
      </c>
    </row>
    <row r="19" spans="2:42" x14ac:dyDescent="0.2">
      <c r="B19" t="s">
        <v>109</v>
      </c>
      <c r="K19" s="24">
        <f>(K17-K18)/K17</f>
        <v>0.68875192604006163</v>
      </c>
      <c r="N19" s="24">
        <f>(N17-N18)/N17</f>
        <v>0.50570751669179415</v>
      </c>
      <c r="O19" s="24">
        <f>(O17-O18)/O17</f>
        <v>0.55373230373230375</v>
      </c>
    </row>
    <row r="20" spans="2:42" x14ac:dyDescent="0.2">
      <c r="B20" t="s">
        <v>85</v>
      </c>
      <c r="J20" s="2">
        <v>60.1</v>
      </c>
      <c r="K20" s="2">
        <v>11.1</v>
      </c>
      <c r="N20" s="2">
        <v>348.9</v>
      </c>
      <c r="O20" s="2">
        <v>222.6</v>
      </c>
    </row>
    <row r="21" spans="2:42" x14ac:dyDescent="0.2">
      <c r="B21" t="s">
        <v>105</v>
      </c>
      <c r="K21" s="8">
        <v>4.5999999999999996</v>
      </c>
      <c r="L21" s="8"/>
      <c r="M21" s="8"/>
      <c r="N21" s="8">
        <v>204</v>
      </c>
      <c r="O21" s="8">
        <v>133</v>
      </c>
    </row>
    <row r="22" spans="2:42" x14ac:dyDescent="0.2">
      <c r="B22" t="s">
        <v>108</v>
      </c>
      <c r="K22" s="8">
        <v>1.8</v>
      </c>
      <c r="L22" s="8"/>
      <c r="M22" s="8"/>
      <c r="N22" s="8">
        <v>81.3</v>
      </c>
      <c r="O22" s="8">
        <v>51.1</v>
      </c>
    </row>
    <row r="23" spans="2:42" x14ac:dyDescent="0.2">
      <c r="B23" t="s">
        <v>109</v>
      </c>
      <c r="K23" s="24">
        <f>(K21-K22)/K21</f>
        <v>0.60869565217391308</v>
      </c>
      <c r="L23" s="8"/>
      <c r="M23" s="8"/>
      <c r="N23" s="24">
        <f>(N21-N22)/N21</f>
        <v>0.60147058823529409</v>
      </c>
      <c r="O23" s="24">
        <f>(O21-O22)/O21</f>
        <v>0.61578947368421055</v>
      </c>
    </row>
    <row r="25" spans="2:42" s="15" customFormat="1" x14ac:dyDescent="0.2">
      <c r="B25" s="15" t="s">
        <v>63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X25" s="7">
        <v>10790</v>
      </c>
      <c r="Y25" s="7">
        <v>10922.050999999999</v>
      </c>
      <c r="Z25" s="7">
        <v>10822.806</v>
      </c>
      <c r="AA25" s="7">
        <v>11125.825000000001</v>
      </c>
      <c r="AB25" s="7">
        <v>11377.012000000001</v>
      </c>
      <c r="AC25" s="7">
        <v>11073.883</v>
      </c>
      <c r="AD25" s="7">
        <v>11888.638999999999</v>
      </c>
      <c r="AE25" s="7">
        <v>11320.800999999999</v>
      </c>
      <c r="AF25" s="7">
        <v>2103.0880000000002</v>
      </c>
      <c r="AG25" s="7">
        <v>4488.9139999999998</v>
      </c>
    </row>
    <row r="26" spans="2:42" x14ac:dyDescent="0.2">
      <c r="AD26" s="26">
        <f>AD25/AC25-1</f>
        <v>7.3574553749574445E-2</v>
      </c>
      <c r="AE26" s="26">
        <f>AE25/AD25-1</f>
        <v>-4.7763078683775273E-2</v>
      </c>
    </row>
    <row r="28" spans="2:42" s="7" customFormat="1" x14ac:dyDescent="0.2">
      <c r="B28" s="7" t="s">
        <v>24</v>
      </c>
      <c r="C28" s="8"/>
      <c r="D28" s="8"/>
      <c r="E28" s="8"/>
      <c r="F28" s="8">
        <v>877</v>
      </c>
      <c r="G28" s="8">
        <v>568</v>
      </c>
      <c r="H28" s="8">
        <v>0.9</v>
      </c>
      <c r="I28" s="8">
        <v>62.9</v>
      </c>
      <c r="J28" s="8">
        <v>80.3</v>
      </c>
      <c r="K28" s="8">
        <v>69.5</v>
      </c>
      <c r="L28" s="8">
        <v>233</v>
      </c>
      <c r="M28" s="8">
        <v>425.1</v>
      </c>
      <c r="N28" s="8">
        <v>666.6</v>
      </c>
      <c r="O28" s="8">
        <f>O21+O17</f>
        <v>443.8</v>
      </c>
      <c r="P28" s="8">
        <f>L28*2.4</f>
        <v>559.19999999999993</v>
      </c>
      <c r="Q28" s="8">
        <f>M28*1.4</f>
        <v>595.14</v>
      </c>
      <c r="R28" s="8">
        <f>N28*1.05</f>
        <v>699.93000000000006</v>
      </c>
      <c r="S28" s="8"/>
      <c r="T28" s="8"/>
      <c r="U28" s="8"/>
      <c r="V28" s="8"/>
      <c r="AB28" s="7">
        <v>2049.4</v>
      </c>
      <c r="AC28" s="7">
        <v>3229.5</v>
      </c>
      <c r="AD28" s="7">
        <v>3385</v>
      </c>
      <c r="AE28" s="7">
        <v>3301.3</v>
      </c>
      <c r="AF28" s="7">
        <f>SUM(G28:J28)</f>
        <v>712.09999999999991</v>
      </c>
      <c r="AG28" s="7">
        <f>SUM(K28:N28)</f>
        <v>1394.2</v>
      </c>
      <c r="AH28" s="7">
        <f>SUM(O28:R28)</f>
        <v>2298.0699999999997</v>
      </c>
      <c r="AI28" s="7">
        <f>AH28*1.2</f>
        <v>2757.6839999999997</v>
      </c>
      <c r="AJ28" s="7">
        <f>AI28*1.1</f>
        <v>3033.4524000000001</v>
      </c>
      <c r="AK28" s="7">
        <f>AJ28*1.05</f>
        <v>3185.1250200000004</v>
      </c>
      <c r="AL28" s="7">
        <f t="shared" ref="AL28:AP29" si="2">AK28*1.03</f>
        <v>3280.6787706000005</v>
      </c>
      <c r="AM28" s="7">
        <f t="shared" si="2"/>
        <v>3379.0991337180008</v>
      </c>
      <c r="AN28" s="7">
        <f t="shared" si="2"/>
        <v>3480.4721077295408</v>
      </c>
      <c r="AO28" s="7">
        <f t="shared" si="2"/>
        <v>3584.8862709614273</v>
      </c>
      <c r="AP28" s="7">
        <f t="shared" si="2"/>
        <v>3692.4328590902701</v>
      </c>
    </row>
    <row r="29" spans="2:42" s="7" customFormat="1" x14ac:dyDescent="0.2">
      <c r="B29" s="7" t="s">
        <v>25</v>
      </c>
      <c r="C29" s="8"/>
      <c r="D29" s="8"/>
      <c r="E29" s="8"/>
      <c r="F29" s="8">
        <v>438.3</v>
      </c>
      <c r="G29" s="8">
        <v>288.10000000000002</v>
      </c>
      <c r="H29" s="8">
        <v>0.4</v>
      </c>
      <c r="I29" s="8">
        <v>29.1</v>
      </c>
      <c r="J29" s="8">
        <v>44.8</v>
      </c>
      <c r="K29" s="8">
        <v>50.1</v>
      </c>
      <c r="L29" s="8">
        <v>161.5</v>
      </c>
      <c r="M29" s="8">
        <v>265.2</v>
      </c>
      <c r="N29" s="8">
        <v>380.5</v>
      </c>
      <c r="O29" s="8">
        <v>252.5</v>
      </c>
      <c r="P29" s="8">
        <f t="shared" ref="P29:P31" si="3">L29*2.4</f>
        <v>387.59999999999997</v>
      </c>
      <c r="Q29" s="8">
        <f t="shared" ref="Q29:Q31" si="4">M29*1.4</f>
        <v>371.28</v>
      </c>
      <c r="R29" s="8">
        <f>N29*1.05</f>
        <v>399.52500000000003</v>
      </c>
      <c r="S29" s="8"/>
      <c r="T29" s="8"/>
      <c r="U29" s="8"/>
      <c r="V29" s="8"/>
      <c r="AB29" s="7">
        <v>1019.1</v>
      </c>
      <c r="AC29" s="7">
        <v>1548.4</v>
      </c>
      <c r="AD29" s="7">
        <v>1671.5</v>
      </c>
      <c r="AE29" s="7">
        <v>1719.6</v>
      </c>
      <c r="AF29" s="7">
        <f t="shared" ref="AF29" si="5">SUM(G29:J29)</f>
        <v>362.40000000000003</v>
      </c>
      <c r="AG29" s="7">
        <f t="shared" ref="AG29" si="6">SUM(K29:N29)</f>
        <v>857.3</v>
      </c>
      <c r="AH29" s="7">
        <f t="shared" ref="AH29:AH31" si="7">SUM(O29:R29)</f>
        <v>1410.905</v>
      </c>
      <c r="AI29" s="7">
        <f t="shared" ref="AI29:AI31" si="8">AH29*1.2</f>
        <v>1693.086</v>
      </c>
      <c r="AJ29" s="7">
        <f t="shared" ref="AJ29:AJ31" si="9">AI29*1.1</f>
        <v>1862.3946000000001</v>
      </c>
      <c r="AK29" s="7">
        <f t="shared" ref="AK29" si="10">AJ29*1.05</f>
        <v>1955.5143300000002</v>
      </c>
      <c r="AL29" s="7">
        <f t="shared" si="2"/>
        <v>2014.1797599000004</v>
      </c>
      <c r="AM29" s="7">
        <f t="shared" si="2"/>
        <v>2074.6051526970004</v>
      </c>
      <c r="AN29" s="7">
        <f t="shared" si="2"/>
        <v>2136.8433072779103</v>
      </c>
      <c r="AO29" s="7">
        <f t="shared" si="2"/>
        <v>2200.9486064962475</v>
      </c>
      <c r="AP29" s="7">
        <f t="shared" si="2"/>
        <v>2266.9770646911352</v>
      </c>
    </row>
    <row r="30" spans="2:42" s="7" customFormat="1" x14ac:dyDescent="0.2">
      <c r="B30" s="7" t="s">
        <v>81</v>
      </c>
      <c r="C30" s="8"/>
      <c r="D30" s="8"/>
      <c r="E30" s="8"/>
      <c r="F30" s="8"/>
      <c r="G30" s="8"/>
      <c r="H30" s="8"/>
      <c r="I30" s="8"/>
      <c r="J30" s="8"/>
      <c r="K30" s="8">
        <v>16.899999999999999</v>
      </c>
      <c r="L30" s="8"/>
      <c r="M30" s="8"/>
      <c r="N30" s="8"/>
      <c r="O30" s="8">
        <v>28.9</v>
      </c>
      <c r="P30" s="8"/>
      <c r="Q30" s="8"/>
      <c r="R30" s="8"/>
      <c r="S30" s="8"/>
      <c r="T30" s="8"/>
      <c r="U30" s="8"/>
      <c r="V30" s="8"/>
      <c r="AE30" s="7">
        <v>143</v>
      </c>
      <c r="AF30" s="7">
        <v>80.5</v>
      </c>
      <c r="AG30" s="7">
        <v>95.3</v>
      </c>
    </row>
    <row r="31" spans="2:42" s="7" customFormat="1" x14ac:dyDescent="0.2">
      <c r="B31" s="7" t="s">
        <v>26</v>
      </c>
      <c r="C31" s="8"/>
      <c r="D31" s="8"/>
      <c r="E31" s="8"/>
      <c r="F31" s="8">
        <v>132.4</v>
      </c>
      <c r="G31" s="8">
        <v>85.4</v>
      </c>
      <c r="H31" s="8">
        <v>17.600000000000001</v>
      </c>
      <c r="I31" s="8">
        <v>27.5</v>
      </c>
      <c r="J31" s="8">
        <v>37.4</v>
      </c>
      <c r="K31" s="8">
        <v>11.8</v>
      </c>
      <c r="L31" s="8">
        <v>50.2</v>
      </c>
      <c r="M31" s="8">
        <v>72.900000000000006</v>
      </c>
      <c r="N31" s="8">
        <v>124.6</v>
      </c>
      <c r="O31" s="8">
        <v>60.5</v>
      </c>
      <c r="P31" s="8">
        <f t="shared" si="3"/>
        <v>120.48</v>
      </c>
      <c r="Q31" s="8">
        <f t="shared" si="4"/>
        <v>102.06</v>
      </c>
      <c r="R31" s="8">
        <f>N31*1.05</f>
        <v>130.83000000000001</v>
      </c>
      <c r="S31" s="8"/>
      <c r="T31" s="8"/>
      <c r="U31" s="8"/>
      <c r="V31" s="8"/>
      <c r="AB31" s="7">
        <v>167.4</v>
      </c>
      <c r="AC31" s="7">
        <v>301.33999999999997</v>
      </c>
      <c r="AD31" s="7">
        <v>404.3</v>
      </c>
      <c r="AE31" s="7">
        <v>307.10000000000002</v>
      </c>
      <c r="AF31" s="7">
        <v>87.4</v>
      </c>
      <c r="AG31" s="7">
        <v>181.1</v>
      </c>
      <c r="AH31" s="7">
        <f t="shared" si="7"/>
        <v>413.87</v>
      </c>
      <c r="AI31" s="7">
        <f t="shared" si="8"/>
        <v>496.64400000000001</v>
      </c>
      <c r="AJ31" s="7">
        <f t="shared" si="9"/>
        <v>546.30840000000001</v>
      </c>
      <c r="AK31" s="7">
        <f t="shared" ref="AK31:AP31" si="11">AJ31*1.05</f>
        <v>573.62382000000002</v>
      </c>
      <c r="AL31" s="7">
        <f t="shared" si="11"/>
        <v>602.30501100000004</v>
      </c>
      <c r="AM31" s="7">
        <f t="shared" si="11"/>
        <v>632.42026155000008</v>
      </c>
      <c r="AN31" s="7">
        <f t="shared" si="11"/>
        <v>664.04127462750012</v>
      </c>
      <c r="AO31" s="7">
        <f t="shared" si="11"/>
        <v>697.24333835887512</v>
      </c>
      <c r="AP31" s="7">
        <f t="shared" si="11"/>
        <v>732.10550527681892</v>
      </c>
    </row>
    <row r="32" spans="2:42" s="9" customFormat="1" x14ac:dyDescent="0.2">
      <c r="B32" s="9" t="s">
        <v>7</v>
      </c>
      <c r="C32" s="10"/>
      <c r="D32" s="10"/>
      <c r="E32" s="10"/>
      <c r="F32" s="10">
        <f t="shared" ref="F32" si="12">SUM(F28:F31)</f>
        <v>1447.7</v>
      </c>
      <c r="G32" s="10">
        <f t="shared" ref="G32" si="13">SUM(G28:G31)</f>
        <v>941.5</v>
      </c>
      <c r="H32" s="10">
        <f t="shared" ref="H32:I32" si="14">SUM(H28:H31)</f>
        <v>18.900000000000002</v>
      </c>
      <c r="I32" s="10">
        <f t="shared" si="14"/>
        <v>119.5</v>
      </c>
      <c r="J32" s="10">
        <f t="shared" ref="J32:N32" si="15">SUM(J28:J31)</f>
        <v>162.5</v>
      </c>
      <c r="K32" s="10">
        <f t="shared" si="15"/>
        <v>148.30000000000001</v>
      </c>
      <c r="L32" s="10">
        <f t="shared" si="15"/>
        <v>444.7</v>
      </c>
      <c r="M32" s="10">
        <f t="shared" si="15"/>
        <v>763.19999999999993</v>
      </c>
      <c r="N32" s="10">
        <f t="shared" si="15"/>
        <v>1171.6999999999998</v>
      </c>
      <c r="O32" s="10">
        <f>SUM(O28:O31)</f>
        <v>785.69999999999993</v>
      </c>
      <c r="P32" s="10">
        <f t="shared" ref="P32:R32" si="16">SUM(P28:P31)</f>
        <v>1067.28</v>
      </c>
      <c r="Q32" s="10">
        <f t="shared" si="16"/>
        <v>1068.48</v>
      </c>
      <c r="R32" s="10">
        <f t="shared" si="16"/>
        <v>1230.2850000000001</v>
      </c>
      <c r="S32" s="10"/>
      <c r="T32" s="10"/>
      <c r="U32" s="10"/>
      <c r="V32" s="10"/>
      <c r="AB32" s="10">
        <f t="shared" ref="AB32" si="17">SUM(AB28:AB31)</f>
        <v>3235.9</v>
      </c>
      <c r="AC32" s="10">
        <f t="shared" ref="AC32" si="18">SUM(AC28:AC31)</f>
        <v>5079.24</v>
      </c>
      <c r="AD32" s="10">
        <f t="shared" ref="AD32" si="19">SUM(AD28:AD31)</f>
        <v>5460.8</v>
      </c>
      <c r="AE32" s="10">
        <f>SUM(AE28:AE31)</f>
        <v>5471</v>
      </c>
      <c r="AF32" s="10">
        <f>SUM(AF28:AF31)</f>
        <v>1242.4000000000001</v>
      </c>
      <c r="AG32" s="10">
        <f t="shared" ref="AG32:AH32" si="20">SUM(AG28:AG31)</f>
        <v>2527.9</v>
      </c>
      <c r="AH32" s="10">
        <f t="shared" si="20"/>
        <v>4122.8449999999993</v>
      </c>
      <c r="AI32" s="10">
        <f t="shared" ref="AI32" si="21">SUM(AI28:AI31)</f>
        <v>4947.4139999999998</v>
      </c>
      <c r="AJ32" s="10">
        <f t="shared" ref="AJ32" si="22">SUM(AJ28:AJ31)</f>
        <v>5442.1553999999996</v>
      </c>
      <c r="AK32" s="10">
        <f t="shared" ref="AK32" si="23">SUM(AK28:AK31)</f>
        <v>5714.2631700000002</v>
      </c>
      <c r="AL32" s="10">
        <f t="shared" ref="AL32" si="24">SUM(AL28:AL31)</f>
        <v>5897.163541500001</v>
      </c>
      <c r="AM32" s="10">
        <f t="shared" ref="AM32" si="25">SUM(AM28:AM31)</f>
        <v>6086.1245479650006</v>
      </c>
      <c r="AN32" s="10">
        <f t="shared" ref="AN32" si="26">SUM(AN28:AN31)</f>
        <v>6281.3566896349512</v>
      </c>
      <c r="AO32" s="10">
        <f t="shared" ref="AO32" si="27">SUM(AO28:AO31)</f>
        <v>6483.0782158165503</v>
      </c>
      <c r="AP32" s="10">
        <f t="shared" ref="AP32" si="28">SUM(AP28:AP31)</f>
        <v>6691.5154290582241</v>
      </c>
    </row>
    <row r="33" spans="2:98" s="7" customFormat="1" x14ac:dyDescent="0.2">
      <c r="B33" s="7" t="s">
        <v>27</v>
      </c>
      <c r="C33" s="8"/>
      <c r="D33" s="8"/>
      <c r="E33" s="8"/>
      <c r="F33" s="8">
        <v>434.5</v>
      </c>
      <c r="G33" s="8">
        <v>271.7</v>
      </c>
      <c r="H33" s="8">
        <v>0.2</v>
      </c>
      <c r="I33" s="8">
        <v>26.6</v>
      </c>
      <c r="J33" s="8">
        <v>24.2</v>
      </c>
      <c r="K33" s="8">
        <v>22</v>
      </c>
      <c r="L33" s="8">
        <v>98.9</v>
      </c>
      <c r="M33" s="8">
        <v>176.5</v>
      </c>
      <c r="N33" s="8">
        <v>310.3</v>
      </c>
      <c r="O33" s="8">
        <v>189.8</v>
      </c>
      <c r="P33" s="8">
        <v>189.8</v>
      </c>
      <c r="Q33" s="8">
        <v>189.8</v>
      </c>
      <c r="R33" s="8">
        <v>189.8</v>
      </c>
      <c r="S33" s="8"/>
      <c r="T33" s="8"/>
      <c r="U33" s="8"/>
      <c r="V33" s="8"/>
      <c r="AB33" s="7">
        <v>1089.5</v>
      </c>
      <c r="AC33" s="7">
        <v>1604.3</v>
      </c>
      <c r="AD33" s="7">
        <v>1710.2</v>
      </c>
      <c r="AE33" s="7">
        <v>1699.1</v>
      </c>
      <c r="AF33" s="7">
        <f t="shared" ref="AF33:AF37" si="29">SUM(G33:J33)</f>
        <v>322.7</v>
      </c>
      <c r="AG33" s="7">
        <f t="shared" ref="AG33:AG37" si="30">SUM(K33:N33)</f>
        <v>607.70000000000005</v>
      </c>
      <c r="AH33" s="7">
        <f>SUM(O33:R33)</f>
        <v>759.2</v>
      </c>
      <c r="AI33" s="7">
        <f>AH33*1.2</f>
        <v>911.04000000000008</v>
      </c>
      <c r="AJ33" s="7">
        <f>AI33*1.1</f>
        <v>1002.1440000000001</v>
      </c>
      <c r="AK33" s="7">
        <f>AJ33*1.05</f>
        <v>1052.2512000000002</v>
      </c>
      <c r="AL33" s="7">
        <f>AK33*1.05</f>
        <v>1104.8637600000002</v>
      </c>
      <c r="AM33" s="7">
        <f>AL33*1.03</f>
        <v>1138.0096728000003</v>
      </c>
      <c r="AN33" s="7">
        <f>AM33*1.03</f>
        <v>1172.1499629840005</v>
      </c>
      <c r="AO33" s="7">
        <f>AN33*1.04</f>
        <v>1219.0359615033606</v>
      </c>
      <c r="AP33" s="7">
        <f>AO33*1.04</f>
        <v>1267.7973999634951</v>
      </c>
    </row>
    <row r="34" spans="2:98" s="7" customFormat="1" x14ac:dyDescent="0.2">
      <c r="B34" s="7" t="s">
        <v>25</v>
      </c>
      <c r="C34" s="8"/>
      <c r="D34" s="8"/>
      <c r="E34" s="8"/>
      <c r="F34" s="8">
        <v>73.599999999999994</v>
      </c>
      <c r="G34" s="8">
        <v>53.4</v>
      </c>
      <c r="H34" s="8">
        <v>4.5</v>
      </c>
      <c r="I34" s="8">
        <v>8.8000000000000007</v>
      </c>
      <c r="J34" s="8">
        <v>22.1</v>
      </c>
      <c r="K34" s="8">
        <v>9.6999999999999993</v>
      </c>
      <c r="L34" s="8">
        <v>26.3</v>
      </c>
      <c r="M34" s="8">
        <v>42.9</v>
      </c>
      <c r="N34" s="8">
        <v>59</v>
      </c>
      <c r="O34" s="8">
        <v>42.6</v>
      </c>
      <c r="P34" s="8">
        <f>O34+3</f>
        <v>45.6</v>
      </c>
      <c r="Q34" s="8">
        <f t="shared" ref="Q34:R34" si="31">P34+3</f>
        <v>48.6</v>
      </c>
      <c r="R34" s="8">
        <f t="shared" si="31"/>
        <v>51.6</v>
      </c>
      <c r="S34" s="8"/>
      <c r="T34" s="8"/>
      <c r="U34" s="8"/>
      <c r="V34" s="8"/>
      <c r="AB34" s="7">
        <v>142.19999999999999</v>
      </c>
      <c r="AC34" s="7">
        <v>252.1</v>
      </c>
      <c r="AD34" s="7">
        <v>270.89999999999998</v>
      </c>
      <c r="AE34" s="7">
        <v>278.7</v>
      </c>
      <c r="AF34" s="7">
        <f t="shared" si="29"/>
        <v>88.800000000000011</v>
      </c>
      <c r="AG34" s="7">
        <f t="shared" si="30"/>
        <v>137.9</v>
      </c>
      <c r="AH34" s="7">
        <f>SUM(O34:R34)</f>
        <v>188.4</v>
      </c>
      <c r="AI34" s="7">
        <f>AH34*1.15</f>
        <v>216.66</v>
      </c>
      <c r="AJ34" s="7">
        <f t="shared" ref="AJ34:AJ37" si="32">AI34*1.05</f>
        <v>227.49299999999999</v>
      </c>
      <c r="AK34" s="7">
        <f t="shared" ref="AK34:AP34" si="33">AJ34*1.03</f>
        <v>234.31779</v>
      </c>
      <c r="AL34" s="7">
        <f t="shared" si="33"/>
        <v>241.3473237</v>
      </c>
      <c r="AM34" s="7">
        <f t="shared" si="33"/>
        <v>248.58774341100002</v>
      </c>
      <c r="AN34" s="7">
        <f t="shared" si="33"/>
        <v>256.04537571333003</v>
      </c>
      <c r="AO34" s="7">
        <f t="shared" si="33"/>
        <v>263.72673698472994</v>
      </c>
      <c r="AP34" s="7">
        <f t="shared" si="33"/>
        <v>271.63853909427183</v>
      </c>
    </row>
    <row r="35" spans="2:98" s="7" customFormat="1" x14ac:dyDescent="0.2">
      <c r="B35" s="7" t="s">
        <v>28</v>
      </c>
      <c r="C35" s="8"/>
      <c r="D35" s="8"/>
      <c r="E35" s="8"/>
      <c r="F35" s="8">
        <v>427.4</v>
      </c>
      <c r="G35" s="8">
        <v>356.9</v>
      </c>
      <c r="H35" s="8">
        <v>114.8</v>
      </c>
      <c r="I35" s="8">
        <v>192.1</v>
      </c>
      <c r="J35" s="8">
        <v>192.2</v>
      </c>
      <c r="K35" s="8">
        <v>179.7</v>
      </c>
      <c r="L35" s="8">
        <v>246.2</v>
      </c>
      <c r="M35" s="8">
        <v>321.5</v>
      </c>
      <c r="N35" s="8">
        <v>394.4</v>
      </c>
      <c r="O35" s="8">
        <v>344.8</v>
      </c>
      <c r="P35" s="8">
        <f>O35+10</f>
        <v>354.8</v>
      </c>
      <c r="Q35" s="8">
        <f t="shared" ref="Q35:R35" si="34">P35+10</f>
        <v>364.8</v>
      </c>
      <c r="R35" s="8">
        <f t="shared" si="34"/>
        <v>374.8</v>
      </c>
      <c r="S35" s="8"/>
      <c r="T35" s="8"/>
      <c r="U35" s="8"/>
      <c r="V35" s="8"/>
      <c r="AB35" s="7">
        <v>873.5</v>
      </c>
      <c r="AC35" s="7">
        <v>1548</v>
      </c>
      <c r="AD35" s="7">
        <v>1654.7</v>
      </c>
      <c r="AE35" s="7">
        <v>1686.6</v>
      </c>
      <c r="AF35" s="7">
        <f t="shared" si="29"/>
        <v>856</v>
      </c>
      <c r="AG35" s="7">
        <f t="shared" si="30"/>
        <v>1141.8</v>
      </c>
      <c r="AH35" s="7">
        <f>SUM(O35:R35)</f>
        <v>1439.2</v>
      </c>
      <c r="AI35" s="7">
        <f>AH35*1.18</f>
        <v>1698.2559999999999</v>
      </c>
      <c r="AJ35" s="7">
        <f>AI35*1.1</f>
        <v>1868.0816</v>
      </c>
      <c r="AK35" s="7">
        <f>AJ35*1.08</f>
        <v>2017.5281280000002</v>
      </c>
      <c r="AL35" s="7">
        <f>AK35*1.05</f>
        <v>2118.4045344000001</v>
      </c>
      <c r="AM35" s="7">
        <f>AL35*1.05</f>
        <v>2224.3247611200004</v>
      </c>
      <c r="AN35" s="7">
        <f t="shared" ref="AN35:AP35" si="35">AM35*1.03</f>
        <v>2291.0545039536005</v>
      </c>
      <c r="AO35" s="7">
        <f t="shared" si="35"/>
        <v>2359.7861390722087</v>
      </c>
      <c r="AP35" s="7">
        <f t="shared" si="35"/>
        <v>2430.5797232443751</v>
      </c>
    </row>
    <row r="36" spans="2:98" s="7" customFormat="1" x14ac:dyDescent="0.2">
      <c r="B36" s="7" t="s">
        <v>29</v>
      </c>
      <c r="C36" s="8"/>
      <c r="D36" s="8"/>
      <c r="E36" s="8"/>
      <c r="F36" s="8">
        <v>241.2</v>
      </c>
      <c r="G36" s="8">
        <v>237.8</v>
      </c>
      <c r="H36" s="8">
        <v>224.1</v>
      </c>
      <c r="I36" s="8">
        <v>214.3</v>
      </c>
      <c r="J36" s="8">
        <v>207.9</v>
      </c>
      <c r="K36" s="8">
        <v>192.1</v>
      </c>
      <c r="L36" s="8">
        <v>205.5</v>
      </c>
      <c r="M36" s="8">
        <v>214.9</v>
      </c>
      <c r="N36" s="8">
        <v>215.5</v>
      </c>
      <c r="O36" s="8">
        <v>223.2</v>
      </c>
      <c r="P36" s="8">
        <f t="shared" ref="P36:R36" si="36">O36+10</f>
        <v>233.2</v>
      </c>
      <c r="Q36" s="8">
        <f t="shared" si="36"/>
        <v>243.2</v>
      </c>
      <c r="R36" s="8">
        <f t="shared" si="36"/>
        <v>253.2</v>
      </c>
      <c r="S36" s="8"/>
      <c r="T36" s="8"/>
      <c r="U36" s="8"/>
      <c r="V36" s="8"/>
      <c r="AB36" s="7">
        <v>505.5</v>
      </c>
      <c r="AC36" s="7">
        <v>794.4</v>
      </c>
      <c r="AD36" s="7">
        <v>797.8</v>
      </c>
      <c r="AE36" s="7">
        <v>967.8</v>
      </c>
      <c r="AF36" s="7">
        <f t="shared" si="29"/>
        <v>884.1</v>
      </c>
      <c r="AG36" s="7">
        <f t="shared" si="30"/>
        <v>828</v>
      </c>
      <c r="AH36" s="7">
        <f>SUM(O36:R36)</f>
        <v>952.8</v>
      </c>
      <c r="AI36" s="7">
        <f>AH36*1.15</f>
        <v>1095.7199999999998</v>
      </c>
      <c r="AJ36" s="7">
        <f t="shared" si="32"/>
        <v>1150.5059999999999</v>
      </c>
      <c r="AK36" s="7">
        <f t="shared" ref="AK36:AP36" si="37">AJ36*1.03</f>
        <v>1185.02118</v>
      </c>
      <c r="AL36" s="7">
        <f t="shared" si="37"/>
        <v>1220.5718153999999</v>
      </c>
      <c r="AM36" s="7">
        <f t="shared" si="37"/>
        <v>1257.1889698619998</v>
      </c>
      <c r="AN36" s="7">
        <f t="shared" si="37"/>
        <v>1294.9046389578598</v>
      </c>
      <c r="AO36" s="7">
        <f t="shared" si="37"/>
        <v>1333.7517781265956</v>
      </c>
      <c r="AP36" s="7">
        <f t="shared" si="37"/>
        <v>1373.7643314703935</v>
      </c>
    </row>
    <row r="37" spans="2:98" s="7" customFormat="1" x14ac:dyDescent="0.2">
      <c r="B37" s="7" t="s">
        <v>30</v>
      </c>
      <c r="C37" s="8"/>
      <c r="D37" s="8"/>
      <c r="E37" s="8"/>
      <c r="F37" s="8">
        <v>26.1</v>
      </c>
      <c r="G37" s="8">
        <v>33.200000000000003</v>
      </c>
      <c r="H37" s="8">
        <v>25.4</v>
      </c>
      <c r="I37" s="8">
        <v>32.700000000000003</v>
      </c>
      <c r="J37" s="8">
        <v>65.400000000000006</v>
      </c>
      <c r="K37" s="8">
        <v>51.8</v>
      </c>
      <c r="L37" s="8">
        <v>54.4</v>
      </c>
      <c r="M37" s="8">
        <v>47.5</v>
      </c>
      <c r="N37" s="8">
        <v>72.900000000000006</v>
      </c>
      <c r="O37" s="8">
        <v>53.1</v>
      </c>
      <c r="P37" s="8">
        <f>O37+5</f>
        <v>58.1</v>
      </c>
      <c r="Q37" s="8">
        <f t="shared" ref="Q37:R37" si="38">P37+5</f>
        <v>63.1</v>
      </c>
      <c r="R37" s="8">
        <f t="shared" si="38"/>
        <v>68.099999999999994</v>
      </c>
      <c r="S37" s="8"/>
      <c r="T37" s="8"/>
      <c r="U37" s="8"/>
      <c r="V37" s="8"/>
      <c r="AB37" s="7">
        <v>90.7</v>
      </c>
      <c r="AC37" s="7">
        <v>133.19999999999999</v>
      </c>
      <c r="AD37" s="7">
        <v>179.3</v>
      </c>
      <c r="AE37" s="7">
        <v>153</v>
      </c>
      <c r="AF37" s="7">
        <f t="shared" si="29"/>
        <v>156.70000000000002</v>
      </c>
      <c r="AG37" s="7">
        <f t="shared" si="30"/>
        <v>226.6</v>
      </c>
      <c r="AH37" s="7">
        <f>SUM(O37:R37)</f>
        <v>242.4</v>
      </c>
      <c r="AI37" s="7">
        <f>AH37*1.15</f>
        <v>278.76</v>
      </c>
      <c r="AJ37" s="7">
        <f t="shared" si="32"/>
        <v>292.69799999999998</v>
      </c>
      <c r="AK37" s="7">
        <f t="shared" ref="AK37:AP37" si="39">AJ37*1.03</f>
        <v>301.47893999999997</v>
      </c>
      <c r="AL37" s="7">
        <f t="shared" si="39"/>
        <v>310.52330819999997</v>
      </c>
      <c r="AM37" s="7">
        <f t="shared" si="39"/>
        <v>319.83900744599998</v>
      </c>
      <c r="AN37" s="7">
        <f t="shared" si="39"/>
        <v>329.43417766938001</v>
      </c>
      <c r="AO37" s="7">
        <f t="shared" si="39"/>
        <v>339.31720299946141</v>
      </c>
      <c r="AP37" s="7">
        <f t="shared" si="39"/>
        <v>349.49671908944526</v>
      </c>
    </row>
    <row r="38" spans="2:98" s="7" customFormat="1" x14ac:dyDescent="0.2">
      <c r="B38" s="7" t="s">
        <v>31</v>
      </c>
      <c r="C38" s="8"/>
      <c r="D38" s="8"/>
      <c r="E38" s="8"/>
      <c r="F38" s="8">
        <f t="shared" ref="F38" si="40">SUM(F33:F37)</f>
        <v>1202.8</v>
      </c>
      <c r="G38" s="8">
        <f t="shared" ref="G38" si="41">SUM(G33:G37)</f>
        <v>953</v>
      </c>
      <c r="H38" s="8">
        <f t="shared" ref="H38:I38" si="42">SUM(H33:H37)</f>
        <v>369</v>
      </c>
      <c r="I38" s="8">
        <f t="shared" si="42"/>
        <v>474.5</v>
      </c>
      <c r="J38" s="8">
        <f t="shared" ref="J38:N38" si="43">SUM(J33:J37)</f>
        <v>511.79999999999995</v>
      </c>
      <c r="K38" s="8">
        <f t="shared" si="43"/>
        <v>455.3</v>
      </c>
      <c r="L38" s="8">
        <f t="shared" si="43"/>
        <v>631.29999999999995</v>
      </c>
      <c r="M38" s="8">
        <f t="shared" si="43"/>
        <v>803.3</v>
      </c>
      <c r="N38" s="8">
        <f t="shared" si="43"/>
        <v>1052.1000000000001</v>
      </c>
      <c r="O38" s="8">
        <f>SUM(O33:O37)</f>
        <v>853.50000000000011</v>
      </c>
      <c r="P38" s="8">
        <f t="shared" ref="P38:R38" si="44">SUM(P33:P37)</f>
        <v>881.50000000000011</v>
      </c>
      <c r="Q38" s="8">
        <f t="shared" si="44"/>
        <v>909.50000000000011</v>
      </c>
      <c r="R38" s="8">
        <f t="shared" si="44"/>
        <v>937.50000000000011</v>
      </c>
      <c r="S38" s="8"/>
      <c r="T38" s="8"/>
      <c r="U38" s="8"/>
      <c r="V38" s="8"/>
      <c r="AB38" s="8">
        <f t="shared" ref="AB38" si="45">SUM(AB33:AB37)</f>
        <v>2701.3999999999996</v>
      </c>
      <c r="AC38" s="8">
        <f t="shared" ref="AC38" si="46">SUM(AC33:AC37)</f>
        <v>4331.9999999999991</v>
      </c>
      <c r="AD38" s="8">
        <f t="shared" ref="AD38" si="47">SUM(AD33:AD37)</f>
        <v>4612.9000000000005</v>
      </c>
      <c r="AE38" s="8">
        <f>SUM(AE33:AE37)</f>
        <v>4785.2</v>
      </c>
      <c r="AF38" s="8">
        <f>SUM(AF33:AF37)</f>
        <v>2308.2999999999997</v>
      </c>
      <c r="AG38" s="8">
        <f>SUM(AG33:AG37)</f>
        <v>2942</v>
      </c>
      <c r="AH38" s="8">
        <f>SUM(AH33:AH37)</f>
        <v>3582.0000000000005</v>
      </c>
      <c r="AI38" s="8">
        <f>SUM(AI33:AI37)</f>
        <v>4200.4359999999997</v>
      </c>
      <c r="AJ38" s="8">
        <f t="shared" ref="AJ38:AP38" si="48">SUM(AJ33:AJ37)</f>
        <v>4540.9225999999999</v>
      </c>
      <c r="AK38" s="8">
        <f t="shared" si="48"/>
        <v>4790.5972380000003</v>
      </c>
      <c r="AL38" s="8">
        <f t="shared" si="48"/>
        <v>4995.7107417000007</v>
      </c>
      <c r="AM38" s="8">
        <f t="shared" si="48"/>
        <v>5187.9501546390011</v>
      </c>
      <c r="AN38" s="8">
        <f t="shared" si="48"/>
        <v>5343.5886592781708</v>
      </c>
      <c r="AO38" s="8">
        <f t="shared" si="48"/>
        <v>5515.6178186863553</v>
      </c>
      <c r="AP38" s="8">
        <f t="shared" si="48"/>
        <v>5693.2767128619807</v>
      </c>
    </row>
    <row r="39" spans="2:98" s="7" customFormat="1" x14ac:dyDescent="0.2">
      <c r="B39" s="7" t="s">
        <v>32</v>
      </c>
      <c r="C39" s="8"/>
      <c r="D39" s="8"/>
      <c r="E39" s="8"/>
      <c r="F39" s="8">
        <f t="shared" ref="F39" si="49">F32-F38</f>
        <v>244.90000000000009</v>
      </c>
      <c r="G39" s="8">
        <f t="shared" ref="G39" si="50">G32-G38</f>
        <v>-11.5</v>
      </c>
      <c r="H39" s="8">
        <f t="shared" ref="H39:I39" si="51">H32-H38</f>
        <v>-350.1</v>
      </c>
      <c r="I39" s="8">
        <f t="shared" si="51"/>
        <v>-355</v>
      </c>
      <c r="J39" s="8">
        <f t="shared" ref="J39:M39" si="52">J32-J38</f>
        <v>-349.29999999999995</v>
      </c>
      <c r="K39" s="8">
        <f t="shared" si="52"/>
        <v>-307</v>
      </c>
      <c r="L39" s="8">
        <f t="shared" si="52"/>
        <v>-186.59999999999997</v>
      </c>
      <c r="M39" s="8">
        <f t="shared" si="52"/>
        <v>-40.100000000000023</v>
      </c>
      <c r="N39" s="8">
        <f>N32-N38</f>
        <v>119.59999999999968</v>
      </c>
      <c r="O39" s="8">
        <f>O32-O38</f>
        <v>-67.800000000000182</v>
      </c>
      <c r="P39" s="8">
        <f t="shared" ref="P39:R39" si="53">P32-P38</f>
        <v>185.77999999999986</v>
      </c>
      <c r="Q39" s="8">
        <f t="shared" si="53"/>
        <v>158.9799999999999</v>
      </c>
      <c r="R39" s="8">
        <f t="shared" si="53"/>
        <v>292.78499999999997</v>
      </c>
      <c r="S39" s="8"/>
      <c r="T39" s="8"/>
      <c r="U39" s="8"/>
      <c r="V39" s="8"/>
      <c r="AB39" s="8">
        <f t="shared" ref="AB39" si="54">AB32-AB38</f>
        <v>534.50000000000045</v>
      </c>
      <c r="AC39" s="8">
        <f t="shared" ref="AC39" si="55">AC32-AC38</f>
        <v>747.24000000000069</v>
      </c>
      <c r="AD39" s="8">
        <f t="shared" ref="AD39" si="56">AD32-AD38</f>
        <v>847.89999999999964</v>
      </c>
      <c r="AE39" s="8">
        <f>AE32-AE38</f>
        <v>685.80000000000018</v>
      </c>
      <c r="AF39" s="8">
        <f>AF32-AF38</f>
        <v>-1065.8999999999996</v>
      </c>
      <c r="AG39" s="8">
        <f>AG32-AG38</f>
        <v>-414.09999999999991</v>
      </c>
      <c r="AH39" s="8">
        <f>AH32-AH38</f>
        <v>540.84499999999889</v>
      </c>
      <c r="AI39" s="8">
        <f>AI32-AI38</f>
        <v>746.97800000000007</v>
      </c>
      <c r="AJ39" s="8">
        <f t="shared" ref="AJ39:AP39" si="57">AJ32-AJ38</f>
        <v>901.23279999999977</v>
      </c>
      <c r="AK39" s="8">
        <f t="shared" si="57"/>
        <v>923.66593199999988</v>
      </c>
      <c r="AL39" s="8">
        <f t="shared" si="57"/>
        <v>901.45279980000032</v>
      </c>
      <c r="AM39" s="8">
        <f t="shared" si="57"/>
        <v>898.17439332599952</v>
      </c>
      <c r="AN39" s="8">
        <f t="shared" si="57"/>
        <v>937.7680303567804</v>
      </c>
      <c r="AO39" s="8">
        <f t="shared" si="57"/>
        <v>967.46039713019491</v>
      </c>
      <c r="AP39" s="8">
        <f t="shared" si="57"/>
        <v>998.23871619624333</v>
      </c>
    </row>
    <row r="40" spans="2:98" s="7" customFormat="1" x14ac:dyDescent="0.2">
      <c r="B40" s="7" t="s">
        <v>33</v>
      </c>
      <c r="C40" s="8"/>
      <c r="D40" s="8"/>
      <c r="E40" s="8"/>
      <c r="F40" s="8">
        <v>-74.099999999999994</v>
      </c>
      <c r="G40" s="8">
        <v>-71.3</v>
      </c>
      <c r="H40" s="8">
        <v>-79.599999999999994</v>
      </c>
      <c r="I40" s="8">
        <v>-82.8</v>
      </c>
      <c r="J40" s="8">
        <v>-77.3</v>
      </c>
      <c r="K40" s="8">
        <v>-151.5</v>
      </c>
      <c r="L40" s="8">
        <v>-88.1</v>
      </c>
      <c r="M40" s="8">
        <v>-88.7</v>
      </c>
      <c r="N40" s="8">
        <v>-86.6</v>
      </c>
      <c r="O40" s="8">
        <v>-82</v>
      </c>
      <c r="P40" s="8">
        <v>-82</v>
      </c>
      <c r="Q40" s="8">
        <v>-82</v>
      </c>
      <c r="R40" s="8">
        <v>-82</v>
      </c>
      <c r="S40" s="8"/>
      <c r="T40" s="8"/>
      <c r="U40" s="8"/>
      <c r="V40" s="8"/>
      <c r="AB40" s="7">
        <v>-110.7</v>
      </c>
      <c r="AC40" s="7">
        <v>-231.6</v>
      </c>
      <c r="AD40" s="7">
        <v>-262.3</v>
      </c>
      <c r="AE40" s="7">
        <v>-292.8</v>
      </c>
      <c r="AF40" s="7">
        <f>SUM(G40:J40)</f>
        <v>-311</v>
      </c>
      <c r="AG40" s="7">
        <f t="shared" ref="AG40" si="58">SUM(K40:N40)</f>
        <v>-414.9</v>
      </c>
      <c r="AH40" s="7">
        <f t="shared" ref="AH40" si="59">SUM(O40:R40)</f>
        <v>-328</v>
      </c>
      <c r="AI40" s="7">
        <f>AH40</f>
        <v>-328</v>
      </c>
      <c r="AJ40" s="7">
        <f>AI59*0.07</f>
        <v>-246.58739000000006</v>
      </c>
      <c r="AK40" s="7">
        <f t="shared" ref="AK40:AN40" si="60">AJ59*0.07</f>
        <v>-200.76221130000008</v>
      </c>
      <c r="AL40" s="7">
        <f t="shared" si="60"/>
        <v>-150.1589508510001</v>
      </c>
      <c r="AM40" s="7">
        <f t="shared" si="60"/>
        <v>-97.568381424570077</v>
      </c>
      <c r="AN40" s="7">
        <f t="shared" si="60"/>
        <v>-41.525960591470024</v>
      </c>
      <c r="AO40" s="7">
        <v>0</v>
      </c>
      <c r="AP40" s="7">
        <v>0</v>
      </c>
    </row>
    <row r="41" spans="2:98" s="7" customFormat="1" x14ac:dyDescent="0.2">
      <c r="B41" s="7" t="s">
        <v>34</v>
      </c>
      <c r="C41" s="8"/>
      <c r="D41" s="8"/>
      <c r="E41" s="8"/>
      <c r="F41" s="8">
        <f t="shared" ref="F41" si="61">F39+F40</f>
        <v>170.8000000000001</v>
      </c>
      <c r="G41" s="8">
        <f t="shared" ref="G41" si="62">G39+G40</f>
        <v>-82.8</v>
      </c>
      <c r="H41" s="8">
        <f t="shared" ref="H41:I41" si="63">H39+H40</f>
        <v>-429.70000000000005</v>
      </c>
      <c r="I41" s="8">
        <f t="shared" si="63"/>
        <v>-437.8</v>
      </c>
      <c r="J41" s="8">
        <f t="shared" ref="J41:N41" si="64">J39+J40</f>
        <v>-426.59999999999997</v>
      </c>
      <c r="K41" s="8">
        <f t="shared" si="64"/>
        <v>-458.5</v>
      </c>
      <c r="L41" s="8">
        <f t="shared" si="64"/>
        <v>-274.69999999999993</v>
      </c>
      <c r="M41" s="8">
        <f t="shared" si="64"/>
        <v>-128.80000000000001</v>
      </c>
      <c r="N41" s="8">
        <f t="shared" si="64"/>
        <v>32.999999999999687</v>
      </c>
      <c r="O41" s="8">
        <f>O39+O40</f>
        <v>-149.80000000000018</v>
      </c>
      <c r="P41" s="8">
        <f t="shared" ref="P41:R41" si="65">P39+P40</f>
        <v>103.77999999999986</v>
      </c>
      <c r="Q41" s="8">
        <f t="shared" si="65"/>
        <v>76.979999999999905</v>
      </c>
      <c r="R41" s="8">
        <f t="shared" si="65"/>
        <v>210.78499999999997</v>
      </c>
      <c r="S41" s="8"/>
      <c r="T41" s="8"/>
      <c r="U41" s="8"/>
      <c r="V41" s="8"/>
      <c r="AB41" s="8">
        <f t="shared" ref="AB41:AC41" si="66">AB39+AB40</f>
        <v>423.80000000000047</v>
      </c>
      <c r="AC41" s="8">
        <f t="shared" si="66"/>
        <v>515.64000000000067</v>
      </c>
      <c r="AD41" s="8">
        <f t="shared" ref="AD41" si="67">AD39+AD40</f>
        <v>585.59999999999968</v>
      </c>
      <c r="AE41" s="8">
        <f>AE39+AE40</f>
        <v>393.00000000000017</v>
      </c>
      <c r="AF41" s="8">
        <f>AF39+AF40</f>
        <v>-1376.8999999999996</v>
      </c>
      <c r="AG41" s="8">
        <f t="shared" ref="AG41" si="68">AG39+AG40</f>
        <v>-828.99999999999989</v>
      </c>
      <c r="AH41" s="8">
        <f t="shared" ref="AH41" si="69">AH39+AH40</f>
        <v>212.84499999999889</v>
      </c>
      <c r="AI41" s="8">
        <f>AI39+AI40</f>
        <v>418.97800000000007</v>
      </c>
      <c r="AJ41" s="8">
        <f t="shared" ref="AJ41" si="70">AJ39+AJ40</f>
        <v>654.64540999999974</v>
      </c>
      <c r="AK41" s="8">
        <f t="shared" ref="AK41" si="71">AK39+AK40</f>
        <v>722.90372069999978</v>
      </c>
      <c r="AL41" s="8">
        <f t="shared" ref="AL41" si="72">AL39+AL40</f>
        <v>751.29384894900022</v>
      </c>
      <c r="AM41" s="8">
        <f t="shared" ref="AM41" si="73">AM39+AM40</f>
        <v>800.60601190142938</v>
      </c>
      <c r="AN41" s="8">
        <f t="shared" ref="AN41" si="74">AN39+AN40</f>
        <v>896.24206976531036</v>
      </c>
      <c r="AO41" s="8">
        <f t="shared" ref="AO41" si="75">AO39+AO40</f>
        <v>967.46039713019491</v>
      </c>
      <c r="AP41" s="8">
        <f t="shared" ref="AP41" si="76">AP39+AP40</f>
        <v>998.23871619624333</v>
      </c>
    </row>
    <row r="42" spans="2:98" s="7" customFormat="1" x14ac:dyDescent="0.2">
      <c r="B42" s="7" t="s">
        <v>35</v>
      </c>
      <c r="C42" s="8"/>
      <c r="D42" s="8"/>
      <c r="E42" s="8"/>
      <c r="F42" s="8">
        <v>-33.4</v>
      </c>
      <c r="G42" s="8">
        <v>-68.2</v>
      </c>
      <c r="H42" s="8">
        <v>6.1</v>
      </c>
      <c r="I42" s="8">
        <v>4.5999999999999996</v>
      </c>
      <c r="J42" s="8">
        <v>-6.8</v>
      </c>
      <c r="K42" s="8">
        <v>-6.8</v>
      </c>
      <c r="L42" s="8">
        <v>5.2</v>
      </c>
      <c r="M42" s="8">
        <v>1.9</v>
      </c>
      <c r="N42" s="8">
        <v>3.7</v>
      </c>
      <c r="O42" s="8">
        <v>0.1</v>
      </c>
      <c r="P42" s="8">
        <v>0</v>
      </c>
      <c r="Q42" s="8">
        <v>0</v>
      </c>
      <c r="R42" s="8">
        <v>0</v>
      </c>
      <c r="S42" s="8"/>
      <c r="T42" s="8"/>
      <c r="U42" s="8"/>
      <c r="V42" s="8"/>
      <c r="AB42" s="7">
        <v>-38</v>
      </c>
      <c r="AC42" s="7">
        <v>-13.6</v>
      </c>
      <c r="AD42" s="7">
        <v>-13.6</v>
      </c>
      <c r="AE42" s="7">
        <v>22.5</v>
      </c>
      <c r="AF42" s="7">
        <f t="shared" ref="AF42" si="77">SUM(G42:J42)</f>
        <v>-64.3</v>
      </c>
      <c r="AG42" s="7">
        <f t="shared" ref="AG42" si="78">SUM(K42:N42)</f>
        <v>4</v>
      </c>
      <c r="AH42" s="7">
        <f t="shared" ref="AH42" si="79">SUM(O42:R42)</f>
        <v>0.1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f t="shared" ref="AO42:AP42" si="80">AO41*-0.3</f>
        <v>-290.23811913905848</v>
      </c>
      <c r="AP42" s="7">
        <f t="shared" si="80"/>
        <v>-299.47161485887301</v>
      </c>
    </row>
    <row r="43" spans="2:98" s="7" customFormat="1" x14ac:dyDescent="0.2">
      <c r="B43" s="7" t="s">
        <v>36</v>
      </c>
      <c r="C43" s="8"/>
      <c r="D43" s="8"/>
      <c r="E43" s="8"/>
      <c r="F43" s="8">
        <f t="shared" ref="F43" si="81">F41+F42</f>
        <v>137.40000000000009</v>
      </c>
      <c r="G43" s="8">
        <f t="shared" ref="G43" si="82">G41+G42</f>
        <v>-151</v>
      </c>
      <c r="H43" s="8">
        <f t="shared" ref="H43:I43" si="83">H41+H42</f>
        <v>-423.6</v>
      </c>
      <c r="I43" s="8">
        <f t="shared" si="83"/>
        <v>-433.2</v>
      </c>
      <c r="J43" s="8">
        <f t="shared" ref="J43:N43" si="84">J41+J42</f>
        <v>-433.4</v>
      </c>
      <c r="K43" s="8">
        <f t="shared" si="84"/>
        <v>-465.3</v>
      </c>
      <c r="L43" s="8">
        <f t="shared" si="84"/>
        <v>-269.49999999999994</v>
      </c>
      <c r="M43" s="8">
        <f t="shared" si="84"/>
        <v>-126.9</v>
      </c>
      <c r="N43" s="8">
        <f t="shared" si="84"/>
        <v>36.69999999999969</v>
      </c>
      <c r="O43" s="8">
        <f>O41+O42</f>
        <v>-149.70000000000019</v>
      </c>
      <c r="P43" s="8">
        <f t="shared" ref="P43:R43" si="85">P41+P42</f>
        <v>103.77999999999986</v>
      </c>
      <c r="Q43" s="8">
        <f t="shared" si="85"/>
        <v>76.979999999999905</v>
      </c>
      <c r="R43" s="8">
        <f t="shared" si="85"/>
        <v>210.78499999999997</v>
      </c>
      <c r="S43" s="8"/>
      <c r="T43" s="8"/>
      <c r="U43" s="8"/>
      <c r="V43" s="8"/>
      <c r="AB43" s="8">
        <f t="shared" ref="AB43:AC43" si="86">AB41+AB42</f>
        <v>385.80000000000047</v>
      </c>
      <c r="AC43" s="8">
        <f t="shared" si="86"/>
        <v>502.04000000000065</v>
      </c>
      <c r="AD43" s="8">
        <f t="shared" ref="AD43" si="87">AD41+AD42</f>
        <v>571.99999999999966</v>
      </c>
      <c r="AE43" s="8">
        <f t="shared" ref="AE43" si="88">AE41+AE42</f>
        <v>415.50000000000017</v>
      </c>
      <c r="AF43" s="8">
        <f t="shared" ref="AF43" si="89">AF41+AF42</f>
        <v>-1441.1999999999996</v>
      </c>
      <c r="AG43" s="8">
        <f t="shared" ref="AG43" si="90">AG41+AG42</f>
        <v>-824.99999999999989</v>
      </c>
      <c r="AH43" s="8">
        <f t="shared" ref="AH43" si="91">AH41+AH42</f>
        <v>212.94499999999888</v>
      </c>
      <c r="AI43" s="8">
        <f t="shared" ref="AI43" si="92">AI41+AI42</f>
        <v>418.97800000000007</v>
      </c>
      <c r="AJ43" s="8">
        <f t="shared" ref="AJ43" si="93">AJ41+AJ42</f>
        <v>654.64540999999974</v>
      </c>
      <c r="AK43" s="8">
        <f t="shared" ref="AK43" si="94">AK41+AK42</f>
        <v>722.90372069999978</v>
      </c>
      <c r="AL43" s="8">
        <f t="shared" ref="AL43" si="95">AL41+AL42</f>
        <v>751.29384894900022</v>
      </c>
      <c r="AM43" s="8">
        <f t="shared" ref="AM43" si="96">AM41+AM42</f>
        <v>800.60601190142938</v>
      </c>
      <c r="AN43" s="8">
        <f t="shared" ref="AN43" si="97">AN41+AN42</f>
        <v>896.24206976531036</v>
      </c>
      <c r="AO43" s="8">
        <f t="shared" ref="AO43" si="98">AO41+AO42</f>
        <v>677.22227799113648</v>
      </c>
      <c r="AP43" s="8">
        <f t="shared" ref="AP43" si="99">AP41+AP42</f>
        <v>698.76710133737038</v>
      </c>
      <c r="AQ43" s="7">
        <f t="shared" ref="AQ43:BV43" si="100">AP43*(1+$AS$48)</f>
        <v>698.76710133737038</v>
      </c>
      <c r="AR43" s="7">
        <f t="shared" si="100"/>
        <v>698.76710133737038</v>
      </c>
      <c r="AS43" s="7">
        <f t="shared" si="100"/>
        <v>698.76710133737038</v>
      </c>
      <c r="AT43" s="7">
        <f t="shared" si="100"/>
        <v>698.76710133737038</v>
      </c>
      <c r="AU43" s="7">
        <f t="shared" si="100"/>
        <v>698.76710133737038</v>
      </c>
      <c r="AV43" s="7">
        <f t="shared" si="100"/>
        <v>698.76710133737038</v>
      </c>
      <c r="AW43" s="7">
        <f t="shared" si="100"/>
        <v>698.76710133737038</v>
      </c>
      <c r="AX43" s="7">
        <f t="shared" si="100"/>
        <v>698.76710133737038</v>
      </c>
      <c r="AY43" s="7">
        <f t="shared" si="100"/>
        <v>698.76710133737038</v>
      </c>
      <c r="AZ43" s="7">
        <f t="shared" si="100"/>
        <v>698.76710133737038</v>
      </c>
      <c r="BA43" s="7">
        <f t="shared" si="100"/>
        <v>698.76710133737038</v>
      </c>
      <c r="BB43" s="7">
        <f t="shared" si="100"/>
        <v>698.76710133737038</v>
      </c>
      <c r="BC43" s="7">
        <f t="shared" si="100"/>
        <v>698.76710133737038</v>
      </c>
      <c r="BD43" s="7">
        <f t="shared" si="100"/>
        <v>698.76710133737038</v>
      </c>
      <c r="BE43" s="7">
        <f t="shared" si="100"/>
        <v>698.76710133737038</v>
      </c>
      <c r="BF43" s="7">
        <f t="shared" si="100"/>
        <v>698.76710133737038</v>
      </c>
      <c r="BG43" s="7">
        <f t="shared" si="100"/>
        <v>698.76710133737038</v>
      </c>
      <c r="BH43" s="7">
        <f t="shared" si="100"/>
        <v>698.76710133737038</v>
      </c>
      <c r="BI43" s="7">
        <f t="shared" si="100"/>
        <v>698.76710133737038</v>
      </c>
      <c r="BJ43" s="7">
        <f t="shared" si="100"/>
        <v>698.76710133737038</v>
      </c>
      <c r="BK43" s="7">
        <f t="shared" si="100"/>
        <v>698.76710133737038</v>
      </c>
      <c r="BL43" s="7">
        <f t="shared" si="100"/>
        <v>698.76710133737038</v>
      </c>
      <c r="BM43" s="7">
        <f t="shared" si="100"/>
        <v>698.76710133737038</v>
      </c>
      <c r="BN43" s="7">
        <f t="shared" si="100"/>
        <v>698.76710133737038</v>
      </c>
      <c r="BO43" s="7">
        <f t="shared" si="100"/>
        <v>698.76710133737038</v>
      </c>
      <c r="BP43" s="7">
        <f t="shared" si="100"/>
        <v>698.76710133737038</v>
      </c>
      <c r="BQ43" s="7">
        <f t="shared" si="100"/>
        <v>698.76710133737038</v>
      </c>
      <c r="BR43" s="7">
        <f t="shared" si="100"/>
        <v>698.76710133737038</v>
      </c>
      <c r="BS43" s="7">
        <f t="shared" si="100"/>
        <v>698.76710133737038</v>
      </c>
      <c r="BT43" s="7">
        <f t="shared" si="100"/>
        <v>698.76710133737038</v>
      </c>
      <c r="BU43" s="7">
        <f t="shared" si="100"/>
        <v>698.76710133737038</v>
      </c>
      <c r="BV43" s="7">
        <f t="shared" si="100"/>
        <v>698.76710133737038</v>
      </c>
      <c r="BW43" s="7">
        <f t="shared" ref="BW43:CT43" si="101">BV43*(1+$AS$48)</f>
        <v>698.76710133737038</v>
      </c>
      <c r="BX43" s="7">
        <f t="shared" si="101"/>
        <v>698.76710133737038</v>
      </c>
      <c r="BY43" s="7">
        <f t="shared" si="101"/>
        <v>698.76710133737038</v>
      </c>
      <c r="BZ43" s="7">
        <f t="shared" si="101"/>
        <v>698.76710133737038</v>
      </c>
      <c r="CA43" s="7">
        <f t="shared" si="101"/>
        <v>698.76710133737038</v>
      </c>
      <c r="CB43" s="7">
        <f t="shared" si="101"/>
        <v>698.76710133737038</v>
      </c>
      <c r="CC43" s="7">
        <f t="shared" si="101"/>
        <v>698.76710133737038</v>
      </c>
      <c r="CD43" s="7">
        <f t="shared" si="101"/>
        <v>698.76710133737038</v>
      </c>
      <c r="CE43" s="7">
        <f t="shared" si="101"/>
        <v>698.76710133737038</v>
      </c>
      <c r="CF43" s="7">
        <f t="shared" si="101"/>
        <v>698.76710133737038</v>
      </c>
      <c r="CG43" s="7">
        <f t="shared" si="101"/>
        <v>698.76710133737038</v>
      </c>
      <c r="CH43" s="7">
        <f t="shared" si="101"/>
        <v>698.76710133737038</v>
      </c>
      <c r="CI43" s="7">
        <f t="shared" si="101"/>
        <v>698.76710133737038</v>
      </c>
      <c r="CJ43" s="7">
        <f t="shared" si="101"/>
        <v>698.76710133737038</v>
      </c>
      <c r="CK43" s="7">
        <f t="shared" si="101"/>
        <v>698.76710133737038</v>
      </c>
      <c r="CL43" s="7">
        <f t="shared" si="101"/>
        <v>698.76710133737038</v>
      </c>
      <c r="CM43" s="7">
        <f t="shared" si="101"/>
        <v>698.76710133737038</v>
      </c>
      <c r="CN43" s="7">
        <f t="shared" si="101"/>
        <v>698.76710133737038</v>
      </c>
      <c r="CO43" s="7">
        <f t="shared" si="101"/>
        <v>698.76710133737038</v>
      </c>
      <c r="CP43" s="7">
        <f t="shared" si="101"/>
        <v>698.76710133737038</v>
      </c>
      <c r="CQ43" s="7">
        <f t="shared" si="101"/>
        <v>698.76710133737038</v>
      </c>
      <c r="CR43" s="7">
        <f t="shared" si="101"/>
        <v>698.76710133737038</v>
      </c>
      <c r="CS43" s="7">
        <f t="shared" si="101"/>
        <v>698.76710133737038</v>
      </c>
      <c r="CT43" s="7">
        <f t="shared" si="101"/>
        <v>698.76710133737038</v>
      </c>
    </row>
    <row r="44" spans="2:98" x14ac:dyDescent="0.2">
      <c r="B44" s="11" t="s">
        <v>37</v>
      </c>
      <c r="F44" s="3">
        <f t="shared" ref="F44" si="102">F43/F45</f>
        <v>1.3230621088107857</v>
      </c>
      <c r="G44" s="3">
        <f t="shared" ref="G44" si="103">G43/G45</f>
        <v>-1.448510719938606</v>
      </c>
      <c r="H44" s="3">
        <f t="shared" ref="H44:I44" si="104">H43/H45</f>
        <v>-4.0606217467575423</v>
      </c>
      <c r="I44" s="3">
        <f t="shared" si="104"/>
        <v>-4.0224708667997584</v>
      </c>
      <c r="J44" s="3">
        <f t="shared" ref="J44:N44" si="105">J43/J45</f>
        <v>-2.8455684899577829</v>
      </c>
      <c r="K44" s="3">
        <f t="shared" si="105"/>
        <v>-1.1629272876776695</v>
      </c>
      <c r="L44" s="3">
        <f t="shared" si="105"/>
        <v>-0.56060457927614393</v>
      </c>
      <c r="M44" s="3">
        <f t="shared" si="105"/>
        <v>-0.24720939746361989</v>
      </c>
      <c r="N44" s="3">
        <f t="shared" si="105"/>
        <v>7.1425235099955811E-2</v>
      </c>
      <c r="O44" s="3">
        <f>O43/O45</f>
        <v>-0.29016688957376324</v>
      </c>
      <c r="P44" s="3">
        <f t="shared" ref="P44:R44" si="106">P43/P45</f>
        <v>0.20115911690023427</v>
      </c>
      <c r="Q44" s="3">
        <f t="shared" si="106"/>
        <v>0.14921207187300092</v>
      </c>
      <c r="R44" s="3">
        <f t="shared" si="106"/>
        <v>0.40856932410691782</v>
      </c>
      <c r="S44" s="3"/>
      <c r="T44" s="3"/>
      <c r="U44" s="3"/>
      <c r="V44" s="3"/>
      <c r="AB44" s="1">
        <f t="shared" ref="AB44" si="107">AB43/AB45</f>
        <v>3.9020147261105316</v>
      </c>
      <c r="AC44" s="1">
        <f t="shared" ref="AC44" si="108">AC43/AC45</f>
        <v>3.9146640051151742</v>
      </c>
      <c r="AD44" s="1">
        <f t="shared" ref="AD44" si="109">AD43/AD45</f>
        <v>4.3964490219438126</v>
      </c>
      <c r="AE44" s="1">
        <f t="shared" ref="AE44" si="110">AE43/AE45</f>
        <v>4.0016565220741214</v>
      </c>
      <c r="AF44" s="1">
        <f>AF43/AF45</f>
        <v>-12.303069364828003</v>
      </c>
      <c r="AG44" s="1">
        <f t="shared" ref="AG44:AH44" si="111">AG43/AG45</f>
        <v>-1.7295633743466965</v>
      </c>
      <c r="AH44" s="1">
        <f t="shared" si="111"/>
        <v>0.41275610087030468</v>
      </c>
      <c r="AI44" s="1">
        <f t="shared" ref="AI44" si="112">AI43/AI45</f>
        <v>0.81211451609776919</v>
      </c>
      <c r="AJ44" s="1">
        <f t="shared" ref="AJ44" si="113">AJ43/AJ45</f>
        <v>1.2689139772440925</v>
      </c>
      <c r="AK44" s="1">
        <f t="shared" ref="AK44" si="114">AK43/AK45</f>
        <v>1.4012206018491593</v>
      </c>
      <c r="AL44" s="1">
        <f t="shared" ref="AL44" si="115">AL43/AL45</f>
        <v>1.4562498283595982</v>
      </c>
      <c r="AM44" s="1">
        <f t="shared" ref="AM44" si="116">AM43/AM45</f>
        <v>1.5518327070640798</v>
      </c>
      <c r="AN44" s="1">
        <f t="shared" ref="AN44" si="117">AN43/AN45</f>
        <v>1.7372062370671444</v>
      </c>
      <c r="AO44" s="1">
        <f t="shared" ref="AO44" si="118">AO43/AO45</f>
        <v>1.3126752301586255</v>
      </c>
      <c r="AP44" s="1">
        <f t="shared" ref="AP44" si="119">AP43/AP45</f>
        <v>1.3544360476388719</v>
      </c>
    </row>
    <row r="45" spans="2:98" s="11" customFormat="1" x14ac:dyDescent="0.2">
      <c r="B45" s="11" t="s">
        <v>1</v>
      </c>
      <c r="C45" s="12"/>
      <c r="D45" s="12"/>
      <c r="E45" s="12"/>
      <c r="F45" s="12">
        <v>103.85</v>
      </c>
      <c r="G45" s="12">
        <v>104.245</v>
      </c>
      <c r="H45" s="12">
        <v>104.319</v>
      </c>
      <c r="I45" s="12">
        <v>107.69499999999999</v>
      </c>
      <c r="J45" s="12">
        <v>152.30699999999999</v>
      </c>
      <c r="K45" s="12">
        <v>400.11099999999999</v>
      </c>
      <c r="L45" s="12">
        <v>480.73099999999999</v>
      </c>
      <c r="M45" s="12">
        <v>513.33000000000004</v>
      </c>
      <c r="N45" s="12">
        <v>513.82399999999996</v>
      </c>
      <c r="O45" s="12">
        <v>515.91</v>
      </c>
      <c r="P45" s="12">
        <v>515.91</v>
      </c>
      <c r="Q45" s="12">
        <v>515.91</v>
      </c>
      <c r="R45" s="12">
        <v>515.91</v>
      </c>
      <c r="S45" s="12"/>
      <c r="T45" s="12"/>
      <c r="U45" s="12"/>
      <c r="V45" s="12"/>
      <c r="AB45" s="11">
        <v>98.872</v>
      </c>
      <c r="AC45" s="11">
        <v>128.24600000000001</v>
      </c>
      <c r="AD45" s="11">
        <v>130.10499999999999</v>
      </c>
      <c r="AE45" s="11">
        <v>103.83199999999999</v>
      </c>
      <c r="AF45" s="11">
        <f>AVERAGE(G45:J45)</f>
        <v>117.14150000000001</v>
      </c>
      <c r="AG45" s="11">
        <f>AVERAGE(K45:N45)</f>
        <v>476.99900000000002</v>
      </c>
      <c r="AH45" s="11">
        <f>AVERAGE(O45:R45)</f>
        <v>515.91</v>
      </c>
      <c r="AI45" s="11">
        <f>AH45</f>
        <v>515.91</v>
      </c>
      <c r="AJ45" s="11">
        <f t="shared" ref="AJ45:AP45" si="120">AI45</f>
        <v>515.91</v>
      </c>
      <c r="AK45" s="11">
        <f t="shared" si="120"/>
        <v>515.91</v>
      </c>
      <c r="AL45" s="11">
        <f t="shared" si="120"/>
        <v>515.91</v>
      </c>
      <c r="AM45" s="11">
        <f t="shared" si="120"/>
        <v>515.91</v>
      </c>
      <c r="AN45" s="11">
        <f t="shared" si="120"/>
        <v>515.91</v>
      </c>
      <c r="AO45" s="11">
        <f t="shared" si="120"/>
        <v>515.91</v>
      </c>
      <c r="AP45" s="11">
        <f t="shared" si="120"/>
        <v>515.91</v>
      </c>
    </row>
    <row r="47" spans="2:98" s="4" customFormat="1" x14ac:dyDescent="0.2">
      <c r="B47" s="13" t="s">
        <v>38</v>
      </c>
      <c r="C47" s="5"/>
      <c r="D47" s="5"/>
      <c r="E47" s="5"/>
      <c r="F47" s="5"/>
      <c r="G47" s="5"/>
      <c r="H47" s="5"/>
      <c r="I47" s="5"/>
      <c r="J47" s="14">
        <f t="shared" ref="J47" si="121">J32/F32-1</f>
        <v>-0.88775298749740972</v>
      </c>
      <c r="K47" s="14">
        <f t="shared" ref="K47:M47" si="122">K32/G32-1</f>
        <v>-0.84248539564524694</v>
      </c>
      <c r="L47" s="14">
        <f t="shared" si="122"/>
        <v>22.529100529100525</v>
      </c>
      <c r="M47" s="14">
        <f t="shared" si="122"/>
        <v>5.3866108786610871</v>
      </c>
      <c r="N47" s="14">
        <f>N32/J32-1</f>
        <v>6.2104615384615371</v>
      </c>
      <c r="O47" s="14">
        <f>O32/K32-1</f>
        <v>4.2980445043830064</v>
      </c>
      <c r="P47" s="14">
        <f t="shared" ref="P47:R47" si="123">P32/L32-1</f>
        <v>1.4</v>
      </c>
      <c r="Q47" s="14">
        <f t="shared" si="123"/>
        <v>0.40000000000000013</v>
      </c>
      <c r="R47" s="14">
        <f t="shared" si="123"/>
        <v>5.0000000000000266E-2</v>
      </c>
      <c r="S47" s="14"/>
      <c r="T47" s="14"/>
      <c r="U47" s="14"/>
      <c r="V47" s="14"/>
      <c r="AC47" s="18">
        <f t="shared" ref="AC47:AD47" si="124">AC32/AB32-1</f>
        <v>0.56965295590098575</v>
      </c>
      <c r="AD47" s="18">
        <f t="shared" si="124"/>
        <v>7.5121474866318705E-2</v>
      </c>
      <c r="AE47" s="18">
        <f>AE32/AD32-1</f>
        <v>1.8678581892763724E-3</v>
      </c>
      <c r="AF47" s="18">
        <f>AF32/AE32-1</f>
        <v>-0.77291171632242728</v>
      </c>
      <c r="AG47" s="18">
        <f t="shared" ref="AG47:AH47" si="125">AG32/AF32-1</f>
        <v>1.0346909207984547</v>
      </c>
      <c r="AH47" s="18">
        <f t="shared" si="125"/>
        <v>0.63093674591558169</v>
      </c>
      <c r="AI47" s="18">
        <f t="shared" ref="AI47:AP47" si="126">AI32/AH32-1</f>
        <v>0.20000000000000018</v>
      </c>
      <c r="AJ47" s="18">
        <f t="shared" si="126"/>
        <v>0.10000000000000009</v>
      </c>
      <c r="AK47" s="18">
        <f t="shared" si="126"/>
        <v>5.0000000000000044E-2</v>
      </c>
      <c r="AL47" s="18">
        <f t="shared" si="126"/>
        <v>3.2007691290844242E-2</v>
      </c>
      <c r="AM47" s="18">
        <f t="shared" si="126"/>
        <v>3.2042693938403977E-2</v>
      </c>
      <c r="AN47" s="18">
        <f t="shared" si="126"/>
        <v>3.2078236344215139E-2</v>
      </c>
      <c r="AO47" s="18">
        <f t="shared" si="126"/>
        <v>3.2114324364745261E-2</v>
      </c>
      <c r="AP47" s="18">
        <f t="shared" si="126"/>
        <v>3.2150963832760171E-2</v>
      </c>
      <c r="AR47" s="19" t="s">
        <v>59</v>
      </c>
      <c r="AS47" s="23">
        <v>7.0000000000000007E-2</v>
      </c>
    </row>
    <row r="48" spans="2:98" s="19" customFormat="1" x14ac:dyDescent="0.2">
      <c r="B48" s="20" t="s">
        <v>58</v>
      </c>
      <c r="C48" s="21"/>
      <c r="D48" s="21"/>
      <c r="E48" s="21"/>
      <c r="F48" s="22">
        <f>F33/F32</f>
        <v>0.30013124266077224</v>
      </c>
      <c r="G48" s="22">
        <f t="shared" ref="G48:R48" si="127">G33/G32</f>
        <v>0.28858204992033987</v>
      </c>
      <c r="H48" s="22">
        <f t="shared" si="127"/>
        <v>1.0582010582010581E-2</v>
      </c>
      <c r="I48" s="22">
        <f t="shared" si="127"/>
        <v>0.22259414225941423</v>
      </c>
      <c r="J48" s="22">
        <f t="shared" si="127"/>
        <v>0.14892307692307691</v>
      </c>
      <c r="K48" s="22">
        <f t="shared" si="127"/>
        <v>0.14834794335805798</v>
      </c>
      <c r="L48" s="22">
        <f t="shared" si="127"/>
        <v>0.22239712165504835</v>
      </c>
      <c r="M48" s="22">
        <f t="shared" si="127"/>
        <v>0.2312631027253669</v>
      </c>
      <c r="N48" s="22">
        <f t="shared" si="127"/>
        <v>0.26482888111291292</v>
      </c>
      <c r="O48" s="22">
        <f>O33/O32</f>
        <v>0.24156802850960929</v>
      </c>
      <c r="P48" s="22">
        <f t="shared" si="127"/>
        <v>0.17783524473427781</v>
      </c>
      <c r="Q48" s="22">
        <f t="shared" si="127"/>
        <v>0.17763551961665169</v>
      </c>
      <c r="R48" s="22">
        <f t="shared" si="127"/>
        <v>0.15427319686088994</v>
      </c>
      <c r="S48" s="22"/>
      <c r="T48" s="22"/>
      <c r="U48" s="22"/>
      <c r="V48" s="22"/>
      <c r="AB48" s="22">
        <f t="shared" ref="AB48:AP48" si="128">AB33/AB32</f>
        <v>0.33669149232052903</v>
      </c>
      <c r="AC48" s="22">
        <f t="shared" si="128"/>
        <v>0.31585434041313265</v>
      </c>
      <c r="AD48" s="22">
        <f t="shared" si="128"/>
        <v>0.31317755640199241</v>
      </c>
      <c r="AE48" s="22">
        <f t="shared" si="128"/>
        <v>0.3105647961981356</v>
      </c>
      <c r="AF48" s="22">
        <f t="shared" si="128"/>
        <v>0.25973921442369602</v>
      </c>
      <c r="AG48" s="22">
        <f t="shared" si="128"/>
        <v>0.24039716760947824</v>
      </c>
      <c r="AH48" s="22">
        <f t="shared" si="128"/>
        <v>0.18414468649682444</v>
      </c>
      <c r="AI48" s="22">
        <f t="shared" si="128"/>
        <v>0.18414468649682442</v>
      </c>
      <c r="AJ48" s="22">
        <f t="shared" si="128"/>
        <v>0.18414468649682444</v>
      </c>
      <c r="AK48" s="22">
        <f t="shared" si="128"/>
        <v>0.18414468649682442</v>
      </c>
      <c r="AL48" s="22">
        <f t="shared" si="128"/>
        <v>0.18735511610365943</v>
      </c>
      <c r="AM48" s="22">
        <f t="shared" si="128"/>
        <v>0.18698428923550592</v>
      </c>
      <c r="AN48" s="22">
        <f t="shared" si="128"/>
        <v>0.18660776977021526</v>
      </c>
      <c r="AO48" s="22">
        <f t="shared" si="128"/>
        <v>0.1880335113849651</v>
      </c>
      <c r="AP48" s="22">
        <f t="shared" si="128"/>
        <v>0.18946342026770566</v>
      </c>
      <c r="AR48" s="19" t="s">
        <v>60</v>
      </c>
      <c r="AS48" s="23">
        <v>0</v>
      </c>
    </row>
    <row r="49" spans="2:45" s="19" customFormat="1" x14ac:dyDescent="0.2">
      <c r="B49" s="20" t="s">
        <v>106</v>
      </c>
      <c r="C49" s="21"/>
      <c r="D49" s="21"/>
      <c r="E49" s="21"/>
      <c r="F49" s="22">
        <f>(F28-F33)/F28</f>
        <v>0.50456100342075261</v>
      </c>
      <c r="G49" s="22">
        <f t="shared" ref="G49:R49" si="129">(G28-G33)/G28</f>
        <v>0.52165492957746484</v>
      </c>
      <c r="H49" s="22">
        <f t="shared" si="129"/>
        <v>0.77777777777777768</v>
      </c>
      <c r="I49" s="22">
        <f t="shared" si="129"/>
        <v>0.57710651828298887</v>
      </c>
      <c r="J49" s="22">
        <f t="shared" si="129"/>
        <v>0.69863013698630128</v>
      </c>
      <c r="K49" s="22">
        <f t="shared" si="129"/>
        <v>0.68345323741007191</v>
      </c>
      <c r="L49" s="22">
        <f t="shared" si="129"/>
        <v>0.57553648068669527</v>
      </c>
      <c r="M49" s="22">
        <f t="shared" si="129"/>
        <v>0.58480357562926377</v>
      </c>
      <c r="N49" s="22">
        <f t="shared" si="129"/>
        <v>0.53450345034503455</v>
      </c>
      <c r="O49" s="22">
        <f t="shared" si="129"/>
        <v>0.57232987832356919</v>
      </c>
      <c r="P49" s="22">
        <f t="shared" si="129"/>
        <v>0.66058655221745344</v>
      </c>
      <c r="Q49" s="22">
        <f t="shared" si="129"/>
        <v>0.68108344255133246</v>
      </c>
      <c r="R49" s="22">
        <f t="shared" si="129"/>
        <v>0.72883002585972889</v>
      </c>
      <c r="S49" s="22"/>
      <c r="T49" s="22"/>
      <c r="U49" s="22"/>
      <c r="V49" s="22"/>
      <c r="AB49" s="22">
        <f t="shared" ref="AB49:AF49" si="130">(AB28-AB33)/AB28</f>
        <v>0.4683809895579194</v>
      </c>
      <c r="AC49" s="22">
        <f t="shared" si="130"/>
        <v>0.50323579501470816</v>
      </c>
      <c r="AD49" s="22">
        <f t="shared" si="130"/>
        <v>0.49477104874446082</v>
      </c>
      <c r="AE49" s="22">
        <f t="shared" si="130"/>
        <v>0.48532396328718996</v>
      </c>
      <c r="AF49" s="22">
        <f t="shared" si="130"/>
        <v>0.54683330992838075</v>
      </c>
      <c r="AG49" s="22">
        <f>(AG28-AG33)/AG28</f>
        <v>0.56412279443408408</v>
      </c>
      <c r="AH49" s="22">
        <f t="shared" ref="AH49:AP49" si="131">(AH28-AH33)/AH28</f>
        <v>0.66963582484432582</v>
      </c>
      <c r="AI49" s="22">
        <f t="shared" si="131"/>
        <v>0.66963582484432582</v>
      </c>
      <c r="AJ49" s="22">
        <f t="shared" si="131"/>
        <v>0.66963582484432582</v>
      </c>
      <c r="AK49" s="22">
        <f t="shared" si="131"/>
        <v>0.66963582484432593</v>
      </c>
      <c r="AL49" s="22">
        <f t="shared" si="131"/>
        <v>0.66322098649178851</v>
      </c>
      <c r="AM49" s="22">
        <f t="shared" si="131"/>
        <v>0.66322098649178851</v>
      </c>
      <c r="AN49" s="22">
        <f t="shared" si="131"/>
        <v>0.66322098649178851</v>
      </c>
      <c r="AO49" s="22">
        <f t="shared" si="131"/>
        <v>0.65995128733151454</v>
      </c>
      <c r="AP49" s="22">
        <f t="shared" si="131"/>
        <v>0.65664984351919919</v>
      </c>
      <c r="AR49" s="4" t="s">
        <v>61</v>
      </c>
      <c r="AS49" s="17">
        <f>NPV(AS47,AI43:DH43)+Main!N5-Main!N6</f>
        <v>5468.2947324749102</v>
      </c>
    </row>
    <row r="50" spans="2:45" s="19" customFormat="1" x14ac:dyDescent="0.2">
      <c r="B50" s="20" t="s">
        <v>57</v>
      </c>
      <c r="C50" s="21"/>
      <c r="D50" s="21"/>
      <c r="E50" s="21"/>
      <c r="F50" s="22">
        <f>F39/F32</f>
        <v>0.16916488222698078</v>
      </c>
      <c r="G50" s="22">
        <f t="shared" ref="G50:R50" si="132">G39/G32</f>
        <v>-1.2214551248008496E-2</v>
      </c>
      <c r="H50" s="22">
        <f t="shared" si="132"/>
        <v>-18.523809523809522</v>
      </c>
      <c r="I50" s="22">
        <f t="shared" si="132"/>
        <v>-2.9707112970711296</v>
      </c>
      <c r="J50" s="22">
        <f t="shared" si="132"/>
        <v>-2.1495384615384614</v>
      </c>
      <c r="K50" s="22">
        <f t="shared" si="132"/>
        <v>-2.0701281186783547</v>
      </c>
      <c r="L50" s="22">
        <f t="shared" si="132"/>
        <v>-0.41960872498313462</v>
      </c>
      <c r="M50" s="22">
        <f t="shared" si="132"/>
        <v>-5.2541928721174039E-2</v>
      </c>
      <c r="N50" s="22">
        <f t="shared" si="132"/>
        <v>0.10207390970384886</v>
      </c>
      <c r="O50" s="22">
        <f t="shared" si="132"/>
        <v>-8.6292478045055604E-2</v>
      </c>
      <c r="P50" s="22">
        <f t="shared" si="132"/>
        <v>0.17406866052020076</v>
      </c>
      <c r="Q50" s="22">
        <f t="shared" si="132"/>
        <v>0.14879080563042818</v>
      </c>
      <c r="R50" s="22">
        <f t="shared" si="132"/>
        <v>0.23798144332410778</v>
      </c>
      <c r="S50" s="22"/>
      <c r="T50" s="22"/>
      <c r="U50" s="22"/>
      <c r="V50" s="22"/>
      <c r="AB50" s="22">
        <f t="shared" ref="AB50:AP50" si="133">AB39/AB32</f>
        <v>0.1651781575450417</v>
      </c>
      <c r="AC50" s="22">
        <f t="shared" si="133"/>
        <v>0.14711649774375707</v>
      </c>
      <c r="AD50" s="22">
        <f t="shared" si="133"/>
        <v>0.15527029006738932</v>
      </c>
      <c r="AE50" s="22">
        <f t="shared" si="133"/>
        <v>0.12535185523670264</v>
      </c>
      <c r="AF50" s="22">
        <f t="shared" si="133"/>
        <v>-0.85793625241468086</v>
      </c>
      <c r="AG50" s="22">
        <f t="shared" si="133"/>
        <v>-0.16381185964634673</v>
      </c>
      <c r="AH50" s="22">
        <f t="shared" si="133"/>
        <v>0.13118247229764859</v>
      </c>
      <c r="AI50" s="22">
        <f t="shared" si="133"/>
        <v>0.15098352391774775</v>
      </c>
      <c r="AJ50" s="22">
        <f t="shared" si="133"/>
        <v>0.16560218034200197</v>
      </c>
      <c r="AK50" s="22">
        <f t="shared" si="133"/>
        <v>0.16164217581879411</v>
      </c>
      <c r="AL50" s="22">
        <f t="shared" si="133"/>
        <v>0.15286209945785342</v>
      </c>
      <c r="AM50" s="22">
        <f t="shared" si="133"/>
        <v>0.14757739284621105</v>
      </c>
      <c r="AN50" s="22">
        <f t="shared" si="133"/>
        <v>0.14929386702465386</v>
      </c>
      <c r="AO50" s="22">
        <f t="shared" si="133"/>
        <v>0.14922855546766564</v>
      </c>
      <c r="AP50" s="22">
        <f t="shared" si="133"/>
        <v>0.14917976753985265</v>
      </c>
      <c r="AR50" s="19" t="s">
        <v>62</v>
      </c>
      <c r="AS50" s="1">
        <f>AS49/Main!N3</f>
        <v>10.599524583203936</v>
      </c>
    </row>
    <row r="51" spans="2:45" s="19" customFormat="1" x14ac:dyDescent="0.2">
      <c r="B51" s="20" t="s">
        <v>64</v>
      </c>
      <c r="C51" s="21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Z51" s="23">
        <f>Z25/Y25-1</f>
        <v>-9.0866633016087883E-3</v>
      </c>
      <c r="AA51" s="23">
        <f t="shared" ref="AA51:AG51" si="134">AA25/Z25-1</f>
        <v>2.7998191966112973E-2</v>
      </c>
      <c r="AB51" s="23">
        <f t="shared" si="134"/>
        <v>2.2576932497140545E-2</v>
      </c>
      <c r="AC51" s="23">
        <f t="shared" si="134"/>
        <v>-2.6643990531081463E-2</v>
      </c>
      <c r="AD51" s="23">
        <f t="shared" si="134"/>
        <v>7.3574553749574445E-2</v>
      </c>
      <c r="AE51" s="23">
        <f t="shared" si="134"/>
        <v>-4.7763078683775273E-2</v>
      </c>
      <c r="AF51" s="23">
        <f t="shared" si="134"/>
        <v>-0.81422798616458314</v>
      </c>
      <c r="AG51" s="23">
        <f t="shared" si="134"/>
        <v>1.1344394528426767</v>
      </c>
      <c r="AH51" s="22"/>
      <c r="AI51" s="22"/>
      <c r="AJ51" s="22"/>
      <c r="AK51" s="22"/>
      <c r="AL51" s="22"/>
      <c r="AM51" s="22"/>
      <c r="AN51" s="22"/>
      <c r="AO51" s="22"/>
      <c r="AP51" s="22"/>
    </row>
    <row r="52" spans="2:45" s="19" customFormat="1" x14ac:dyDescent="0.2">
      <c r="B52" s="20" t="s">
        <v>65</v>
      </c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Z52" s="23"/>
      <c r="AA52" s="23"/>
      <c r="AB52" s="23">
        <f>AB28/AB25</f>
        <v>0.18013517081637956</v>
      </c>
      <c r="AC52" s="23">
        <f t="shared" ref="AC52:AG52" si="135">AC28/AC25</f>
        <v>0.29163212217430867</v>
      </c>
      <c r="AD52" s="23">
        <f t="shared" si="135"/>
        <v>0.28472561072802366</v>
      </c>
      <c r="AE52" s="23">
        <f t="shared" si="135"/>
        <v>0.29161364111956389</v>
      </c>
      <c r="AF52" s="23">
        <f t="shared" si="135"/>
        <v>0.33859733877041753</v>
      </c>
      <c r="AG52" s="23">
        <f t="shared" si="135"/>
        <v>0.31058737146668441</v>
      </c>
      <c r="AH52" s="23"/>
      <c r="AI52" s="22"/>
      <c r="AJ52" s="22"/>
      <c r="AK52" s="22"/>
      <c r="AL52" s="22"/>
      <c r="AM52" s="22"/>
      <c r="AN52" s="22"/>
      <c r="AO52" s="22"/>
      <c r="AP52" s="22"/>
      <c r="AR52" s="4"/>
      <c r="AS52" s="17"/>
    </row>
    <row r="53" spans="2:45" s="4" customFormat="1" x14ac:dyDescent="0.2">
      <c r="B53" s="13"/>
      <c r="C53" s="5"/>
      <c r="D53" s="5"/>
      <c r="E53" s="5"/>
      <c r="F53" s="5"/>
      <c r="G53" s="5"/>
      <c r="H53" s="5"/>
      <c r="I53" s="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</row>
    <row r="54" spans="2:45" s="19" customFormat="1" x14ac:dyDescent="0.2">
      <c r="B54" s="20" t="s">
        <v>121</v>
      </c>
      <c r="C54" s="21"/>
      <c r="D54" s="21"/>
      <c r="E54" s="21"/>
      <c r="F54" s="27">
        <v>7.2</v>
      </c>
      <c r="G54" s="21">
        <v>3.16</v>
      </c>
      <c r="H54" s="21">
        <v>4.29</v>
      </c>
      <c r="I54" s="21">
        <v>4.71</v>
      </c>
      <c r="J54" s="27">
        <v>2.12</v>
      </c>
      <c r="K54" s="27">
        <v>10.210000000000001</v>
      </c>
      <c r="L54" s="27">
        <v>56.68</v>
      </c>
      <c r="M54" s="27">
        <v>38.06</v>
      </c>
      <c r="N54" s="27">
        <v>27.2</v>
      </c>
      <c r="O54" s="27">
        <v>24.64</v>
      </c>
      <c r="P54" s="27">
        <v>13.55</v>
      </c>
      <c r="Q54" s="22"/>
      <c r="R54" s="22"/>
      <c r="S54" s="22"/>
      <c r="T54" s="22"/>
      <c r="U54" s="22"/>
      <c r="V54" s="22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r="55" spans="2:45" s="19" customFormat="1" x14ac:dyDescent="0.2">
      <c r="B55" s="20" t="s">
        <v>122</v>
      </c>
      <c r="C55" s="21"/>
      <c r="D55" s="21"/>
      <c r="E55" s="21"/>
      <c r="F55" s="28">
        <f>F54*F45</f>
        <v>747.72</v>
      </c>
      <c r="G55" s="28">
        <f t="shared" ref="G55:O55" si="136">G54*G45</f>
        <v>329.41420000000005</v>
      </c>
      <c r="H55" s="28">
        <f t="shared" si="136"/>
        <v>447.52851000000004</v>
      </c>
      <c r="I55" s="28">
        <f t="shared" si="136"/>
        <v>507.24344999999994</v>
      </c>
      <c r="J55" s="28">
        <f t="shared" si="136"/>
        <v>322.89083999999997</v>
      </c>
      <c r="K55" s="28">
        <f t="shared" si="136"/>
        <v>4085.1333100000002</v>
      </c>
      <c r="L55" s="28">
        <f t="shared" si="136"/>
        <v>27247.83308</v>
      </c>
      <c r="M55" s="28">
        <f t="shared" si="136"/>
        <v>19537.339800000002</v>
      </c>
      <c r="N55" s="28">
        <f t="shared" si="136"/>
        <v>13976.012799999999</v>
      </c>
      <c r="O55" s="28">
        <f t="shared" si="136"/>
        <v>12712.0224</v>
      </c>
      <c r="P55" s="28">
        <f t="shared" ref="P55" si="137">P54*P45</f>
        <v>6990.5805</v>
      </c>
      <c r="Q55" s="22"/>
      <c r="R55" s="22"/>
      <c r="S55" s="22"/>
      <c r="T55" s="22"/>
      <c r="U55" s="22"/>
      <c r="V55" s="22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r="56" spans="2:45" s="19" customFormat="1" x14ac:dyDescent="0.2">
      <c r="B56" s="20" t="s">
        <v>123</v>
      </c>
      <c r="C56" s="21"/>
      <c r="D56" s="21"/>
      <c r="E56" s="21"/>
      <c r="F56" s="28"/>
      <c r="G56" s="28"/>
      <c r="H56" s="28"/>
      <c r="I56" s="28"/>
      <c r="J56" s="28"/>
      <c r="K56" s="28"/>
      <c r="L56" s="28"/>
      <c r="M56" s="28">
        <f>M55-M59</f>
        <v>23349.9398</v>
      </c>
      <c r="N56" s="28">
        <f>N55-N59</f>
        <v>17783.712799999998</v>
      </c>
      <c r="O56" s="28">
        <f t="shared" ref="O56" si="138">O55-O59</f>
        <v>17045.222399999999</v>
      </c>
      <c r="P56" s="28">
        <f t="shared" ref="P56" si="139">P55-P59</f>
        <v>11220.0005</v>
      </c>
      <c r="Q56" s="22"/>
      <c r="R56" s="22"/>
      <c r="S56" s="22"/>
      <c r="T56" s="22"/>
      <c r="U56" s="22"/>
      <c r="V56" s="22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r="57" spans="2:45" s="4" customFormat="1" x14ac:dyDescent="0.2">
      <c r="B57" s="13"/>
      <c r="C57" s="5"/>
      <c r="D57" s="5"/>
      <c r="E57" s="5"/>
      <c r="F57" s="5"/>
      <c r="G57" s="5"/>
      <c r="H57" s="5"/>
      <c r="I57" s="5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</row>
    <row r="59" spans="2:45" x14ac:dyDescent="0.2">
      <c r="B59" t="s">
        <v>56</v>
      </c>
      <c r="K59" s="8">
        <f t="shared" ref="K59" si="140">K60-K73</f>
        <v>-4617.2999999999993</v>
      </c>
      <c r="L59" s="8">
        <f t="shared" ref="L59" si="141">L60-L73</f>
        <v>-3660.7999999999993</v>
      </c>
      <c r="M59" s="8">
        <f>M60-M73</f>
        <v>-3812.6000000000004</v>
      </c>
      <c r="N59" s="8">
        <f>N60-N73</f>
        <v>-3807.7</v>
      </c>
      <c r="O59" s="8">
        <f>O60-O73</f>
        <v>-4333.2</v>
      </c>
      <c r="P59" s="8">
        <f>O59+P43</f>
        <v>-4229.42</v>
      </c>
      <c r="Q59" s="8">
        <f t="shared" ref="Q59:R59" si="142">P59+Q43</f>
        <v>-4152.4400000000005</v>
      </c>
      <c r="R59" s="8">
        <f t="shared" si="142"/>
        <v>-3941.6550000000007</v>
      </c>
      <c r="S59" s="8"/>
      <c r="T59" s="8"/>
      <c r="U59" s="8"/>
      <c r="V59" s="8"/>
      <c r="AH59" s="7">
        <f>R59</f>
        <v>-3941.6550000000007</v>
      </c>
      <c r="AI59" s="7">
        <f>AH59+AI43</f>
        <v>-3522.6770000000006</v>
      </c>
      <c r="AJ59" s="7">
        <f t="shared" ref="AJ59:AP59" si="143">AI59+AJ43</f>
        <v>-2868.031590000001</v>
      </c>
      <c r="AK59" s="7">
        <f t="shared" si="143"/>
        <v>-2145.1278693000013</v>
      </c>
      <c r="AL59" s="7">
        <f t="shared" si="143"/>
        <v>-1393.8340203510011</v>
      </c>
      <c r="AM59" s="7">
        <f t="shared" si="143"/>
        <v>-593.22800844957169</v>
      </c>
      <c r="AN59" s="7">
        <f t="shared" si="143"/>
        <v>303.01406131573867</v>
      </c>
      <c r="AO59" s="7">
        <f t="shared" si="143"/>
        <v>980.23633930687515</v>
      </c>
      <c r="AP59" s="7">
        <f t="shared" si="143"/>
        <v>1679.0034406442455</v>
      </c>
    </row>
    <row r="60" spans="2:45" s="7" customFormat="1" x14ac:dyDescent="0.2">
      <c r="B60" s="7" t="s">
        <v>3</v>
      </c>
      <c r="C60" s="8"/>
      <c r="D60" s="8"/>
      <c r="E60" s="8"/>
      <c r="F60" s="8"/>
      <c r="G60" s="8"/>
      <c r="H60" s="8"/>
      <c r="I60" s="8"/>
      <c r="J60" s="8"/>
      <c r="K60" s="8">
        <f>813.1+29</f>
        <v>842.1</v>
      </c>
      <c r="L60" s="8">
        <f>1811.2+28.4</f>
        <v>1839.6000000000001</v>
      </c>
      <c r="M60" s="8">
        <f>1612.5+27.7</f>
        <v>1640.2</v>
      </c>
      <c r="N60" s="8">
        <f>1592.5+27.8</f>
        <v>1620.3</v>
      </c>
      <c r="O60" s="8">
        <f>1164.9+23.7</f>
        <v>1188.6000000000001</v>
      </c>
      <c r="P60" s="8"/>
      <c r="Q60" s="8"/>
      <c r="R60" s="8"/>
      <c r="S60" s="8"/>
      <c r="T60" s="8"/>
      <c r="U60" s="8"/>
      <c r="V60" s="8"/>
    </row>
    <row r="61" spans="2:45" s="7" customFormat="1" x14ac:dyDescent="0.2">
      <c r="B61" s="7" t="s">
        <v>40</v>
      </c>
      <c r="C61" s="8"/>
      <c r="D61" s="8"/>
      <c r="E61" s="8"/>
      <c r="F61" s="8"/>
      <c r="G61" s="8"/>
      <c r="H61" s="8"/>
      <c r="I61" s="8"/>
      <c r="J61" s="8"/>
      <c r="K61" s="8">
        <v>86</v>
      </c>
      <c r="L61" s="8">
        <v>88.5</v>
      </c>
      <c r="M61" s="8">
        <v>129.6</v>
      </c>
      <c r="N61" s="8">
        <v>168.5</v>
      </c>
      <c r="O61" s="8">
        <v>105.8</v>
      </c>
      <c r="P61" s="8"/>
      <c r="Q61" s="8"/>
      <c r="R61" s="8"/>
      <c r="S61" s="8"/>
      <c r="T61" s="8"/>
      <c r="U61" s="8"/>
      <c r="V61" s="8"/>
    </row>
    <row r="62" spans="2:45" s="7" customFormat="1" x14ac:dyDescent="0.2">
      <c r="B62" s="7" t="s">
        <v>41</v>
      </c>
      <c r="C62" s="8"/>
      <c r="D62" s="8"/>
      <c r="E62" s="8"/>
      <c r="F62" s="8"/>
      <c r="G62" s="8"/>
      <c r="H62" s="8"/>
      <c r="I62" s="8"/>
      <c r="J62" s="8"/>
      <c r="K62" s="8">
        <v>87.9</v>
      </c>
      <c r="L62" s="8">
        <v>84.2</v>
      </c>
      <c r="M62" s="8">
        <v>93.1</v>
      </c>
      <c r="N62" s="8">
        <v>81.5</v>
      </c>
      <c r="O62" s="8">
        <v>110.1</v>
      </c>
      <c r="P62" s="8"/>
      <c r="Q62" s="8"/>
      <c r="R62" s="8"/>
      <c r="S62" s="8"/>
      <c r="T62" s="8"/>
      <c r="U62" s="8"/>
      <c r="V62" s="8"/>
    </row>
    <row r="63" spans="2:45" s="7" customFormat="1" x14ac:dyDescent="0.2">
      <c r="B63" s="7" t="s">
        <v>42</v>
      </c>
      <c r="C63" s="8"/>
      <c r="D63" s="8"/>
      <c r="E63" s="8"/>
      <c r="F63" s="8"/>
      <c r="G63" s="8"/>
      <c r="H63" s="8"/>
      <c r="I63" s="8"/>
      <c r="J63" s="8"/>
      <c r="K63" s="8">
        <v>2200.3000000000002</v>
      </c>
      <c r="L63" s="8">
        <v>2115.9</v>
      </c>
      <c r="M63" s="8">
        <v>2032.9</v>
      </c>
      <c r="N63" s="8">
        <v>1962.5</v>
      </c>
      <c r="O63" s="8">
        <v>1881.5</v>
      </c>
      <c r="P63" s="8"/>
      <c r="Q63" s="8"/>
      <c r="R63" s="8"/>
      <c r="S63" s="8"/>
      <c r="T63" s="8"/>
      <c r="U63" s="8"/>
      <c r="V63" s="8"/>
    </row>
    <row r="64" spans="2:45" s="7" customFormat="1" x14ac:dyDescent="0.2">
      <c r="B64" s="7" t="s">
        <v>43</v>
      </c>
      <c r="C64" s="8"/>
      <c r="D64" s="8"/>
      <c r="E64" s="8"/>
      <c r="F64" s="8"/>
      <c r="G64" s="8"/>
      <c r="H64" s="8"/>
      <c r="I64" s="8"/>
      <c r="J64" s="8"/>
      <c r="K64" s="8">
        <v>4348.7</v>
      </c>
      <c r="L64" s="8">
        <f>4308.1</f>
        <v>4308.1000000000004</v>
      </c>
      <c r="M64" s="8">
        <v>4302</v>
      </c>
      <c r="N64" s="8">
        <v>4155.8999999999996</v>
      </c>
      <c r="O64" s="8">
        <v>4144.2</v>
      </c>
      <c r="P64" s="8"/>
      <c r="Q64" s="8"/>
      <c r="R64" s="8"/>
      <c r="S64" s="8"/>
      <c r="T64" s="8"/>
      <c r="U64" s="8"/>
      <c r="V64" s="8"/>
    </row>
    <row r="65" spans="2:22" s="7" customFormat="1" x14ac:dyDescent="0.2">
      <c r="B65" s="7" t="s">
        <v>44</v>
      </c>
      <c r="C65" s="8"/>
      <c r="D65" s="8"/>
      <c r="E65" s="8"/>
      <c r="F65" s="8"/>
      <c r="G65" s="8"/>
      <c r="H65" s="8"/>
      <c r="I65" s="8"/>
      <c r="J65" s="8"/>
      <c r="K65" s="8">
        <f>158.3+2491</f>
        <v>2649.3</v>
      </c>
      <c r="L65" s="8">
        <f>156.8+2472.1</f>
        <v>2628.9</v>
      </c>
      <c r="M65" s="8">
        <f>154.7+2451.2</f>
        <v>2605.8999999999996</v>
      </c>
      <c r="N65" s="8">
        <f>153.4+2429.8</f>
        <v>2583.2000000000003</v>
      </c>
      <c r="O65" s="8">
        <f>151.8+2415.4</f>
        <v>2567.2000000000003</v>
      </c>
      <c r="P65" s="8"/>
      <c r="Q65" s="8"/>
      <c r="R65" s="8"/>
      <c r="S65" s="8"/>
      <c r="T65" s="8"/>
      <c r="U65" s="8"/>
      <c r="V65" s="8"/>
    </row>
    <row r="66" spans="2:22" s="7" customFormat="1" x14ac:dyDescent="0.2">
      <c r="B66" s="7" t="s">
        <v>45</v>
      </c>
      <c r="C66" s="8"/>
      <c r="D66" s="8"/>
      <c r="E66" s="8"/>
      <c r="F66" s="8"/>
      <c r="G66" s="8"/>
      <c r="H66" s="8"/>
      <c r="I66" s="8"/>
      <c r="J66" s="8"/>
      <c r="K66" s="8">
        <v>1.3</v>
      </c>
      <c r="L66" s="8">
        <v>2.7</v>
      </c>
      <c r="M66" s="8">
        <v>2.4</v>
      </c>
      <c r="N66" s="8">
        <v>0.6</v>
      </c>
      <c r="O66" s="8">
        <v>0.6</v>
      </c>
      <c r="P66" s="8"/>
      <c r="Q66" s="8"/>
      <c r="R66" s="8"/>
      <c r="S66" s="8"/>
      <c r="T66" s="8"/>
      <c r="U66" s="8"/>
      <c r="V66" s="8"/>
    </row>
    <row r="67" spans="2:22" s="7" customFormat="1" x14ac:dyDescent="0.2">
      <c r="B67" s="7" t="s">
        <v>46</v>
      </c>
      <c r="C67" s="8"/>
      <c r="D67" s="8"/>
      <c r="E67" s="8"/>
      <c r="F67" s="8"/>
      <c r="G67" s="8"/>
      <c r="H67" s="8"/>
      <c r="I67" s="8"/>
      <c r="J67" s="8"/>
      <c r="K67" s="8">
        <v>273.10000000000002</v>
      </c>
      <c r="L67" s="8">
        <v>261.2</v>
      </c>
      <c r="M67" s="8">
        <v>251.4</v>
      </c>
      <c r="N67" s="8">
        <v>249</v>
      </c>
      <c r="O67" s="8">
        <v>347.4</v>
      </c>
      <c r="P67" s="8"/>
      <c r="Q67" s="8"/>
      <c r="R67" s="8"/>
      <c r="S67" s="8"/>
      <c r="T67" s="8"/>
      <c r="U67" s="8"/>
      <c r="V67" s="8"/>
    </row>
    <row r="68" spans="2:22" s="7" customFormat="1" x14ac:dyDescent="0.2">
      <c r="B68" s="7" t="s">
        <v>39</v>
      </c>
      <c r="C68" s="8"/>
      <c r="D68" s="8"/>
      <c r="E68" s="8"/>
      <c r="F68" s="8"/>
      <c r="G68" s="8"/>
      <c r="H68" s="8"/>
      <c r="I68" s="8"/>
      <c r="J68" s="8"/>
      <c r="K68" s="8">
        <f t="shared" ref="K68" si="144">SUM(K60:K67)</f>
        <v>10488.699999999999</v>
      </c>
      <c r="L68" s="8">
        <f t="shared" ref="L68" si="145">SUM(L60:L67)</f>
        <v>11329.100000000002</v>
      </c>
      <c r="M68" s="8">
        <f>SUM(M60:M67)</f>
        <v>11057.499999999998</v>
      </c>
      <c r="N68" s="8">
        <f>SUM(N60:N67)</f>
        <v>10821.5</v>
      </c>
      <c r="O68" s="8">
        <f>SUM(O60:O67)</f>
        <v>10345.4</v>
      </c>
      <c r="P68" s="8"/>
      <c r="Q68" s="8"/>
      <c r="R68" s="8"/>
      <c r="S68" s="8"/>
      <c r="T68" s="8"/>
      <c r="U68" s="8"/>
      <c r="V68" s="8"/>
    </row>
    <row r="69" spans="2:22" s="7" customFormat="1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2:22" s="7" customFormat="1" x14ac:dyDescent="0.2">
      <c r="B70" s="7" t="s">
        <v>47</v>
      </c>
      <c r="C70" s="8"/>
      <c r="D70" s="8"/>
      <c r="E70" s="8"/>
      <c r="F70" s="8"/>
      <c r="G70" s="8"/>
      <c r="H70" s="8"/>
      <c r="I70" s="8"/>
      <c r="J70" s="8"/>
      <c r="K70" s="8">
        <v>264.89999999999998</v>
      </c>
      <c r="L70" s="8">
        <v>235.2</v>
      </c>
      <c r="M70" s="8">
        <v>267.60000000000002</v>
      </c>
      <c r="N70" s="8">
        <v>377.1</v>
      </c>
      <c r="O70" s="8">
        <v>295.39999999999998</v>
      </c>
      <c r="P70" s="8"/>
      <c r="Q70" s="8"/>
      <c r="R70" s="8"/>
      <c r="S70" s="8"/>
      <c r="T70" s="8"/>
      <c r="U70" s="8"/>
      <c r="V70" s="8"/>
    </row>
    <row r="71" spans="2:22" s="7" customFormat="1" x14ac:dyDescent="0.2">
      <c r="B71" s="7" t="s">
        <v>48</v>
      </c>
      <c r="C71" s="8"/>
      <c r="D71" s="8"/>
      <c r="E71" s="8"/>
      <c r="F71" s="8"/>
      <c r="G71" s="8"/>
      <c r="H71" s="8"/>
      <c r="I71" s="8"/>
      <c r="J71" s="8"/>
      <c r="K71" s="8">
        <v>291.7</v>
      </c>
      <c r="L71" s="8">
        <v>286.7</v>
      </c>
      <c r="M71" s="8">
        <v>393.3</v>
      </c>
      <c r="N71" s="8">
        <v>367.5</v>
      </c>
      <c r="O71" s="8">
        <v>365.3</v>
      </c>
      <c r="P71" s="8"/>
      <c r="Q71" s="8"/>
      <c r="R71" s="8"/>
      <c r="S71" s="8"/>
      <c r="T71" s="8"/>
      <c r="U71" s="8"/>
      <c r="V71" s="8"/>
    </row>
    <row r="72" spans="2:22" s="7" customFormat="1" x14ac:dyDescent="0.2">
      <c r="B72" s="7" t="s">
        <v>49</v>
      </c>
      <c r="C72" s="8"/>
      <c r="D72" s="8"/>
      <c r="E72" s="8"/>
      <c r="F72" s="8"/>
      <c r="G72" s="8"/>
      <c r="H72" s="8"/>
      <c r="I72" s="8"/>
      <c r="J72" s="8"/>
      <c r="K72" s="8">
        <v>404.3</v>
      </c>
      <c r="L72" s="8">
        <v>402.1</v>
      </c>
      <c r="M72" s="8">
        <v>392.1</v>
      </c>
      <c r="N72" s="8">
        <v>408.6</v>
      </c>
      <c r="O72" s="8">
        <v>379.8</v>
      </c>
      <c r="P72" s="8"/>
      <c r="Q72" s="8"/>
      <c r="R72" s="8"/>
      <c r="S72" s="8"/>
      <c r="T72" s="8"/>
      <c r="U72" s="8"/>
      <c r="V72" s="8"/>
    </row>
    <row r="73" spans="2:22" s="7" customFormat="1" x14ac:dyDescent="0.2">
      <c r="B73" s="7" t="s">
        <v>4</v>
      </c>
      <c r="C73" s="8"/>
      <c r="D73" s="8"/>
      <c r="E73" s="8"/>
      <c r="F73" s="8"/>
      <c r="G73" s="8"/>
      <c r="H73" s="8"/>
      <c r="I73" s="8"/>
      <c r="J73" s="8"/>
      <c r="K73" s="8">
        <f>20+5439.4</f>
        <v>5459.4</v>
      </c>
      <c r="L73" s="8">
        <f>20+5480.4</f>
        <v>5500.4</v>
      </c>
      <c r="M73" s="8">
        <f>20+5432.8</f>
        <v>5452.8</v>
      </c>
      <c r="N73" s="8">
        <f>5428</f>
        <v>5428</v>
      </c>
      <c r="O73" s="8">
        <f>20+5501.8</f>
        <v>5521.8</v>
      </c>
      <c r="P73" s="8"/>
      <c r="Q73" s="8"/>
      <c r="R73" s="8"/>
      <c r="S73" s="8"/>
      <c r="T73" s="8"/>
      <c r="U73" s="8"/>
      <c r="V73" s="8"/>
    </row>
    <row r="74" spans="2:22" s="7" customFormat="1" x14ac:dyDescent="0.2">
      <c r="B74" s="7" t="s">
        <v>50</v>
      </c>
      <c r="C74" s="8"/>
      <c r="D74" s="8"/>
      <c r="E74" s="8"/>
      <c r="F74" s="8"/>
      <c r="G74" s="8"/>
      <c r="H74" s="8"/>
      <c r="I74" s="8"/>
      <c r="J74" s="8"/>
      <c r="K74" s="8">
        <f>12.5+77.8</f>
        <v>90.3</v>
      </c>
      <c r="L74" s="8">
        <f>9.6+69.8</f>
        <v>79.399999999999991</v>
      </c>
      <c r="M74" s="8">
        <f>66.1+10.2</f>
        <v>76.3</v>
      </c>
      <c r="N74" s="8">
        <f>9.5+63.2</f>
        <v>72.7</v>
      </c>
      <c r="O74" s="8">
        <f>8.2+60.6</f>
        <v>68.8</v>
      </c>
      <c r="P74" s="8"/>
      <c r="Q74" s="8"/>
      <c r="R74" s="8"/>
      <c r="S74" s="8"/>
      <c r="T74" s="8"/>
      <c r="U74" s="8"/>
      <c r="V74" s="8"/>
    </row>
    <row r="75" spans="2:22" s="7" customFormat="1" x14ac:dyDescent="0.2">
      <c r="B75" s="7" t="s">
        <v>51</v>
      </c>
      <c r="C75" s="8"/>
      <c r="D75" s="8"/>
      <c r="E75" s="8"/>
      <c r="F75" s="8"/>
      <c r="G75" s="8"/>
      <c r="H75" s="8"/>
      <c r="I75" s="8"/>
      <c r="J75" s="8"/>
      <c r="K75" s="8">
        <f>591.1+4908.9</f>
        <v>5500</v>
      </c>
      <c r="L75" s="8">
        <f>604.8+4888.6</f>
        <v>5493.4000000000005</v>
      </c>
      <c r="M75" s="8">
        <f>4786.9+605.9</f>
        <v>5392.7999999999993</v>
      </c>
      <c r="N75" s="8">
        <f>605.2+4645.2</f>
        <v>5250.4</v>
      </c>
      <c r="O75" s="8">
        <f>597.1+4587.7</f>
        <v>5184.8</v>
      </c>
      <c r="P75" s="8"/>
      <c r="Q75" s="8"/>
      <c r="R75" s="8"/>
      <c r="S75" s="8"/>
      <c r="T75" s="8"/>
      <c r="U75" s="8"/>
      <c r="V75" s="8"/>
    </row>
    <row r="76" spans="2:22" s="7" customFormat="1" x14ac:dyDescent="0.2">
      <c r="B76" s="7" t="s">
        <v>52</v>
      </c>
      <c r="C76" s="8"/>
      <c r="D76" s="8"/>
      <c r="E76" s="8"/>
      <c r="F76" s="8"/>
      <c r="G76" s="8"/>
      <c r="H76" s="8"/>
      <c r="I76" s="8"/>
      <c r="J76" s="8"/>
      <c r="K76" s="8">
        <v>524</v>
      </c>
      <c r="L76" s="8">
        <v>519.5</v>
      </c>
      <c r="M76" s="8">
        <v>515</v>
      </c>
      <c r="N76" s="8">
        <v>510.4</v>
      </c>
      <c r="O76" s="8">
        <v>520.70000000000005</v>
      </c>
      <c r="P76" s="8"/>
      <c r="Q76" s="8"/>
      <c r="R76" s="8"/>
      <c r="S76" s="8"/>
      <c r="T76" s="8"/>
      <c r="U76" s="8"/>
      <c r="V76" s="8"/>
    </row>
    <row r="77" spans="2:22" s="7" customFormat="1" x14ac:dyDescent="0.2">
      <c r="B77" s="7" t="s">
        <v>45</v>
      </c>
      <c r="C77" s="8"/>
      <c r="D77" s="8"/>
      <c r="E77" s="8"/>
      <c r="F77" s="8"/>
      <c r="G77" s="8"/>
      <c r="H77" s="8"/>
      <c r="I77" s="8"/>
      <c r="J77" s="8"/>
      <c r="K77" s="8">
        <v>34</v>
      </c>
      <c r="L77" s="8">
        <v>28.5</v>
      </c>
      <c r="M77" s="8">
        <v>28.9</v>
      </c>
      <c r="N77" s="8">
        <v>31.3</v>
      </c>
      <c r="O77" s="8">
        <v>31.1</v>
      </c>
      <c r="P77" s="8"/>
      <c r="Q77" s="8"/>
      <c r="R77" s="8"/>
      <c r="S77" s="8"/>
      <c r="T77" s="8"/>
      <c r="U77" s="8"/>
      <c r="V77" s="8"/>
    </row>
    <row r="78" spans="2:22" s="7" customFormat="1" x14ac:dyDescent="0.2">
      <c r="B78" s="7" t="s">
        <v>53</v>
      </c>
      <c r="C78" s="8"/>
      <c r="D78" s="8"/>
      <c r="E78" s="8"/>
      <c r="F78" s="8"/>
      <c r="G78" s="8"/>
      <c r="H78" s="8"/>
      <c r="I78" s="8"/>
      <c r="J78" s="8"/>
      <c r="K78" s="8">
        <v>207.1</v>
      </c>
      <c r="L78" s="8">
        <v>188.6</v>
      </c>
      <c r="M78" s="8">
        <v>181.4</v>
      </c>
      <c r="N78" s="8">
        <v>165</v>
      </c>
      <c r="O78" s="8">
        <v>156</v>
      </c>
      <c r="P78" s="8"/>
      <c r="Q78" s="8"/>
      <c r="R78" s="8"/>
      <c r="S78" s="8"/>
      <c r="T78" s="8"/>
      <c r="U78" s="8"/>
      <c r="V78" s="8"/>
    </row>
    <row r="79" spans="2:22" s="7" customFormat="1" x14ac:dyDescent="0.2">
      <c r="B79" s="7" t="s">
        <v>54</v>
      </c>
      <c r="C79" s="8"/>
      <c r="D79" s="8"/>
      <c r="E79" s="8"/>
      <c r="F79" s="8"/>
      <c r="G79" s="8"/>
      <c r="H79" s="8"/>
      <c r="I79" s="8"/>
      <c r="J79" s="8"/>
      <c r="K79" s="8">
        <v>-2287</v>
      </c>
      <c r="L79" s="8">
        <v>-1404.7</v>
      </c>
      <c r="M79" s="8">
        <v>-1642.7</v>
      </c>
      <c r="N79" s="8">
        <v>-1789.5</v>
      </c>
      <c r="O79" s="8">
        <v>-2178.3000000000002</v>
      </c>
      <c r="P79" s="8"/>
      <c r="Q79" s="8"/>
      <c r="R79" s="8"/>
      <c r="S79" s="8"/>
      <c r="T79" s="8"/>
      <c r="U79" s="8"/>
      <c r="V79" s="8"/>
    </row>
    <row r="80" spans="2:22" s="7" customFormat="1" x14ac:dyDescent="0.2">
      <c r="B80" s="7" t="s">
        <v>55</v>
      </c>
      <c r="C80" s="8"/>
      <c r="D80" s="8"/>
      <c r="E80" s="8"/>
      <c r="F80" s="8"/>
      <c r="G80" s="8"/>
      <c r="H80" s="8"/>
      <c r="I80" s="8"/>
      <c r="J80" s="8"/>
      <c r="K80" s="8">
        <f t="shared" ref="K80" si="146">SUM(K70:K79)</f>
        <v>10488.699999999999</v>
      </c>
      <c r="L80" s="8">
        <f t="shared" ref="L80" si="147">SUM(L70:L79)</f>
        <v>11329.1</v>
      </c>
      <c r="M80" s="8">
        <f t="shared" ref="M80" si="148">SUM(M70:M79)</f>
        <v>11057.499999999998</v>
      </c>
      <c r="N80" s="8">
        <f>SUM(N70:N79)</f>
        <v>10821.499999999998</v>
      </c>
      <c r="O80" s="8">
        <f>SUM(O70:O79)</f>
        <v>10345.400000000001</v>
      </c>
      <c r="P80" s="8"/>
      <c r="Q80" s="8"/>
      <c r="R80" s="8"/>
      <c r="S80" s="8"/>
      <c r="T80" s="8"/>
      <c r="U80" s="8"/>
      <c r="V80" s="8"/>
    </row>
    <row r="82" spans="2:33" s="7" customFormat="1" x14ac:dyDescent="0.2">
      <c r="B82" s="7" t="s">
        <v>66</v>
      </c>
      <c r="C82" s="8"/>
      <c r="D82" s="8"/>
      <c r="E82" s="8"/>
      <c r="F82" s="8"/>
      <c r="G82" s="8"/>
      <c r="H82" s="8"/>
      <c r="I82" s="8"/>
      <c r="J82" s="8"/>
      <c r="K82" s="8">
        <f t="shared" ref="K82" si="149">K43</f>
        <v>-465.3</v>
      </c>
      <c r="L82" s="8">
        <f t="shared" ref="L82" si="150">L43</f>
        <v>-269.49999999999994</v>
      </c>
      <c r="M82" s="8">
        <f>M43</f>
        <v>-126.9</v>
      </c>
      <c r="N82" s="8">
        <f>N43</f>
        <v>36.69999999999969</v>
      </c>
      <c r="O82" s="8">
        <f>O43</f>
        <v>-149.70000000000019</v>
      </c>
      <c r="P82" s="8"/>
      <c r="Q82" s="8"/>
      <c r="R82" s="8"/>
      <c r="S82" s="8"/>
      <c r="T82" s="8"/>
      <c r="U82" s="8"/>
      <c r="V82" s="8"/>
      <c r="AE82" s="7">
        <f t="shared" ref="AE82:AF82" si="151">AE43</f>
        <v>415.50000000000017</v>
      </c>
      <c r="AF82" s="25">
        <f t="shared" si="151"/>
        <v>-1441.1999999999996</v>
      </c>
      <c r="AG82" s="7">
        <f>AG43</f>
        <v>-824.99999999999989</v>
      </c>
    </row>
    <row r="83" spans="2:33" s="7" customFormat="1" x14ac:dyDescent="0.2">
      <c r="B83" s="7" t="s">
        <v>67</v>
      </c>
      <c r="C83" s="8"/>
      <c r="D83" s="8"/>
      <c r="E83" s="8"/>
      <c r="F83" s="8"/>
      <c r="G83" s="8"/>
      <c r="H83" s="8"/>
      <c r="I83" s="8"/>
      <c r="J83" s="8"/>
      <c r="K83" s="8">
        <v>-567.20000000000005</v>
      </c>
      <c r="L83" s="8">
        <f>-911.2-K83</f>
        <v>-344</v>
      </c>
      <c r="M83" s="8"/>
      <c r="N83" s="8"/>
      <c r="O83" s="8">
        <v>-337.4</v>
      </c>
      <c r="P83" s="8"/>
      <c r="Q83" s="8"/>
      <c r="R83" s="8"/>
      <c r="S83" s="8"/>
      <c r="T83" s="8"/>
      <c r="U83" s="8"/>
      <c r="V83" s="8"/>
      <c r="AE83" s="7">
        <v>-149.1</v>
      </c>
      <c r="AF83" s="25">
        <v>-4589.3999999999996</v>
      </c>
      <c r="AG83" s="7">
        <v>-1269.8</v>
      </c>
    </row>
    <row r="84" spans="2:33" s="7" customFormat="1" x14ac:dyDescent="0.2">
      <c r="B84" s="7" t="s">
        <v>68</v>
      </c>
      <c r="C84" s="8"/>
      <c r="D84" s="8"/>
      <c r="E84" s="8"/>
      <c r="F84" s="8"/>
      <c r="G84" s="8"/>
      <c r="H84" s="8"/>
      <c r="I84" s="8"/>
      <c r="J84" s="8"/>
      <c r="K84" s="8">
        <v>114.1</v>
      </c>
      <c r="L84" s="8">
        <f>219.8-K84</f>
        <v>105.70000000000002</v>
      </c>
      <c r="M84" s="8"/>
      <c r="N84" s="8"/>
      <c r="O84" s="8">
        <v>98.7</v>
      </c>
      <c r="P84" s="8"/>
      <c r="Q84" s="8"/>
      <c r="R84" s="8"/>
      <c r="S84" s="8"/>
      <c r="T84" s="8"/>
      <c r="U84" s="8"/>
      <c r="V84" s="8"/>
      <c r="AE84" s="7">
        <v>450</v>
      </c>
      <c r="AF84" s="25">
        <v>498.3</v>
      </c>
      <c r="AG84" s="7">
        <v>425</v>
      </c>
    </row>
    <row r="85" spans="2:33" s="7" customFormat="1" x14ac:dyDescent="0.2">
      <c r="B85" s="7" t="s">
        <v>45</v>
      </c>
      <c r="C85" s="8"/>
      <c r="D85" s="8"/>
      <c r="E85" s="8"/>
      <c r="F85" s="8"/>
      <c r="G85" s="8"/>
      <c r="H85" s="8"/>
      <c r="I85" s="8"/>
      <c r="J85" s="8"/>
      <c r="K85" s="8">
        <v>-6.2</v>
      </c>
      <c r="L85" s="8">
        <f>-12.3-K85</f>
        <v>-6.1000000000000005</v>
      </c>
      <c r="M85" s="8"/>
      <c r="N85" s="8"/>
      <c r="O85" s="8">
        <v>-0.1</v>
      </c>
      <c r="P85" s="8"/>
      <c r="Q85" s="8"/>
      <c r="R85" s="8"/>
      <c r="S85" s="8"/>
      <c r="T85" s="8"/>
      <c r="U85" s="8"/>
      <c r="V85" s="8"/>
      <c r="AE85" s="7">
        <v>-33.700000000000003</v>
      </c>
      <c r="AF85" s="25">
        <v>64</v>
      </c>
      <c r="AG85" s="7">
        <v>-7.6</v>
      </c>
    </row>
    <row r="86" spans="2:33" s="7" customFormat="1" x14ac:dyDescent="0.2">
      <c r="B86" s="7" t="s">
        <v>120</v>
      </c>
      <c r="C86" s="8"/>
      <c r="D86" s="8"/>
      <c r="E86" s="8"/>
      <c r="F86" s="8"/>
      <c r="G86" s="8"/>
      <c r="H86" s="8"/>
      <c r="I86" s="8"/>
      <c r="J86" s="8"/>
      <c r="K86" s="8">
        <v>0</v>
      </c>
      <c r="L86" s="8">
        <v>0</v>
      </c>
      <c r="M86" s="8"/>
      <c r="N86" s="8"/>
      <c r="O86" s="8"/>
      <c r="P86" s="8"/>
      <c r="Q86" s="8"/>
      <c r="R86" s="8"/>
      <c r="S86" s="8"/>
      <c r="T86" s="8"/>
      <c r="U86" s="8"/>
      <c r="V86" s="8"/>
      <c r="AE86" s="7">
        <v>84.3</v>
      </c>
      <c r="AF86" s="25">
        <v>2513.9</v>
      </c>
      <c r="AG86" s="7">
        <v>77.2</v>
      </c>
    </row>
    <row r="87" spans="2:33" s="7" customFormat="1" x14ac:dyDescent="0.2">
      <c r="B87" s="7" t="s">
        <v>70</v>
      </c>
      <c r="C87" s="8"/>
      <c r="D87" s="8"/>
      <c r="E87" s="8"/>
      <c r="F87" s="8"/>
      <c r="G87" s="8"/>
      <c r="H87" s="8"/>
      <c r="I87" s="8"/>
      <c r="J87" s="8"/>
      <c r="K87" s="8">
        <v>0</v>
      </c>
      <c r="L87" s="8">
        <v>0</v>
      </c>
      <c r="M87" s="8"/>
      <c r="N87" s="8"/>
      <c r="O87" s="8">
        <v>135</v>
      </c>
      <c r="P87" s="8"/>
      <c r="Q87" s="8"/>
      <c r="R87" s="8"/>
      <c r="S87" s="8"/>
      <c r="T87" s="8"/>
      <c r="U87" s="8"/>
      <c r="V87" s="8"/>
      <c r="AE87" s="7">
        <v>16.600000000000001</v>
      </c>
      <c r="AF87" s="25">
        <v>-93.6</v>
      </c>
      <c r="AG87" s="7">
        <v>14.1</v>
      </c>
    </row>
    <row r="88" spans="2:33" s="7" customFormat="1" x14ac:dyDescent="0.2">
      <c r="B88" s="7" t="s">
        <v>71</v>
      </c>
      <c r="C88" s="8"/>
      <c r="D88" s="8"/>
      <c r="E88" s="8"/>
      <c r="F88" s="8"/>
      <c r="G88" s="8"/>
      <c r="H88" s="8"/>
      <c r="I88" s="8"/>
      <c r="J88" s="8"/>
      <c r="K88" s="8">
        <v>0</v>
      </c>
      <c r="L88" s="8">
        <v>0</v>
      </c>
      <c r="M88" s="8"/>
      <c r="N88" s="8"/>
      <c r="O88" s="8">
        <v>-63.9</v>
      </c>
      <c r="P88" s="8"/>
      <c r="Q88" s="8"/>
      <c r="R88" s="8"/>
      <c r="S88" s="8"/>
      <c r="T88" s="8"/>
      <c r="U88" s="8"/>
      <c r="V88" s="8"/>
      <c r="AE88" s="7">
        <v>0</v>
      </c>
      <c r="AF88" s="25">
        <v>109</v>
      </c>
      <c r="AG88" s="7">
        <f>-5.5-0.9</f>
        <v>-6.4</v>
      </c>
    </row>
    <row r="89" spans="2:33" s="7" customFormat="1" x14ac:dyDescent="0.2">
      <c r="B89" s="7" t="s">
        <v>80</v>
      </c>
      <c r="C89" s="8"/>
      <c r="D89" s="8"/>
      <c r="E89" s="8"/>
      <c r="F89" s="8"/>
      <c r="G89" s="8"/>
      <c r="H89" s="8"/>
      <c r="I89" s="8"/>
      <c r="J89" s="8"/>
      <c r="K89" s="8">
        <v>42.3</v>
      </c>
      <c r="L89" s="8">
        <f>24.5-K89</f>
        <v>-17.799999999999997</v>
      </c>
      <c r="M89" s="8"/>
      <c r="N89" s="8"/>
      <c r="O89" s="8">
        <v>-15.5</v>
      </c>
      <c r="P89" s="8"/>
      <c r="Q89" s="8"/>
      <c r="R89" s="8"/>
      <c r="S89" s="8"/>
      <c r="T89" s="8"/>
      <c r="U89" s="8"/>
      <c r="V89" s="8"/>
      <c r="AE89" s="7">
        <v>11.3</v>
      </c>
      <c r="AF89" s="25">
        <v>-22</v>
      </c>
      <c r="AG89" s="7">
        <v>-3.9</v>
      </c>
    </row>
    <row r="90" spans="2:33" s="7" customFormat="1" x14ac:dyDescent="0.2">
      <c r="B90" s="7" t="s">
        <v>79</v>
      </c>
      <c r="C90" s="8"/>
      <c r="D90" s="8"/>
      <c r="E90" s="8"/>
      <c r="F90" s="8"/>
      <c r="G90" s="8"/>
      <c r="H90" s="8"/>
      <c r="I90" s="8"/>
      <c r="J90" s="8"/>
      <c r="K90" s="8">
        <v>12.1</v>
      </c>
      <c r="L90" s="8">
        <f>15.5-K90</f>
        <v>3.4000000000000004</v>
      </c>
      <c r="M90" s="8"/>
      <c r="N90" s="8"/>
      <c r="O90" s="8">
        <v>3.5</v>
      </c>
      <c r="P90" s="8"/>
      <c r="Q90" s="8"/>
      <c r="R90" s="8"/>
      <c r="S90" s="8"/>
      <c r="T90" s="8"/>
      <c r="U90" s="8"/>
      <c r="V90" s="8"/>
      <c r="AE90" s="7">
        <v>15.8</v>
      </c>
      <c r="AF90" s="25">
        <f>14.2+73.4+1.8</f>
        <v>89.4</v>
      </c>
      <c r="AG90" s="7">
        <f>116.2+23.3</f>
        <v>139.5</v>
      </c>
    </row>
    <row r="91" spans="2:33" s="7" customFormat="1" x14ac:dyDescent="0.2">
      <c r="B91" s="7" t="s">
        <v>124</v>
      </c>
      <c r="C91" s="8"/>
      <c r="D91" s="8"/>
      <c r="E91" s="8"/>
      <c r="F91" s="8"/>
      <c r="G91" s="8"/>
      <c r="H91" s="8"/>
      <c r="I91" s="8"/>
      <c r="J91" s="8"/>
      <c r="K91" s="8">
        <v>52.7</v>
      </c>
      <c r="L91" s="8">
        <f>107.1-K91</f>
        <v>54.399999999999991</v>
      </c>
      <c r="M91" s="8"/>
      <c r="N91" s="8"/>
      <c r="O91" s="8"/>
      <c r="P91" s="8"/>
      <c r="Q91" s="8"/>
      <c r="R91" s="8"/>
      <c r="S91" s="8"/>
      <c r="T91" s="8"/>
      <c r="U91" s="8"/>
      <c r="V91" s="8"/>
      <c r="AF91" s="25"/>
    </row>
    <row r="92" spans="2:33" s="7" customFormat="1" x14ac:dyDescent="0.2">
      <c r="B92" s="7" t="s">
        <v>72</v>
      </c>
      <c r="C92" s="8"/>
      <c r="D92" s="8"/>
      <c r="E92" s="8"/>
      <c r="F92" s="8"/>
      <c r="G92" s="8"/>
      <c r="H92" s="8"/>
      <c r="I92" s="8"/>
      <c r="J92" s="8"/>
      <c r="K92" s="8">
        <v>5.4</v>
      </c>
      <c r="L92" s="8">
        <v>5.4</v>
      </c>
      <c r="M92" s="8"/>
      <c r="N92" s="8"/>
      <c r="O92" s="8">
        <v>6.5</v>
      </c>
      <c r="P92" s="8"/>
      <c r="Q92" s="8"/>
      <c r="R92" s="8"/>
      <c r="S92" s="8"/>
      <c r="T92" s="8"/>
      <c r="U92" s="8"/>
      <c r="V92" s="8"/>
      <c r="AE92" s="7">
        <v>4.4000000000000004</v>
      </c>
      <c r="AF92" s="25">
        <v>25.4</v>
      </c>
      <c r="AG92" s="7">
        <v>43.1</v>
      </c>
    </row>
    <row r="93" spans="2:33" s="7" customFormat="1" x14ac:dyDescent="0.2">
      <c r="B93" s="7" t="s">
        <v>73</v>
      </c>
      <c r="C93" s="8"/>
      <c r="D93" s="8"/>
      <c r="E93" s="8"/>
      <c r="F93" s="8"/>
      <c r="G93" s="8"/>
      <c r="H93" s="8"/>
      <c r="I93" s="8"/>
      <c r="J93" s="8"/>
      <c r="K93" s="8">
        <v>0</v>
      </c>
      <c r="L93" s="8">
        <v>0</v>
      </c>
      <c r="M93" s="8"/>
      <c r="N93" s="8"/>
      <c r="O93" s="8">
        <v>-0.4</v>
      </c>
      <c r="P93" s="8"/>
      <c r="Q93" s="8"/>
      <c r="R93" s="8"/>
      <c r="S93" s="8"/>
      <c r="T93" s="8"/>
      <c r="U93" s="8"/>
      <c r="V93" s="8"/>
      <c r="AE93" s="7">
        <f>-17.4-5.8</f>
        <v>-23.2</v>
      </c>
      <c r="AF93" s="25">
        <v>-17.399999999999999</v>
      </c>
      <c r="AG93" s="7">
        <v>0.3</v>
      </c>
    </row>
    <row r="94" spans="2:33" s="7" customFormat="1" x14ac:dyDescent="0.2">
      <c r="B94" s="7" t="s">
        <v>74</v>
      </c>
      <c r="C94" s="8"/>
      <c r="D94" s="8"/>
      <c r="E94" s="8"/>
      <c r="F94" s="8"/>
      <c r="G94" s="8"/>
      <c r="H94" s="8"/>
      <c r="I94" s="8"/>
      <c r="J94" s="8"/>
      <c r="K94" s="8">
        <v>2.8</v>
      </c>
      <c r="L94" s="8">
        <v>2.8</v>
      </c>
      <c r="M94" s="8"/>
      <c r="N94" s="8"/>
      <c r="O94" s="8">
        <v>5.8</v>
      </c>
      <c r="P94" s="8"/>
      <c r="Q94" s="8"/>
      <c r="R94" s="8"/>
      <c r="S94" s="8"/>
      <c r="T94" s="8"/>
      <c r="U94" s="8"/>
      <c r="V94" s="8"/>
      <c r="AE94" s="7">
        <v>2.7</v>
      </c>
      <c r="AF94" s="25">
        <v>45.4</v>
      </c>
      <c r="AG94" s="7">
        <v>1.3</v>
      </c>
    </row>
    <row r="95" spans="2:33" s="7" customFormat="1" x14ac:dyDescent="0.2">
      <c r="B95" s="7" t="s">
        <v>75</v>
      </c>
      <c r="C95" s="8"/>
      <c r="D95" s="8"/>
      <c r="E95" s="8"/>
      <c r="F95" s="8"/>
      <c r="G95" s="8"/>
      <c r="H95" s="8"/>
      <c r="I95" s="8"/>
      <c r="J95" s="8"/>
      <c r="K95" s="8">
        <v>3.7</v>
      </c>
      <c r="L95" s="8">
        <v>3.7</v>
      </c>
      <c r="M95" s="8"/>
      <c r="N95" s="8"/>
      <c r="O95" s="8">
        <v>0.6</v>
      </c>
      <c r="P95" s="8"/>
      <c r="Q95" s="8"/>
      <c r="R95" s="8"/>
      <c r="S95" s="8"/>
      <c r="T95" s="8"/>
      <c r="U95" s="8"/>
      <c r="V95" s="8"/>
      <c r="AE95" s="7">
        <v>106.5</v>
      </c>
      <c r="AF95" s="25">
        <v>43.6</v>
      </c>
      <c r="AG95" s="7">
        <v>22</v>
      </c>
    </row>
    <row r="96" spans="2:33" s="7" customFormat="1" x14ac:dyDescent="0.2">
      <c r="B96" s="7" t="s">
        <v>76</v>
      </c>
      <c r="C96" s="8"/>
      <c r="D96" s="8"/>
      <c r="E96" s="8"/>
      <c r="F96" s="8"/>
      <c r="G96" s="8"/>
      <c r="H96" s="8"/>
      <c r="I96" s="8"/>
      <c r="J96" s="8"/>
      <c r="K96" s="8">
        <v>-7.5</v>
      </c>
      <c r="L96" s="8">
        <v>-7.5</v>
      </c>
      <c r="M96" s="8"/>
      <c r="N96" s="8"/>
      <c r="O96" s="8">
        <v>-7.1</v>
      </c>
      <c r="P96" s="8"/>
      <c r="Q96" s="8"/>
      <c r="R96" s="8"/>
      <c r="S96" s="8"/>
      <c r="T96" s="8"/>
      <c r="U96" s="8"/>
      <c r="V96" s="8"/>
      <c r="AE96" s="7">
        <v>25.7</v>
      </c>
      <c r="AF96" s="25">
        <v>-4.9000000000000004</v>
      </c>
      <c r="AG96" s="7">
        <v>-24.9</v>
      </c>
    </row>
    <row r="97" spans="2:33" s="7" customFormat="1" x14ac:dyDescent="0.2">
      <c r="B97" s="7" t="s">
        <v>77</v>
      </c>
      <c r="C97" s="8"/>
      <c r="D97" s="8"/>
      <c r="E97" s="8"/>
      <c r="F97" s="8"/>
      <c r="G97" s="8"/>
      <c r="H97" s="8"/>
      <c r="I97" s="8"/>
      <c r="J97" s="8"/>
      <c r="K97" s="8">
        <v>-21.8</v>
      </c>
      <c r="L97" s="8">
        <v>-21.8</v>
      </c>
      <c r="M97" s="8"/>
      <c r="N97" s="8"/>
      <c r="O97" s="8">
        <v>-48.7</v>
      </c>
      <c r="P97" s="8"/>
      <c r="Q97" s="8"/>
      <c r="R97" s="8"/>
      <c r="S97" s="8"/>
      <c r="T97" s="8"/>
      <c r="U97" s="8"/>
      <c r="V97" s="8"/>
      <c r="AE97" s="7">
        <v>-62.3</v>
      </c>
      <c r="AF97" s="25">
        <v>3.4</v>
      </c>
      <c r="AG97" s="7">
        <v>-133.69999999999999</v>
      </c>
    </row>
    <row r="98" spans="2:33" s="7" customFormat="1" x14ac:dyDescent="0.2">
      <c r="B98" s="7" t="s">
        <v>78</v>
      </c>
      <c r="C98" s="8"/>
      <c r="D98" s="8"/>
      <c r="E98" s="8"/>
      <c r="F98" s="8"/>
      <c r="G98" s="8"/>
      <c r="H98" s="8"/>
      <c r="I98" s="8"/>
      <c r="J98" s="8"/>
      <c r="K98" s="8">
        <f>-0.2-2.7-13-11.9+96.4-11.9</f>
        <v>56.70000000000001</v>
      </c>
      <c r="L98" s="8">
        <f>-0.2-2.7-13-11.9+96.4-11.9</f>
        <v>56.70000000000001</v>
      </c>
      <c r="M98" s="8"/>
      <c r="N98" s="8"/>
      <c r="O98" s="8">
        <f>63.6-30.6-80.4-32.8+8.2</f>
        <v>-72</v>
      </c>
      <c r="P98" s="8"/>
      <c r="Q98" s="8"/>
      <c r="R98" s="8"/>
      <c r="S98" s="8"/>
      <c r="T98" s="8"/>
      <c r="U98" s="8"/>
      <c r="V98" s="8"/>
      <c r="AE98" s="7">
        <f>0.7+30.9+104.8-0.6-7.5+1.7</f>
        <v>130</v>
      </c>
      <c r="AF98" s="25">
        <f>159.3+76.8-176.4+102.5+43.2</f>
        <v>205.40000000000003</v>
      </c>
      <c r="AG98" s="7">
        <f>-82.7-5.8+63.8+164.3-29.9</f>
        <v>109.70000000000002</v>
      </c>
    </row>
    <row r="99" spans="2:33" s="7" customFormat="1" x14ac:dyDescent="0.2">
      <c r="B99" s="7" t="s">
        <v>69</v>
      </c>
      <c r="C99" s="8"/>
      <c r="D99" s="8"/>
      <c r="E99" s="8"/>
      <c r="F99" s="8"/>
      <c r="G99" s="8"/>
      <c r="H99" s="8"/>
      <c r="I99" s="8"/>
      <c r="J99" s="8"/>
      <c r="K99" s="8">
        <f>SUM(K83:K98)</f>
        <v>-312.90000000000003</v>
      </c>
      <c r="L99" s="8">
        <f>SUM(L83:L98)</f>
        <v>-165.10000000000002</v>
      </c>
      <c r="M99" s="8"/>
      <c r="N99" s="8"/>
      <c r="O99" s="8">
        <f>SUM(O83:O98)</f>
        <v>-295</v>
      </c>
      <c r="P99" s="8"/>
      <c r="Q99" s="8"/>
      <c r="R99" s="8"/>
      <c r="S99" s="8"/>
      <c r="T99" s="8"/>
      <c r="U99" s="8"/>
      <c r="V99" s="8"/>
      <c r="AE99" s="7">
        <f t="shared" ref="AE99:AF99" si="152">SUM(AE83:AE98)</f>
        <v>579</v>
      </c>
      <c r="AF99" s="25">
        <f t="shared" si="152"/>
        <v>-1129.4999999999991</v>
      </c>
      <c r="AG99" s="7">
        <f>SUM(AG83:AG98)</f>
        <v>-614.09999999999991</v>
      </c>
    </row>
    <row r="100" spans="2:33" x14ac:dyDescent="0.2">
      <c r="AF100" s="7"/>
    </row>
    <row r="101" spans="2:33" x14ac:dyDescent="0.2">
      <c r="B101" s="7" t="s">
        <v>86</v>
      </c>
      <c r="O101" s="2">
        <v>-34.799999999999997</v>
      </c>
      <c r="AE101" s="7">
        <v>-518.1</v>
      </c>
      <c r="AF101" s="7">
        <v>-173.8</v>
      </c>
      <c r="AG101" s="7">
        <v>-92.4</v>
      </c>
    </row>
    <row r="102" spans="2:33" x14ac:dyDescent="0.2">
      <c r="B102" s="7" t="s">
        <v>73</v>
      </c>
      <c r="O102" s="2">
        <v>7.2</v>
      </c>
      <c r="AE102" s="7">
        <v>0</v>
      </c>
      <c r="AF102" s="7">
        <v>6.2</v>
      </c>
      <c r="AG102" s="7">
        <v>34.200000000000003</v>
      </c>
    </row>
    <row r="103" spans="2:33" x14ac:dyDescent="0.2">
      <c r="B103" s="7" t="s">
        <v>88</v>
      </c>
      <c r="O103" s="2">
        <v>-27.9</v>
      </c>
      <c r="AE103" s="7">
        <f>-11.8+23.2-9.7</f>
        <v>1.6999999999999993</v>
      </c>
      <c r="AF103" s="7">
        <f>-9.3+19.8</f>
        <v>10.5</v>
      </c>
      <c r="AG103" s="7">
        <f>-11.8+9.7-8.2</f>
        <v>-10.3</v>
      </c>
    </row>
    <row r="104" spans="2:33" x14ac:dyDescent="0.2">
      <c r="B104" s="7" t="s">
        <v>89</v>
      </c>
      <c r="O104" s="2">
        <v>0.6</v>
      </c>
      <c r="AE104" s="7">
        <v>0.3</v>
      </c>
      <c r="AF104" s="7">
        <v>2.5</v>
      </c>
      <c r="AG104" s="7">
        <v>0.3</v>
      </c>
    </row>
    <row r="105" spans="2:33" x14ac:dyDescent="0.2">
      <c r="B105" t="s">
        <v>87</v>
      </c>
      <c r="O105" s="2">
        <f>SUM(O101:O104)</f>
        <v>-54.9</v>
      </c>
      <c r="AE105" s="7">
        <f>SUM(AE101:AE104)</f>
        <v>-516.1</v>
      </c>
      <c r="AF105" s="7">
        <f t="shared" ref="AF105:AG105" si="153">SUM(AF101:AF104)</f>
        <v>-154.60000000000002</v>
      </c>
      <c r="AG105" s="7">
        <f t="shared" si="153"/>
        <v>-68.2</v>
      </c>
    </row>
    <row r="112" spans="2:33" s="15" customFormat="1" x14ac:dyDescent="0.2">
      <c r="B112" s="15" t="s">
        <v>92</v>
      </c>
      <c r="C112" s="16"/>
      <c r="D112" s="16"/>
      <c r="E112" s="16"/>
      <c r="F112" s="16"/>
      <c r="G112" s="16"/>
      <c r="H112" s="16"/>
      <c r="I112" s="16"/>
      <c r="J112" s="16"/>
      <c r="K112" s="16">
        <v>185</v>
      </c>
      <c r="L112" s="16"/>
      <c r="M112" s="16"/>
      <c r="N112" s="16"/>
      <c r="O112" s="16">
        <v>185</v>
      </c>
      <c r="P112" s="16"/>
      <c r="Q112" s="16"/>
      <c r="R112" s="16"/>
      <c r="S112" s="16"/>
      <c r="T112" s="16"/>
      <c r="U112" s="16"/>
      <c r="V112" s="16"/>
    </row>
    <row r="113" spans="2:22" s="15" customFormat="1" x14ac:dyDescent="0.2">
      <c r="B113" s="15" t="s">
        <v>93</v>
      </c>
      <c r="C113" s="16"/>
      <c r="D113" s="16"/>
      <c r="E113" s="16"/>
      <c r="F113" s="16"/>
      <c r="G113" s="16"/>
      <c r="H113" s="16"/>
      <c r="I113" s="16"/>
      <c r="J113" s="16"/>
      <c r="K113" s="16">
        <v>153</v>
      </c>
      <c r="L113" s="16"/>
      <c r="M113" s="16"/>
      <c r="N113" s="16"/>
      <c r="O113" s="16">
        <v>154</v>
      </c>
      <c r="P113" s="16"/>
      <c r="Q113" s="16"/>
      <c r="R113" s="16"/>
      <c r="S113" s="16"/>
      <c r="T113" s="16"/>
      <c r="U113" s="16"/>
      <c r="V113" s="16"/>
    </row>
    <row r="114" spans="2:22" s="15" customFormat="1" x14ac:dyDescent="0.2">
      <c r="B114" s="15" t="s">
        <v>94</v>
      </c>
      <c r="C114" s="16"/>
      <c r="D114" s="16"/>
      <c r="E114" s="16"/>
      <c r="F114" s="16"/>
      <c r="G114" s="16"/>
      <c r="H114" s="16"/>
      <c r="I114" s="16"/>
      <c r="J114" s="16"/>
      <c r="K114" s="16">
        <v>55</v>
      </c>
      <c r="L114" s="16"/>
      <c r="M114" s="16"/>
      <c r="N114" s="16"/>
      <c r="O114" s="16">
        <v>56</v>
      </c>
      <c r="P114" s="16"/>
      <c r="Q114" s="16"/>
      <c r="R114" s="16"/>
      <c r="S114" s="16"/>
      <c r="T114" s="16"/>
      <c r="U114" s="16"/>
      <c r="V114" s="16"/>
    </row>
    <row r="115" spans="2:22" s="15" customFormat="1" x14ac:dyDescent="0.2">
      <c r="B115" s="15" t="s">
        <v>95</v>
      </c>
      <c r="C115" s="16"/>
      <c r="D115" s="16"/>
      <c r="E115" s="16"/>
      <c r="F115" s="16"/>
      <c r="G115" s="16"/>
      <c r="H115" s="16"/>
      <c r="I115" s="16"/>
      <c r="J115" s="16"/>
      <c r="K115" s="16">
        <v>725</v>
      </c>
      <c r="L115" s="16"/>
      <c r="M115" s="16"/>
      <c r="N115" s="16"/>
      <c r="O115" s="16">
        <v>729</v>
      </c>
      <c r="P115" s="16"/>
      <c r="Q115" s="16"/>
      <c r="R115" s="16"/>
      <c r="S115" s="16"/>
      <c r="T115" s="16"/>
      <c r="U115" s="16"/>
      <c r="V115" s="16"/>
    </row>
    <row r="116" spans="2:22" s="15" customFormat="1" x14ac:dyDescent="0.2">
      <c r="B116" s="15" t="s">
        <v>96</v>
      </c>
      <c r="C116" s="16"/>
      <c r="D116" s="16"/>
      <c r="E116" s="16"/>
      <c r="F116" s="16"/>
      <c r="G116" s="16"/>
      <c r="H116" s="16"/>
      <c r="I116" s="16"/>
      <c r="J116" s="16"/>
      <c r="K116" s="16">
        <v>3339</v>
      </c>
      <c r="L116" s="16"/>
      <c r="M116" s="16"/>
      <c r="N116" s="16"/>
      <c r="O116" s="16">
        <v>3395</v>
      </c>
      <c r="P116" s="16"/>
      <c r="Q116" s="16"/>
      <c r="R116" s="16"/>
      <c r="S116" s="16"/>
      <c r="T116" s="16"/>
      <c r="U116" s="16"/>
      <c r="V116" s="16"/>
    </row>
    <row r="118" spans="2:22" x14ac:dyDescent="0.2">
      <c r="B118" s="15" t="s">
        <v>97</v>
      </c>
      <c r="O118" s="8">
        <v>25.7</v>
      </c>
    </row>
    <row r="119" spans="2:22" x14ac:dyDescent="0.2">
      <c r="O119" s="16"/>
    </row>
  </sheetData>
  <hyperlinks>
    <hyperlink ref="A1" location="Main!A1" display="Main" xr:uid="{B81062D5-BF83-47A2-9DBF-ED38863027E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2022-07-02T03:46:33Z</dcterms:created>
  <dcterms:modified xsi:type="dcterms:W3CDTF">2022-07-11T14:24:57Z</dcterms:modified>
</cp:coreProperties>
</file>