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45.xml" ContentType="application/vnd.openxmlformats-officedocument.spreadsheetml.externalLink+xml"/>
  <Override PartName="/xl/externalLinks/externalLink146.xml" ContentType="application/vnd.openxmlformats-officedocument.spreadsheetml.externalLink+xml"/>
  <Override PartName="/xl/externalLinks/externalLink147.xml" ContentType="application/vnd.openxmlformats-officedocument.spreadsheetml.externalLink+xml"/>
  <Override PartName="/xl/externalLinks/externalLink148.xml" ContentType="application/vnd.openxmlformats-officedocument.spreadsheetml.externalLink+xml"/>
  <Override PartName="/xl/externalLinks/externalLink149.xml" ContentType="application/vnd.openxmlformats-officedocument.spreadsheetml.externalLink+xml"/>
  <Override PartName="/xl/externalLinks/externalLink150.xml" ContentType="application/vnd.openxmlformats-officedocument.spreadsheetml.externalLink+xml"/>
  <Override PartName="/xl/externalLinks/externalLink151.xml" ContentType="application/vnd.openxmlformats-officedocument.spreadsheetml.externalLink+xml"/>
  <Override PartName="/xl/externalLinks/externalLink152.xml" ContentType="application/vnd.openxmlformats-officedocument.spreadsheetml.externalLink+xml"/>
  <Override PartName="/xl/externalLinks/externalLink153.xml" ContentType="application/vnd.openxmlformats-officedocument.spreadsheetml.externalLink+xml"/>
  <Override PartName="/xl/externalLinks/externalLink154.xml" ContentType="application/vnd.openxmlformats-officedocument.spreadsheetml.externalLink+xml"/>
  <Override PartName="/xl/externalLinks/externalLink155.xml" ContentType="application/vnd.openxmlformats-officedocument.spreadsheetml.externalLink+xml"/>
  <Override PartName="/xl/externalLinks/externalLink156.xml" ContentType="application/vnd.openxmlformats-officedocument.spreadsheetml.externalLink+xml"/>
  <Override PartName="/xl/externalLinks/externalLink157.xml" ContentType="application/vnd.openxmlformats-officedocument.spreadsheetml.externalLink+xml"/>
  <Override PartName="/xl/externalLinks/externalLink158.xml" ContentType="application/vnd.openxmlformats-officedocument.spreadsheetml.externalLink+xml"/>
  <Override PartName="/xl/externalLinks/externalLink159.xml" ContentType="application/vnd.openxmlformats-officedocument.spreadsheetml.externalLink+xml"/>
  <Override PartName="/xl/externalLinks/externalLink160.xml" ContentType="application/vnd.openxmlformats-officedocument.spreadsheetml.externalLink+xml"/>
  <Override PartName="/xl/externalLinks/externalLink161.xml" ContentType="application/vnd.openxmlformats-officedocument.spreadsheetml.externalLink+xml"/>
  <Override PartName="/xl/externalLinks/externalLink162.xml" ContentType="application/vnd.openxmlformats-officedocument.spreadsheetml.externalLink+xml"/>
  <Override PartName="/xl/externalLinks/externalLink163.xml" ContentType="application/vnd.openxmlformats-officedocument.spreadsheetml.externalLink+xml"/>
  <Override PartName="/xl/externalLinks/externalLink164.xml" ContentType="application/vnd.openxmlformats-officedocument.spreadsheetml.externalLink+xml"/>
  <Override PartName="/xl/externalLinks/externalLink165.xml" ContentType="application/vnd.openxmlformats-officedocument.spreadsheetml.externalLink+xml"/>
  <Override PartName="/xl/externalLinks/externalLink166.xml" ContentType="application/vnd.openxmlformats-officedocument.spreadsheetml.externalLink+xml"/>
  <Override PartName="/xl/externalLinks/externalLink167.xml" ContentType="application/vnd.openxmlformats-officedocument.spreadsheetml.externalLink+xml"/>
  <Override PartName="/xl/externalLinks/externalLink168.xml" ContentType="application/vnd.openxmlformats-officedocument.spreadsheetml.externalLink+xml"/>
  <Override PartName="/xl/externalLinks/externalLink169.xml" ContentType="application/vnd.openxmlformats-officedocument.spreadsheetml.externalLink+xml"/>
  <Override PartName="/xl/externalLinks/externalLink170.xml" ContentType="application/vnd.openxmlformats-officedocument.spreadsheetml.externalLink+xml"/>
  <Override PartName="/xl/externalLinks/externalLink171.xml" ContentType="application/vnd.openxmlformats-officedocument.spreadsheetml.externalLink+xml"/>
  <Override PartName="/xl/externalLinks/externalLink172.xml" ContentType="application/vnd.openxmlformats-officedocument.spreadsheetml.externalLink+xml"/>
  <Override PartName="/xl/externalLinks/externalLink173.xml" ContentType="application/vnd.openxmlformats-officedocument.spreadsheetml.externalLink+xml"/>
  <Override PartName="/xl/externalLinks/externalLink17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tin Shkreli - DL\models\"/>
    </mc:Choice>
  </mc:AlternateContent>
  <xr:revisionPtr revIDLastSave="0" documentId="13_ncr:1_{4D0E2B47-4BEF-4B7D-AC30-DD11211602AC}" xr6:coauthVersionLast="47" xr6:coauthVersionMax="47" xr10:uidLastSave="{00000000-0000-0000-0000-000000000000}"/>
  <bookViews>
    <workbookView xWindow="6600" yWindow="2310" windowWidth="28840" windowHeight="15250" xr2:uid="{17641224-F2C3-441B-B85B-BB32567FE633}"/>
  </bookViews>
  <sheets>
    <sheet name="Main" sheetId="1" r:id="rId1"/>
    <sheet name="Drugs" sheetId="12" r:id="rId2"/>
    <sheet name="Industry Model" sheetId="9" r:id="rId3"/>
    <sheet name="Todo" sheetId="8" r:id="rId4"/>
    <sheet name="Launches" sheetId="6" r:id="rId5"/>
    <sheet name="China" sheetId="5" r:id="rId6"/>
    <sheet name="FX" sheetId="2" r:id="rId7"/>
    <sheet name="Private" sheetId="3" r:id="rId8"/>
    <sheet name="Funds" sheetId="10" r:id="rId9"/>
    <sheet name="Acquisitions" sheetId="4" r:id="rId10"/>
    <sheet name="Bankruptcies" sheetId="11" r:id="rId11"/>
  </sheets>
  <externalReferences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  <externalReference r:id="rId158"/>
    <externalReference r:id="rId159"/>
    <externalReference r:id="rId160"/>
    <externalReference r:id="rId161"/>
    <externalReference r:id="rId162"/>
    <externalReference r:id="rId163"/>
    <externalReference r:id="rId164"/>
    <externalReference r:id="rId165"/>
    <externalReference r:id="rId166"/>
    <externalReference r:id="rId167"/>
    <externalReference r:id="rId168"/>
    <externalReference r:id="rId169"/>
    <externalReference r:id="rId170"/>
    <externalReference r:id="rId171"/>
    <externalReference r:id="rId172"/>
    <externalReference r:id="rId173"/>
    <externalReference r:id="rId174"/>
    <externalReference r:id="rId175"/>
    <externalReference r:id="rId176"/>
    <externalReference r:id="rId177"/>
    <externalReference r:id="rId178"/>
    <externalReference r:id="rId179"/>
    <externalReference r:id="rId180"/>
    <externalReference r:id="rId181"/>
    <externalReference r:id="rId182"/>
    <externalReference r:id="rId183"/>
    <externalReference r:id="rId184"/>
    <externalReference r:id="rId185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" i="1" l="1"/>
  <c r="I240" i="1" l="1"/>
  <c r="L240" i="1"/>
  <c r="H240" i="1" s="1"/>
  <c r="J240" i="1" s="1"/>
  <c r="I210" i="1" l="1"/>
  <c r="L210" i="1"/>
  <c r="H210" i="1" s="1"/>
  <c r="I243" i="1"/>
  <c r="L243" i="1"/>
  <c r="H243" i="1" s="1"/>
  <c r="J210" i="1" l="1"/>
  <c r="J243" i="1"/>
  <c r="I369" i="1"/>
  <c r="L369" i="1"/>
  <c r="H369" i="1" s="1"/>
  <c r="J369" i="1" l="1"/>
  <c r="I83" i="1" l="1"/>
  <c r="L83" i="1"/>
  <c r="H83" i="1" s="1"/>
  <c r="I368" i="1"/>
  <c r="L368" i="1"/>
  <c r="H368" i="1" s="1"/>
  <c r="I436" i="1"/>
  <c r="L436" i="1"/>
  <c r="H436" i="1" s="1"/>
  <c r="I430" i="1"/>
  <c r="L430" i="1"/>
  <c r="H430" i="1" s="1"/>
  <c r="L428" i="1"/>
  <c r="H428" i="1" s="1"/>
  <c r="I428" i="1"/>
  <c r="I439" i="1"/>
  <c r="L439" i="1"/>
  <c r="H439" i="1" s="1"/>
  <c r="I438" i="1"/>
  <c r="L438" i="1"/>
  <c r="H438" i="1" s="1"/>
  <c r="I435" i="1"/>
  <c r="L435" i="1"/>
  <c r="H435" i="1" s="1"/>
  <c r="I429" i="1"/>
  <c r="L429" i="1"/>
  <c r="H429" i="1" s="1"/>
  <c r="J438" i="1" l="1"/>
  <c r="J368" i="1"/>
  <c r="J83" i="1"/>
  <c r="J436" i="1"/>
  <c r="J430" i="1"/>
  <c r="J428" i="1"/>
  <c r="J439" i="1"/>
  <c r="J435" i="1"/>
  <c r="J429" i="1"/>
  <c r="H17" i="1" l="1"/>
  <c r="I110" i="1" l="1"/>
  <c r="L110" i="1"/>
  <c r="H110" i="1" s="1"/>
  <c r="I427" i="1"/>
  <c r="L427" i="1"/>
  <c r="H427" i="1" s="1"/>
  <c r="A10" i="6"/>
  <c r="J110" i="1" l="1"/>
  <c r="J427" i="1"/>
  <c r="I356" i="1"/>
  <c r="L356" i="1"/>
  <c r="H356" i="1" s="1"/>
  <c r="J356" i="1" l="1"/>
  <c r="I431" i="1" l="1"/>
  <c r="L431" i="1"/>
  <c r="H431" i="1" s="1"/>
  <c r="I434" i="1"/>
  <c r="L434" i="1"/>
  <c r="H434" i="1" s="1"/>
  <c r="I425" i="1"/>
  <c r="L425" i="1"/>
  <c r="H425" i="1" s="1"/>
  <c r="L108" i="1"/>
  <c r="J431" i="1" l="1"/>
  <c r="J434" i="1"/>
  <c r="J425" i="1"/>
  <c r="I120" i="1"/>
  <c r="L120" i="1"/>
  <c r="H120" i="1" s="1"/>
  <c r="J120" i="1" l="1"/>
  <c r="I88" i="1"/>
  <c r="L88" i="1"/>
  <c r="H88" i="1" s="1"/>
  <c r="J88" i="1" l="1"/>
  <c r="J6" i="12"/>
  <c r="I437" i="1" l="1"/>
  <c r="L437" i="1"/>
  <c r="H437" i="1" s="1"/>
  <c r="J437" i="1" l="1"/>
  <c r="G9" i="6"/>
  <c r="L67" i="1" l="1"/>
  <c r="H67" i="1" s="1"/>
  <c r="I67" i="1"/>
  <c r="J67" i="1" l="1"/>
  <c r="CR10" i="6"/>
  <c r="CQ10" i="6"/>
  <c r="CP10" i="6"/>
  <c r="CO10" i="6"/>
  <c r="CN10" i="6"/>
  <c r="CM10" i="6"/>
  <c r="CL10" i="6"/>
  <c r="CK10" i="6"/>
  <c r="CJ10" i="6"/>
  <c r="CI10" i="6"/>
  <c r="CH10" i="6"/>
  <c r="CG10" i="6"/>
  <c r="CF10" i="6"/>
  <c r="CE10" i="6"/>
  <c r="CD10" i="6"/>
  <c r="CC10" i="6"/>
  <c r="CB10" i="6"/>
  <c r="CA10" i="6"/>
  <c r="BZ10" i="6"/>
  <c r="BY10" i="6"/>
  <c r="BX10" i="6"/>
  <c r="BW10" i="6"/>
  <c r="BV10" i="6"/>
  <c r="BU10" i="6"/>
  <c r="BT10" i="6"/>
  <c r="BS10" i="6"/>
  <c r="BR10" i="6"/>
  <c r="BQ10" i="6"/>
  <c r="BP10" i="6"/>
  <c r="BO10" i="6"/>
  <c r="BN10" i="6"/>
  <c r="BM10" i="6"/>
  <c r="BL10" i="6"/>
  <c r="BK10" i="6"/>
  <c r="BJ10" i="6"/>
  <c r="BI10" i="6"/>
  <c r="BH10" i="6"/>
  <c r="BG10" i="6"/>
  <c r="BF10" i="6"/>
  <c r="BE10" i="6"/>
  <c r="BD10" i="6"/>
  <c r="BC10" i="6"/>
  <c r="BB10" i="6"/>
  <c r="BA10" i="6"/>
  <c r="AZ10" i="6"/>
  <c r="AY10" i="6"/>
  <c r="AX10" i="6"/>
  <c r="AW10" i="6"/>
  <c r="AV10" i="6"/>
  <c r="AU10" i="6"/>
  <c r="AT10" i="6"/>
  <c r="AS10" i="6"/>
  <c r="AR10" i="6"/>
  <c r="AQ10" i="6"/>
  <c r="AP10" i="6"/>
  <c r="AO10" i="6"/>
  <c r="AN10" i="6"/>
  <c r="AM10" i="6"/>
  <c r="AL10" i="6"/>
  <c r="AK10" i="6"/>
  <c r="AJ10" i="6"/>
  <c r="AH10" i="6"/>
  <c r="AG10" i="6"/>
  <c r="AF10" i="6"/>
  <c r="AE10" i="6"/>
  <c r="AD10" i="6"/>
  <c r="AC10" i="6"/>
  <c r="V25" i="6" l="1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G25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2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6" i="6"/>
  <c r="G24" i="6"/>
  <c r="G23" i="6"/>
  <c r="G22" i="6"/>
  <c r="G20" i="6"/>
  <c r="G19" i="6"/>
  <c r="G18" i="6"/>
  <c r="G17" i="6"/>
  <c r="G16" i="6"/>
  <c r="G4" i="6"/>
  <c r="G3" i="6"/>
  <c r="G79" i="6"/>
  <c r="G13" i="6"/>
  <c r="G12" i="6"/>
  <c r="G11" i="6"/>
  <c r="G5" i="6"/>
  <c r="G8" i="6"/>
  <c r="G7" i="6"/>
  <c r="G14" i="6"/>
  <c r="AA14" i="6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/>
  <c r="L14" i="6"/>
  <c r="K14" i="6"/>
  <c r="J14" i="6"/>
  <c r="I14" i="6"/>
  <c r="I52" i="6"/>
  <c r="J52" i="6"/>
  <c r="K52" i="6"/>
  <c r="L52" i="6"/>
  <c r="M52" i="6"/>
  <c r="N52" i="6"/>
  <c r="O52" i="6"/>
  <c r="V11" i="6"/>
  <c r="U11" i="6"/>
  <c r="T11" i="6"/>
  <c r="S11" i="6"/>
  <c r="R11" i="6"/>
  <c r="Q11" i="6"/>
  <c r="P11" i="6"/>
  <c r="O11" i="6"/>
  <c r="N11" i="6"/>
  <c r="M11" i="6"/>
  <c r="L11" i="6"/>
  <c r="K11" i="6"/>
  <c r="J11" i="6"/>
  <c r="I11" i="6"/>
  <c r="V36" i="6" l="1"/>
  <c r="U36" i="6"/>
  <c r="T36" i="6"/>
  <c r="S36" i="6"/>
  <c r="R36" i="6"/>
  <c r="Q36" i="6"/>
  <c r="P36" i="6"/>
  <c r="O36" i="6"/>
  <c r="N36" i="6"/>
  <c r="M36" i="6"/>
  <c r="L36" i="6"/>
  <c r="K36" i="6"/>
  <c r="J36" i="6"/>
  <c r="I36" i="6"/>
  <c r="V30" i="6"/>
  <c r="U30" i="6"/>
  <c r="T30" i="6"/>
  <c r="S30" i="6"/>
  <c r="R30" i="6"/>
  <c r="Q30" i="6"/>
  <c r="P30" i="6"/>
  <c r="O30" i="6"/>
  <c r="N30" i="6"/>
  <c r="M30" i="6"/>
  <c r="L30" i="6"/>
  <c r="K30" i="6"/>
  <c r="J30" i="6"/>
  <c r="I30" i="6"/>
  <c r="X3" i="6"/>
  <c r="W3" i="6"/>
  <c r="V3" i="6"/>
  <c r="U3" i="6"/>
  <c r="T3" i="6"/>
  <c r="S3" i="6"/>
  <c r="R3" i="6"/>
  <c r="Q3" i="6"/>
  <c r="P3" i="6"/>
  <c r="A7" i="6"/>
  <c r="A8" i="6" s="1"/>
  <c r="A9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X18" i="6" l="1"/>
  <c r="W18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G78" i="6"/>
  <c r="G77" i="6"/>
  <c r="X4" i="6"/>
  <c r="W4" i="6"/>
  <c r="V4" i="6"/>
  <c r="V35" i="6"/>
  <c r="U35" i="6"/>
  <c r="V34" i="6"/>
  <c r="U34" i="6"/>
  <c r="V33" i="6"/>
  <c r="U33" i="6"/>
  <c r="V32" i="6"/>
  <c r="U32" i="6"/>
  <c r="V31" i="6"/>
  <c r="U31" i="6"/>
  <c r="V29" i="6"/>
  <c r="U29" i="6"/>
  <c r="V28" i="6"/>
  <c r="U28" i="6"/>
  <c r="V27" i="6"/>
  <c r="U27" i="6"/>
  <c r="V26" i="6"/>
  <c r="U26" i="6"/>
  <c r="V80" i="6"/>
  <c r="U80" i="6"/>
  <c r="V15" i="6"/>
  <c r="U15" i="6"/>
  <c r="V19" i="6"/>
  <c r="U19" i="6"/>
  <c r="V24" i="6"/>
  <c r="U24" i="6"/>
  <c r="V23" i="6"/>
  <c r="U23" i="6"/>
  <c r="V22" i="6"/>
  <c r="U22" i="6"/>
  <c r="V21" i="6"/>
  <c r="U21" i="6"/>
  <c r="V20" i="6"/>
  <c r="U20" i="6"/>
  <c r="V16" i="6"/>
  <c r="U16" i="6"/>
  <c r="V17" i="6"/>
  <c r="U17" i="6"/>
  <c r="V79" i="6"/>
  <c r="U79" i="6"/>
  <c r="V78" i="6"/>
  <c r="U78" i="6"/>
  <c r="V13" i="6"/>
  <c r="U13" i="6"/>
  <c r="V7" i="6"/>
  <c r="U7" i="6"/>
  <c r="V12" i="6"/>
  <c r="U12" i="6"/>
  <c r="V77" i="6"/>
  <c r="U77" i="6"/>
  <c r="V5" i="6"/>
  <c r="U5" i="6"/>
  <c r="V8" i="6"/>
  <c r="U8" i="6"/>
  <c r="U4" i="6"/>
  <c r="T4" i="6"/>
  <c r="S4" i="6"/>
  <c r="R4" i="6"/>
  <c r="Q4" i="6"/>
  <c r="P4" i="6"/>
  <c r="T44" i="6"/>
  <c r="S44" i="6"/>
  <c r="R44" i="6"/>
  <c r="Q44" i="6"/>
  <c r="P44" i="6"/>
  <c r="O44" i="6"/>
  <c r="N44" i="6"/>
  <c r="M44" i="6"/>
  <c r="L44" i="6"/>
  <c r="K44" i="6"/>
  <c r="J44" i="6"/>
  <c r="I44" i="6"/>
  <c r="T43" i="6"/>
  <c r="S43" i="6"/>
  <c r="R43" i="6"/>
  <c r="Q43" i="6"/>
  <c r="P43" i="6"/>
  <c r="O43" i="6"/>
  <c r="N43" i="6"/>
  <c r="M43" i="6"/>
  <c r="L43" i="6"/>
  <c r="K43" i="6"/>
  <c r="J43" i="6"/>
  <c r="I43" i="6"/>
  <c r="T42" i="6"/>
  <c r="S42" i="6"/>
  <c r="R42" i="6"/>
  <c r="Q42" i="6"/>
  <c r="P42" i="6"/>
  <c r="O42" i="6"/>
  <c r="N42" i="6"/>
  <c r="M42" i="6"/>
  <c r="L42" i="6"/>
  <c r="K42" i="6"/>
  <c r="J42" i="6"/>
  <c r="I42" i="6"/>
  <c r="T41" i="6"/>
  <c r="S41" i="6"/>
  <c r="R41" i="6"/>
  <c r="Q41" i="6"/>
  <c r="P41" i="6"/>
  <c r="O41" i="6"/>
  <c r="N41" i="6"/>
  <c r="M41" i="6"/>
  <c r="L41" i="6"/>
  <c r="K41" i="6"/>
  <c r="J41" i="6"/>
  <c r="I41" i="6"/>
  <c r="T40" i="6"/>
  <c r="S40" i="6"/>
  <c r="R40" i="6"/>
  <c r="Q40" i="6"/>
  <c r="P40" i="6"/>
  <c r="O40" i="6"/>
  <c r="N40" i="6"/>
  <c r="M40" i="6"/>
  <c r="L40" i="6"/>
  <c r="K40" i="6"/>
  <c r="J40" i="6"/>
  <c r="I40" i="6"/>
  <c r="T39" i="6"/>
  <c r="S39" i="6"/>
  <c r="R39" i="6"/>
  <c r="Q39" i="6"/>
  <c r="P39" i="6"/>
  <c r="O39" i="6"/>
  <c r="N39" i="6"/>
  <c r="M39" i="6"/>
  <c r="L39" i="6"/>
  <c r="K39" i="6"/>
  <c r="J39" i="6"/>
  <c r="I39" i="6"/>
  <c r="T38" i="6"/>
  <c r="S38" i="6"/>
  <c r="R38" i="6"/>
  <c r="Q38" i="6"/>
  <c r="P38" i="6"/>
  <c r="O38" i="6"/>
  <c r="N38" i="6"/>
  <c r="M38" i="6"/>
  <c r="L38" i="6"/>
  <c r="K38" i="6"/>
  <c r="J38" i="6"/>
  <c r="I38" i="6"/>
  <c r="T37" i="6"/>
  <c r="S37" i="6"/>
  <c r="R37" i="6"/>
  <c r="Q37" i="6"/>
  <c r="P37" i="6"/>
  <c r="O37" i="6"/>
  <c r="N37" i="6"/>
  <c r="M37" i="6"/>
  <c r="L37" i="6"/>
  <c r="K37" i="6"/>
  <c r="J37" i="6"/>
  <c r="I37" i="6"/>
  <c r="T35" i="6"/>
  <c r="S35" i="6"/>
  <c r="R35" i="6"/>
  <c r="Q35" i="6"/>
  <c r="P35" i="6"/>
  <c r="O35" i="6"/>
  <c r="N35" i="6"/>
  <c r="M35" i="6"/>
  <c r="L35" i="6"/>
  <c r="K35" i="6"/>
  <c r="J35" i="6"/>
  <c r="I35" i="6"/>
  <c r="T34" i="6"/>
  <c r="S34" i="6"/>
  <c r="R34" i="6"/>
  <c r="Q34" i="6"/>
  <c r="P34" i="6"/>
  <c r="O34" i="6"/>
  <c r="N34" i="6"/>
  <c r="M34" i="6"/>
  <c r="L34" i="6"/>
  <c r="K34" i="6"/>
  <c r="J34" i="6"/>
  <c r="I34" i="6"/>
  <c r="T33" i="6"/>
  <c r="S33" i="6"/>
  <c r="R33" i="6"/>
  <c r="Q33" i="6"/>
  <c r="P33" i="6"/>
  <c r="O33" i="6"/>
  <c r="N33" i="6"/>
  <c r="M33" i="6"/>
  <c r="L33" i="6"/>
  <c r="K33" i="6"/>
  <c r="J33" i="6"/>
  <c r="I33" i="6"/>
  <c r="T32" i="6"/>
  <c r="S32" i="6"/>
  <c r="R32" i="6"/>
  <c r="Q32" i="6"/>
  <c r="P32" i="6"/>
  <c r="O32" i="6"/>
  <c r="N32" i="6"/>
  <c r="M32" i="6"/>
  <c r="L32" i="6"/>
  <c r="K32" i="6"/>
  <c r="J32" i="6"/>
  <c r="I32" i="6"/>
  <c r="T31" i="6"/>
  <c r="S31" i="6"/>
  <c r="R31" i="6"/>
  <c r="Q31" i="6"/>
  <c r="P31" i="6"/>
  <c r="O31" i="6"/>
  <c r="N31" i="6"/>
  <c r="M31" i="6"/>
  <c r="L31" i="6"/>
  <c r="K31" i="6"/>
  <c r="J31" i="6"/>
  <c r="I31" i="6"/>
  <c r="T29" i="6"/>
  <c r="S29" i="6"/>
  <c r="R29" i="6"/>
  <c r="Q29" i="6"/>
  <c r="P29" i="6"/>
  <c r="O29" i="6"/>
  <c r="N29" i="6"/>
  <c r="M29" i="6"/>
  <c r="L29" i="6"/>
  <c r="K29" i="6"/>
  <c r="J29" i="6"/>
  <c r="I29" i="6"/>
  <c r="T28" i="6"/>
  <c r="S28" i="6"/>
  <c r="R28" i="6"/>
  <c r="Q28" i="6"/>
  <c r="P28" i="6"/>
  <c r="O28" i="6"/>
  <c r="N28" i="6"/>
  <c r="M28" i="6"/>
  <c r="L28" i="6"/>
  <c r="K28" i="6"/>
  <c r="J28" i="6"/>
  <c r="I28" i="6"/>
  <c r="T27" i="6"/>
  <c r="S27" i="6"/>
  <c r="R27" i="6"/>
  <c r="Q27" i="6"/>
  <c r="P27" i="6"/>
  <c r="O27" i="6"/>
  <c r="N27" i="6"/>
  <c r="M27" i="6"/>
  <c r="L27" i="6"/>
  <c r="K27" i="6"/>
  <c r="J27" i="6"/>
  <c r="T26" i="6"/>
  <c r="S26" i="6"/>
  <c r="R26" i="6"/>
  <c r="Q26" i="6"/>
  <c r="P26" i="6"/>
  <c r="O26" i="6"/>
  <c r="N26" i="6"/>
  <c r="M26" i="6"/>
  <c r="L26" i="6"/>
  <c r="K26" i="6"/>
  <c r="J26" i="6"/>
  <c r="I26" i="6"/>
  <c r="T80" i="6"/>
  <c r="S80" i="6"/>
  <c r="R80" i="6"/>
  <c r="Q80" i="6"/>
  <c r="P80" i="6"/>
  <c r="O80" i="6"/>
  <c r="N80" i="6"/>
  <c r="M80" i="6"/>
  <c r="L80" i="6"/>
  <c r="K80" i="6"/>
  <c r="I80" i="6"/>
  <c r="T15" i="6"/>
  <c r="S15" i="6"/>
  <c r="R15" i="6"/>
  <c r="Q15" i="6"/>
  <c r="P15" i="6"/>
  <c r="O15" i="6"/>
  <c r="N15" i="6"/>
  <c r="M15" i="6"/>
  <c r="L15" i="6"/>
  <c r="K15" i="6"/>
  <c r="J15" i="6"/>
  <c r="T19" i="6"/>
  <c r="S19" i="6"/>
  <c r="R19" i="6"/>
  <c r="Q19" i="6"/>
  <c r="P19" i="6"/>
  <c r="O19" i="6"/>
  <c r="N19" i="6"/>
  <c r="M19" i="6"/>
  <c r="L19" i="6"/>
  <c r="K19" i="6"/>
  <c r="J19" i="6"/>
  <c r="I19" i="6"/>
  <c r="T24" i="6"/>
  <c r="S24" i="6"/>
  <c r="R24" i="6"/>
  <c r="Q24" i="6"/>
  <c r="P24" i="6"/>
  <c r="O24" i="6"/>
  <c r="N24" i="6"/>
  <c r="M24" i="6"/>
  <c r="L24" i="6"/>
  <c r="K24" i="6"/>
  <c r="J24" i="6"/>
  <c r="I24" i="6"/>
  <c r="T23" i="6"/>
  <c r="S23" i="6"/>
  <c r="R23" i="6"/>
  <c r="Q23" i="6"/>
  <c r="P23" i="6"/>
  <c r="O23" i="6"/>
  <c r="N23" i="6"/>
  <c r="M23" i="6"/>
  <c r="L23" i="6"/>
  <c r="K23" i="6"/>
  <c r="J23" i="6"/>
  <c r="I23" i="6"/>
  <c r="T22" i="6"/>
  <c r="S22" i="6"/>
  <c r="R22" i="6"/>
  <c r="Q22" i="6"/>
  <c r="P22" i="6"/>
  <c r="O22" i="6"/>
  <c r="N22" i="6"/>
  <c r="M22" i="6"/>
  <c r="L22" i="6"/>
  <c r="K22" i="6"/>
  <c r="J22" i="6"/>
  <c r="I22" i="6"/>
  <c r="T21" i="6"/>
  <c r="S21" i="6"/>
  <c r="R21" i="6"/>
  <c r="Q21" i="6"/>
  <c r="P21" i="6"/>
  <c r="O21" i="6"/>
  <c r="T20" i="6"/>
  <c r="S20" i="6"/>
  <c r="R20" i="6"/>
  <c r="Q20" i="6"/>
  <c r="P20" i="6"/>
  <c r="O20" i="6"/>
  <c r="N20" i="6"/>
  <c r="M20" i="6"/>
  <c r="L20" i="6"/>
  <c r="K20" i="6"/>
  <c r="J20" i="6"/>
  <c r="I20" i="6"/>
  <c r="T16" i="6"/>
  <c r="S16" i="6"/>
  <c r="R16" i="6"/>
  <c r="Q16" i="6"/>
  <c r="P16" i="6"/>
  <c r="O16" i="6"/>
  <c r="N16" i="6"/>
  <c r="M16" i="6"/>
  <c r="L16" i="6"/>
  <c r="K16" i="6"/>
  <c r="J16" i="6"/>
  <c r="I16" i="6"/>
  <c r="T17" i="6"/>
  <c r="S17" i="6"/>
  <c r="R17" i="6"/>
  <c r="Q17" i="6"/>
  <c r="P17" i="6"/>
  <c r="O17" i="6"/>
  <c r="N17" i="6"/>
  <c r="M17" i="6"/>
  <c r="L17" i="6"/>
  <c r="K17" i="6"/>
  <c r="J17" i="6"/>
  <c r="I17" i="6"/>
  <c r="T79" i="6"/>
  <c r="S79" i="6"/>
  <c r="R79" i="6"/>
  <c r="Q79" i="6"/>
  <c r="P79" i="6"/>
  <c r="O79" i="6"/>
  <c r="N79" i="6"/>
  <c r="M79" i="6"/>
  <c r="L79" i="6"/>
  <c r="K79" i="6"/>
  <c r="J79" i="6"/>
  <c r="I79" i="6"/>
  <c r="G6" i="6" l="1"/>
  <c r="U6" i="6"/>
  <c r="V6" i="6"/>
  <c r="T13" i="6"/>
  <c r="T7" i="6"/>
  <c r="T12" i="6"/>
  <c r="T77" i="6"/>
  <c r="T5" i="6"/>
  <c r="T8" i="6"/>
  <c r="T78" i="6"/>
  <c r="S78" i="6"/>
  <c r="S13" i="6"/>
  <c r="S7" i="6"/>
  <c r="S12" i="6"/>
  <c r="S77" i="6"/>
  <c r="S5" i="6"/>
  <c r="S8" i="6"/>
  <c r="R78" i="6"/>
  <c r="I78" i="6"/>
  <c r="I6" i="6" s="1"/>
  <c r="O78" i="6"/>
  <c r="O6" i="6" s="1"/>
  <c r="O13" i="6"/>
  <c r="R13" i="6"/>
  <c r="R7" i="6"/>
  <c r="R12" i="6"/>
  <c r="R77" i="6"/>
  <c r="R5" i="6"/>
  <c r="R8" i="6"/>
  <c r="Q78" i="6"/>
  <c r="Q13" i="6"/>
  <c r="Q7" i="6"/>
  <c r="Q12" i="6"/>
  <c r="Q77" i="6"/>
  <c r="Q5" i="6"/>
  <c r="Q8" i="6"/>
  <c r="P78" i="6"/>
  <c r="N78" i="6"/>
  <c r="N6" i="6" s="1"/>
  <c r="P13" i="6"/>
  <c r="P7" i="6"/>
  <c r="P12" i="6"/>
  <c r="P77" i="6"/>
  <c r="P5" i="6"/>
  <c r="P8" i="6"/>
  <c r="M78" i="6"/>
  <c r="M6" i="6" s="1"/>
  <c r="L78" i="6"/>
  <c r="L6" i="6" s="1"/>
  <c r="K78" i="6"/>
  <c r="K6" i="6" s="1"/>
  <c r="J78" i="6"/>
  <c r="J6" i="6" s="1"/>
  <c r="O8" i="6"/>
  <c r="N8" i="6"/>
  <c r="M8" i="6"/>
  <c r="L8" i="6"/>
  <c r="K8" i="6"/>
  <c r="J8" i="6"/>
  <c r="I8" i="6"/>
  <c r="S6" i="6" l="1"/>
  <c r="T6" i="6"/>
  <c r="Q6" i="6"/>
  <c r="R6" i="6"/>
  <c r="P6" i="6"/>
  <c r="AV21" i="6"/>
  <c r="AW21" i="6"/>
  <c r="AX21" i="6"/>
  <c r="A27" i="6" l="1"/>
  <c r="N21" i="6"/>
  <c r="N13" i="6"/>
  <c r="M13" i="6"/>
  <c r="L13" i="6"/>
  <c r="K13" i="6"/>
  <c r="I13" i="6"/>
  <c r="J13" i="6"/>
  <c r="I84" i="1"/>
  <c r="L84" i="1"/>
  <c r="H84" i="1" s="1"/>
  <c r="J84" i="1" l="1"/>
  <c r="I57" i="1" l="1"/>
  <c r="L57" i="1"/>
  <c r="H57" i="1" s="1"/>
  <c r="J57" i="1" l="1"/>
  <c r="I81" i="1"/>
  <c r="L81" i="1"/>
  <c r="H81" i="1" s="1"/>
  <c r="J81" i="1" l="1"/>
  <c r="I89" i="1" l="1"/>
  <c r="L89" i="1"/>
  <c r="H89" i="1" s="1"/>
  <c r="I93" i="1"/>
  <c r="L93" i="1"/>
  <c r="H93" i="1" s="1"/>
  <c r="I79" i="1"/>
  <c r="L79" i="1"/>
  <c r="H79" i="1" s="1"/>
  <c r="O48" i="6"/>
  <c r="N48" i="6"/>
  <c r="M48" i="6"/>
  <c r="J89" i="1" l="1"/>
  <c r="J93" i="1"/>
  <c r="J79" i="1"/>
  <c r="I254" i="1"/>
  <c r="L254" i="1"/>
  <c r="H254" i="1" s="1"/>
  <c r="I108" i="1"/>
  <c r="H108" i="1"/>
  <c r="J108" i="1" l="1"/>
  <c r="J254" i="1"/>
  <c r="I101" i="1" l="1"/>
  <c r="L101" i="1"/>
  <c r="H101" i="1" s="1"/>
  <c r="J101" i="1" l="1"/>
  <c r="I248" i="1" l="1"/>
  <c r="L248" i="1"/>
  <c r="H248" i="1" s="1"/>
  <c r="J248" i="1" l="1"/>
  <c r="I100" i="1"/>
  <c r="L100" i="1"/>
  <c r="H100" i="1" s="1"/>
  <c r="J100" i="1" l="1"/>
  <c r="I97" i="1"/>
  <c r="L97" i="1"/>
  <c r="H97" i="1" s="1"/>
  <c r="J97" i="1" l="1"/>
  <c r="I111" i="1"/>
  <c r="L111" i="1"/>
  <c r="H111" i="1" s="1"/>
  <c r="F8" i="9" l="1"/>
  <c r="E8" i="9"/>
  <c r="D8" i="9"/>
  <c r="C8" i="9"/>
  <c r="C26" i="9"/>
  <c r="D26" i="9" l="1"/>
  <c r="H13" i="9" l="1"/>
  <c r="H14" i="9" s="1"/>
  <c r="G13" i="9"/>
  <c r="G14" i="9" s="1"/>
  <c r="H7" i="9"/>
  <c r="H8" i="9" s="1"/>
  <c r="G7" i="9"/>
  <c r="G8" i="9" s="1"/>
  <c r="H15" i="9" l="1"/>
  <c r="G15" i="9"/>
  <c r="G26" i="9" s="1"/>
  <c r="H26" i="9"/>
  <c r="I96" i="1" l="1"/>
  <c r="J96" i="1" s="1"/>
  <c r="L96" i="1"/>
  <c r="I77" i="1"/>
  <c r="L77" i="1"/>
  <c r="H77" i="1" s="1"/>
  <c r="J77" i="1" l="1"/>
  <c r="I218" i="1" l="1"/>
  <c r="L218" i="1"/>
  <c r="H218" i="1" s="1"/>
  <c r="J218" i="1" l="1"/>
  <c r="I219" i="1"/>
  <c r="L219" i="1"/>
  <c r="H219" i="1" s="1"/>
  <c r="I317" i="1"/>
  <c r="L317" i="1"/>
  <c r="H317" i="1" s="1"/>
  <c r="J219" i="1" l="1"/>
  <c r="J317" i="1"/>
  <c r="I215" i="1"/>
  <c r="L215" i="1"/>
  <c r="H215" i="1" s="1"/>
  <c r="J215" i="1" l="1"/>
  <c r="I426" i="1"/>
  <c r="L426" i="1"/>
  <c r="H426" i="1" s="1"/>
  <c r="J426" i="1" l="1"/>
  <c r="I433" i="1"/>
  <c r="L433" i="1"/>
  <c r="H433" i="1" s="1"/>
  <c r="I318" i="1"/>
  <c r="L318" i="1"/>
  <c r="H318" i="1" s="1"/>
  <c r="I112" i="1"/>
  <c r="L112" i="1"/>
  <c r="H112" i="1" s="1"/>
  <c r="J112" i="1" l="1"/>
  <c r="J318" i="1"/>
  <c r="J433" i="1"/>
  <c r="I74" i="1"/>
  <c r="L74" i="1"/>
  <c r="H74" i="1" s="1"/>
  <c r="J74" i="1" l="1"/>
  <c r="I82" i="1"/>
  <c r="L82" i="1"/>
  <c r="H82" i="1" s="1"/>
  <c r="I68" i="1"/>
  <c r="L68" i="1"/>
  <c r="I75" i="1"/>
  <c r="L75" i="1"/>
  <c r="H75" i="1" s="1"/>
  <c r="J82" i="1" l="1"/>
  <c r="J75" i="1"/>
  <c r="H68" i="1" l="1"/>
  <c r="J68" i="1" s="1"/>
  <c r="I121" i="1" l="1"/>
  <c r="H121" i="1"/>
  <c r="J121" i="1" l="1"/>
  <c r="I325" i="1" l="1"/>
  <c r="L325" i="1"/>
  <c r="H325" i="1" s="1"/>
  <c r="J325" i="1" l="1"/>
  <c r="I62" i="1"/>
  <c r="L62" i="1"/>
  <c r="H62" i="1" s="1"/>
  <c r="K118" i="1"/>
  <c r="M118" i="1"/>
  <c r="J62" i="1" l="1"/>
  <c r="I119" i="1"/>
  <c r="L119" i="1"/>
  <c r="H119" i="1" s="1"/>
  <c r="J111" i="1"/>
  <c r="J119" i="1" l="1"/>
  <c r="I122" i="1"/>
  <c r="L122" i="1"/>
  <c r="H122" i="1" s="1"/>
  <c r="I54" i="1"/>
  <c r="L54" i="1"/>
  <c r="H54" i="1" s="1"/>
  <c r="J122" i="1" l="1"/>
  <c r="J54" i="1"/>
  <c r="I228" i="1"/>
  <c r="L228" i="1"/>
  <c r="H228" i="1" s="1"/>
  <c r="J228" i="1" l="1"/>
  <c r="I323" i="1" l="1"/>
  <c r="L323" i="1"/>
  <c r="H323" i="1" s="1"/>
  <c r="I90" i="1"/>
  <c r="J323" i="1" l="1"/>
  <c r="L90" i="1"/>
  <c r="H90" i="1" s="1"/>
  <c r="J90" i="1" s="1"/>
  <c r="I212" i="1"/>
  <c r="L212" i="1"/>
  <c r="H212" i="1" s="1"/>
  <c r="J212" i="1" l="1"/>
  <c r="I320" i="1" l="1"/>
  <c r="L320" i="1"/>
  <c r="H320" i="1" s="1"/>
  <c r="I85" i="1"/>
  <c r="L85" i="1"/>
  <c r="H85" i="1" s="1"/>
  <c r="J320" i="1" l="1"/>
  <c r="J85" i="1"/>
  <c r="I214" i="1"/>
  <c r="L214" i="1"/>
  <c r="H214" i="1" s="1"/>
  <c r="J214" i="1" l="1"/>
  <c r="I322" i="1" l="1"/>
  <c r="L322" i="1"/>
  <c r="H322" i="1" s="1"/>
  <c r="J322" i="1" l="1"/>
  <c r="I102" i="1"/>
  <c r="L102" i="1"/>
  <c r="H102" i="1" s="1"/>
  <c r="J102" i="1" l="1"/>
  <c r="L123" i="1" l="1"/>
  <c r="H123" i="1" s="1"/>
  <c r="I123" i="1"/>
  <c r="J123" i="1" l="1"/>
  <c r="L104" i="1"/>
  <c r="H104" i="1" s="1"/>
  <c r="I104" i="1"/>
  <c r="I255" i="1"/>
  <c r="L255" i="1"/>
  <c r="H255" i="1" s="1"/>
  <c r="J104" i="1" l="1"/>
  <c r="J255" i="1"/>
  <c r="R5" i="1"/>
  <c r="Q5" i="1"/>
  <c r="N5" i="1"/>
  <c r="O5" i="1" s="1"/>
  <c r="I80" i="1" l="1"/>
  <c r="L80" i="1"/>
  <c r="H80" i="1" s="1"/>
  <c r="J80" i="1" l="1"/>
  <c r="I224" i="1"/>
  <c r="L224" i="1"/>
  <c r="H224" i="1" s="1"/>
  <c r="I321" i="1"/>
  <c r="L321" i="1"/>
  <c r="H321" i="1" s="1"/>
  <c r="J224" i="1" l="1"/>
  <c r="J321" i="1"/>
  <c r="I109" i="1"/>
  <c r="L109" i="1"/>
  <c r="H109" i="1" s="1"/>
  <c r="I76" i="1"/>
  <c r="L76" i="1"/>
  <c r="H76" i="1" s="1"/>
  <c r="J109" i="1" l="1"/>
  <c r="J76" i="1"/>
  <c r="I61" i="1" l="1"/>
  <c r="L61" i="1"/>
  <c r="H61" i="1" s="1"/>
  <c r="I53" i="1"/>
  <c r="L53" i="1"/>
  <c r="H53" i="1" s="1"/>
  <c r="J61" i="1" l="1"/>
  <c r="J53" i="1"/>
  <c r="I117" i="1"/>
  <c r="L117" i="1" l="1"/>
  <c r="H117" i="1" s="1"/>
  <c r="J117" i="1" s="1"/>
  <c r="I107" i="1"/>
  <c r="L107" i="1"/>
  <c r="H107" i="1" s="1"/>
  <c r="I66" i="1"/>
  <c r="L66" i="1"/>
  <c r="H66" i="1" s="1"/>
  <c r="I35" i="1"/>
  <c r="L35" i="1"/>
  <c r="H35" i="1" s="1"/>
  <c r="I55" i="1"/>
  <c r="L55" i="1"/>
  <c r="H55" i="1" s="1"/>
  <c r="I56" i="1"/>
  <c r="L56" i="1"/>
  <c r="H56" i="1" s="1"/>
  <c r="I105" i="1"/>
  <c r="L105" i="1"/>
  <c r="H105" i="1" s="1"/>
  <c r="I70" i="1"/>
  <c r="L70" i="1"/>
  <c r="H70" i="1" s="1"/>
  <c r="J107" i="1" l="1"/>
  <c r="J66" i="1"/>
  <c r="J35" i="1"/>
  <c r="J70" i="1"/>
  <c r="J55" i="1"/>
  <c r="J56" i="1"/>
  <c r="J105" i="1"/>
  <c r="L92" i="1" l="1"/>
  <c r="H92" i="1" s="1"/>
  <c r="I50" i="1" l="1"/>
  <c r="L64" i="1" l="1"/>
  <c r="H64" i="1" s="1"/>
  <c r="I64" i="1"/>
  <c r="I44" i="1" l="1"/>
  <c r="I34" i="1" l="1"/>
  <c r="L34" i="1"/>
  <c r="H34" i="1" s="1"/>
  <c r="I49" i="1"/>
  <c r="I59" i="1"/>
  <c r="J34" i="1" l="1"/>
  <c r="I45" i="1"/>
  <c r="I99" i="1"/>
  <c r="I41" i="1" l="1"/>
  <c r="I32" i="1" l="1"/>
  <c r="I30" i="1" l="1"/>
  <c r="I33" i="1" l="1"/>
  <c r="I29" i="1" l="1"/>
  <c r="L29" i="1" l="1"/>
  <c r="I31" i="1"/>
  <c r="I28" i="1"/>
  <c r="I22" i="1" l="1"/>
  <c r="I24" i="1" l="1"/>
  <c r="I23" i="1"/>
  <c r="I220" i="1" l="1"/>
  <c r="L220" i="1"/>
  <c r="H220" i="1" s="1"/>
  <c r="J220" i="1" l="1"/>
  <c r="I20" i="1"/>
  <c r="I8" i="1" l="1"/>
  <c r="I16" i="1" l="1"/>
  <c r="K14" i="1" l="1"/>
  <c r="I15" i="1" l="1"/>
  <c r="I18" i="1" l="1"/>
  <c r="I17" i="1"/>
  <c r="K18" i="1"/>
  <c r="M18" i="1"/>
  <c r="M6" i="1" l="1"/>
  <c r="O62" i="6"/>
  <c r="N62" i="6"/>
  <c r="M62" i="6"/>
  <c r="L62" i="6"/>
  <c r="K62" i="6"/>
  <c r="J62" i="6"/>
  <c r="I62" i="6"/>
  <c r="O63" i="6"/>
  <c r="N63" i="6"/>
  <c r="M63" i="6"/>
  <c r="L63" i="6"/>
  <c r="K63" i="6"/>
  <c r="J63" i="6"/>
  <c r="I63" i="6"/>
  <c r="O61" i="6"/>
  <c r="N61" i="6"/>
  <c r="M61" i="6"/>
  <c r="L61" i="6"/>
  <c r="K61" i="6"/>
  <c r="J61" i="6"/>
  <c r="I61" i="6"/>
  <c r="O58" i="6"/>
  <c r="N58" i="6"/>
  <c r="M58" i="6"/>
  <c r="L58" i="6"/>
  <c r="K58" i="6"/>
  <c r="J58" i="6"/>
  <c r="I58" i="6"/>
  <c r="J55" i="6"/>
  <c r="J65" i="6"/>
  <c r="I55" i="6"/>
  <c r="I65" i="6"/>
  <c r="O55" i="6"/>
  <c r="O65" i="6"/>
  <c r="N55" i="6"/>
  <c r="N65" i="6"/>
  <c r="M55" i="6"/>
  <c r="M65" i="6"/>
  <c r="L55" i="6"/>
  <c r="L65" i="6"/>
  <c r="K55" i="6"/>
  <c r="K65" i="6"/>
  <c r="O56" i="6"/>
  <c r="N56" i="6"/>
  <c r="M56" i="6"/>
  <c r="L56" i="6"/>
  <c r="K56" i="6"/>
  <c r="J56" i="6"/>
  <c r="I56" i="6"/>
  <c r="O59" i="6"/>
  <c r="N59" i="6"/>
  <c r="M59" i="6"/>
  <c r="L59" i="6"/>
  <c r="K59" i="6"/>
  <c r="J59" i="6"/>
  <c r="I59" i="6"/>
  <c r="O46" i="6"/>
  <c r="N46" i="6"/>
  <c r="M46" i="6"/>
  <c r="L46" i="6"/>
  <c r="K46" i="6"/>
  <c r="J46" i="6"/>
  <c r="I46" i="6"/>
  <c r="I54" i="6"/>
  <c r="J54" i="6"/>
  <c r="K54" i="6"/>
  <c r="L54" i="6"/>
  <c r="M54" i="6"/>
  <c r="N54" i="6"/>
  <c r="O54" i="6"/>
  <c r="L48" i="6"/>
  <c r="K48" i="6"/>
  <c r="J48" i="6"/>
  <c r="I48" i="6"/>
  <c r="N60" i="6"/>
  <c r="M60" i="6"/>
  <c r="M50" i="6"/>
  <c r="L60" i="6"/>
  <c r="L50" i="6"/>
  <c r="K60" i="6"/>
  <c r="J60" i="6"/>
  <c r="I60" i="6"/>
  <c r="L432" i="1" l="1"/>
  <c r="H432" i="1" s="1"/>
  <c r="I432" i="1"/>
  <c r="J432" i="1" l="1"/>
  <c r="L98" i="1"/>
  <c r="H98" i="1" s="1"/>
  <c r="I98" i="1"/>
  <c r="J98" i="1" l="1"/>
  <c r="O60" i="6" l="1"/>
  <c r="O50" i="6"/>
  <c r="O47" i="6"/>
  <c r="O64" i="6"/>
  <c r="O49" i="6"/>
  <c r="O57" i="6"/>
  <c r="O51" i="6"/>
  <c r="O53" i="6"/>
  <c r="O7" i="6"/>
  <c r="O45" i="6"/>
  <c r="O5" i="6"/>
  <c r="N50" i="6"/>
  <c r="N47" i="6"/>
  <c r="N64" i="6"/>
  <c r="N49" i="6"/>
  <c r="N57" i="6"/>
  <c r="N51" i="6"/>
  <c r="N53" i="6"/>
  <c r="N7" i="6"/>
  <c r="N45" i="6"/>
  <c r="N5" i="6"/>
  <c r="M47" i="6"/>
  <c r="M64" i="6"/>
  <c r="M49" i="6"/>
  <c r="M57" i="6"/>
  <c r="M51" i="6"/>
  <c r="M53" i="6"/>
  <c r="M7" i="6"/>
  <c r="M45" i="6"/>
  <c r="M5" i="6"/>
  <c r="L47" i="6"/>
  <c r="L64" i="6"/>
  <c r="L49" i="6"/>
  <c r="L57" i="6"/>
  <c r="L51" i="6"/>
  <c r="L53" i="6"/>
  <c r="L7" i="6"/>
  <c r="L45" i="6"/>
  <c r="L5" i="6"/>
  <c r="K50" i="6"/>
  <c r="J50" i="6"/>
  <c r="I50" i="6"/>
  <c r="K47" i="6"/>
  <c r="J47" i="6"/>
  <c r="I47" i="6"/>
  <c r="K64" i="6"/>
  <c r="J64" i="6"/>
  <c r="I64" i="6"/>
  <c r="K49" i="6"/>
  <c r="J49" i="6"/>
  <c r="I49" i="6"/>
  <c r="K57" i="6"/>
  <c r="J57" i="6"/>
  <c r="I57" i="6"/>
  <c r="K7" i="6"/>
  <c r="J7" i="6"/>
  <c r="I7" i="6"/>
  <c r="K53" i="6"/>
  <c r="J53" i="6"/>
  <c r="I53" i="6"/>
  <c r="K51" i="6"/>
  <c r="I51" i="6"/>
  <c r="K45" i="6"/>
  <c r="J45" i="6"/>
  <c r="I45" i="6"/>
  <c r="K5" i="6"/>
  <c r="J5" i="6"/>
  <c r="I5" i="6"/>
  <c r="I76" i="4"/>
  <c r="E76" i="4" s="1" a="1"/>
  <c r="E76" i="4" s="1"/>
  <c r="F76" i="4"/>
  <c r="G76" i="4" l="1"/>
  <c r="AR21" i="6"/>
  <c r="AU21" i="6"/>
  <c r="AT21" i="6"/>
  <c r="AS21" i="6"/>
  <c r="AQ21" i="6"/>
  <c r="AP21" i="6"/>
  <c r="AO21" i="6"/>
  <c r="AN21" i="6"/>
  <c r="AM21" i="6"/>
  <c r="AL21" i="6"/>
  <c r="AK21" i="6"/>
  <c r="AJ21" i="6"/>
  <c r="AI21" i="6"/>
  <c r="AH21" i="6"/>
  <c r="AG21" i="6"/>
  <c r="AF21" i="6"/>
  <c r="AE21" i="6"/>
  <c r="AD21" i="6"/>
  <c r="AC21" i="6"/>
  <c r="G21" i="6" l="1"/>
  <c r="L21" i="6"/>
  <c r="J21" i="6"/>
  <c r="M21" i="6"/>
  <c r="K21" i="6"/>
  <c r="I21" i="6"/>
  <c r="L60" i="1"/>
  <c r="I95" i="1" l="1"/>
  <c r="L95" i="1"/>
  <c r="H95" i="1" s="1"/>
  <c r="I27" i="1"/>
  <c r="J95" i="1" l="1"/>
  <c r="I160" i="1"/>
  <c r="L160" i="1"/>
  <c r="H160" i="1" s="1"/>
  <c r="I159" i="1"/>
  <c r="L159" i="1"/>
  <c r="H159" i="1" s="1"/>
  <c r="J160" i="1" l="1"/>
  <c r="J159" i="1"/>
  <c r="L113" i="1"/>
  <c r="H113" i="1" s="1"/>
  <c r="I113" i="1"/>
  <c r="F12" i="5" a="1"/>
  <c r="F12" i="5" s="1"/>
  <c r="I319" i="1"/>
  <c r="L319" i="1"/>
  <c r="H319" i="1" s="1"/>
  <c r="I324" i="1"/>
  <c r="L324" i="1"/>
  <c r="G324" i="1"/>
  <c r="J113" i="1" l="1"/>
  <c r="H324" i="1"/>
  <c r="J324" i="1" s="1"/>
  <c r="J319" i="1"/>
  <c r="I9" i="1"/>
  <c r="R9" i="1"/>
  <c r="Q9" i="1"/>
  <c r="P9" i="1"/>
  <c r="AI80" i="6"/>
  <c r="AD27" i="6"/>
  <c r="AF27" i="6"/>
  <c r="AF15" i="6"/>
  <c r="G15" i="6" s="1"/>
  <c r="V10" i="6"/>
  <c r="R10" i="6"/>
  <c r="Q10" i="6"/>
  <c r="N10" i="6"/>
  <c r="M10" i="6"/>
  <c r="L10" i="6"/>
  <c r="G80" i="6" l="1"/>
  <c r="AI10" i="6"/>
  <c r="G27" i="6"/>
  <c r="P10" i="6"/>
  <c r="T10" i="6"/>
  <c r="S10" i="6"/>
  <c r="K10" i="6"/>
  <c r="I15" i="6"/>
  <c r="U10" i="6"/>
  <c r="I27" i="6"/>
  <c r="J80" i="6"/>
  <c r="O10" i="6"/>
  <c r="I10" i="6"/>
  <c r="J10" i="6"/>
  <c r="I7" i="1"/>
  <c r="G10" i="6" l="1"/>
  <c r="AG51" i="6"/>
  <c r="G51" i="6" s="1"/>
  <c r="J51" i="6" l="1"/>
  <c r="I69" i="1"/>
  <c r="L69" i="1"/>
  <c r="H69" i="1" s="1"/>
  <c r="J69" i="1" l="1"/>
  <c r="L161" i="1"/>
  <c r="H161" i="1" s="1"/>
  <c r="I161" i="1"/>
  <c r="J161" i="1" l="1"/>
  <c r="I103" i="1"/>
  <c r="L103" i="1"/>
  <c r="H103" i="1" s="1"/>
  <c r="J103" i="1" l="1"/>
  <c r="L91" i="1"/>
  <c r="H91" i="1" s="1"/>
  <c r="I63" i="1" l="1"/>
  <c r="L63" i="1"/>
  <c r="H63" i="1" s="1"/>
  <c r="J63" i="1" l="1"/>
  <c r="I26" i="1"/>
  <c r="H26" i="1"/>
  <c r="J26" i="1" l="1"/>
  <c r="L59" i="1"/>
  <c r="H59" i="1" s="1"/>
  <c r="J59" i="1" s="1"/>
  <c r="L49" i="1"/>
  <c r="H49" i="1" s="1"/>
  <c r="I78" i="1"/>
  <c r="L78" i="1"/>
  <c r="H78" i="1" s="1"/>
  <c r="J49" i="1" l="1"/>
  <c r="J78" i="1"/>
  <c r="M11" i="1"/>
  <c r="I48" i="1" l="1"/>
  <c r="I47" i="1"/>
  <c r="L48" i="1"/>
  <c r="H48" i="1" s="1"/>
  <c r="L47" i="1"/>
  <c r="H47" i="1" s="1"/>
  <c r="I114" i="1"/>
  <c r="L114" i="1"/>
  <c r="H114" i="1" s="1"/>
  <c r="I65" i="1"/>
  <c r="L65" i="1"/>
  <c r="H65" i="1" s="1"/>
  <c r="I106" i="1"/>
  <c r="L106" i="1"/>
  <c r="H106" i="1" s="1"/>
  <c r="J114" i="1" l="1"/>
  <c r="J48" i="1"/>
  <c r="J47" i="1"/>
  <c r="J65" i="1"/>
  <c r="J106" i="1"/>
  <c r="I51" i="1"/>
  <c r="L51" i="1"/>
  <c r="H51" i="1" s="1"/>
  <c r="L44" i="1"/>
  <c r="H44" i="1" s="1"/>
  <c r="J51" i="1" l="1"/>
  <c r="J44" i="1"/>
  <c r="L72" i="1"/>
  <c r="H72" i="1" s="1"/>
  <c r="I72" i="1"/>
  <c r="J72" i="1" l="1"/>
  <c r="L16" i="1" l="1"/>
  <c r="I116" i="1" l="1"/>
  <c r="L116" i="1"/>
  <c r="H116" i="1" s="1"/>
  <c r="J116" i="1" l="1"/>
  <c r="I213" i="1"/>
  <c r="L213" i="1"/>
  <c r="H213" i="1" s="1"/>
  <c r="J213" i="1" l="1"/>
  <c r="L46" i="1"/>
  <c r="I46" i="1"/>
  <c r="N9" i="1" l="1"/>
  <c r="O9" i="1" s="1"/>
  <c r="I42" i="1"/>
  <c r="L42" i="1"/>
  <c r="H42" i="1" s="1"/>
  <c r="J42" i="1" l="1"/>
  <c r="L8" i="1"/>
  <c r="H8" i="1" s="1"/>
  <c r="J8" i="1" l="1"/>
  <c r="L45" i="1" l="1"/>
  <c r="H45" i="1" s="1"/>
  <c r="J45" i="1" s="1"/>
  <c r="L50" i="1"/>
  <c r="H50" i="1" s="1"/>
  <c r="I92" i="1"/>
  <c r="L32" i="1"/>
  <c r="H32" i="1" s="1" a="1"/>
  <c r="H32" i="1" s="1"/>
  <c r="J32" i="1" s="1"/>
  <c r="H205" i="1"/>
  <c r="J50" i="1" l="1"/>
  <c r="J92" i="1"/>
  <c r="I86" i="1"/>
  <c r="L86" i="1"/>
  <c r="H86" i="1" s="1"/>
  <c r="J86" i="1" l="1"/>
  <c r="L52" i="1"/>
  <c r="H52" i="1" s="1"/>
  <c r="R60" i="1" l="1"/>
  <c r="Q60" i="1"/>
  <c r="P60" i="1"/>
  <c r="N60" i="1"/>
  <c r="O60" i="1" s="1"/>
  <c r="I60" i="1"/>
  <c r="H60" i="1"/>
  <c r="J60" i="1" l="1"/>
  <c r="I40" i="1" l="1"/>
  <c r="L40" i="1"/>
  <c r="H40" i="1" s="1"/>
  <c r="L58" i="1"/>
  <c r="H58" i="1" s="1"/>
  <c r="I58" i="1"/>
  <c r="J40" i="1" l="1"/>
  <c r="I43" i="1"/>
  <c r="L43" i="1"/>
  <c r="H43" i="1" s="1"/>
  <c r="J43" i="1" l="1"/>
  <c r="I11" i="1" l="1"/>
  <c r="L11" i="1"/>
  <c r="H11" i="1" s="1"/>
  <c r="J11" i="1" l="1"/>
  <c r="L41" i="1"/>
  <c r="H41" i="1" s="1"/>
  <c r="J41" i="1" l="1"/>
  <c r="I38" i="1"/>
  <c r="L38" i="1"/>
  <c r="H38" i="1" s="1"/>
  <c r="J38" i="1" l="1"/>
  <c r="H16" i="1"/>
  <c r="J16" i="1" s="1"/>
  <c r="D6" i="1" l="1"/>
  <c r="D7" i="1" s="1"/>
  <c r="D8" i="1" s="1"/>
  <c r="D9" i="1" s="1"/>
  <c r="D10" i="1" s="1"/>
  <c r="H46" i="1"/>
  <c r="J46" i="1" s="1"/>
  <c r="J64" i="1" l="1"/>
  <c r="L36" i="1"/>
  <c r="H36" i="1" s="1"/>
  <c r="I36" i="1"/>
  <c r="H29" i="1"/>
  <c r="J29" i="1" s="1"/>
  <c r="I14" i="1"/>
  <c r="L14" i="1"/>
  <c r="H14" i="1" s="1"/>
  <c r="I13" i="1"/>
  <c r="L13" i="1"/>
  <c r="H13" i="1" s="1"/>
  <c r="J36" i="1" l="1"/>
  <c r="J14" i="1"/>
  <c r="J13" i="1"/>
  <c r="I39" i="1"/>
  <c r="L39" i="1"/>
  <c r="H39" i="1" s="1"/>
  <c r="J39" i="1" l="1"/>
  <c r="L33" i="1" l="1"/>
  <c r="H33" i="1" s="1"/>
  <c r="J33" i="1" s="1"/>
  <c r="L31" i="1"/>
  <c r="H31" i="1" s="1"/>
  <c r="J31" i="1" l="1"/>
  <c r="L30" i="1"/>
  <c r="H30" i="1" s="1"/>
  <c r="J30" i="1" l="1"/>
  <c r="I37" i="1"/>
  <c r="L37" i="1" l="1"/>
  <c r="I217" i="1" l="1"/>
  <c r="L217" i="1"/>
  <c r="H217" i="1" s="1"/>
  <c r="L115" i="1"/>
  <c r="H115" i="1" s="1"/>
  <c r="I115" i="1"/>
  <c r="I158" i="1"/>
  <c r="L158" i="1"/>
  <c r="H158" i="1" s="1"/>
  <c r="J217" i="1" l="1"/>
  <c r="J158" i="1"/>
  <c r="J115" i="1"/>
  <c r="L28" i="1"/>
  <c r="H28" i="1" s="1"/>
  <c r="J28" i="1" s="1"/>
  <c r="L27" i="1"/>
  <c r="H27" i="1" s="1"/>
  <c r="J27" i="1" s="1"/>
  <c r="L23" i="1"/>
  <c r="L24" i="1" s="1"/>
  <c r="I242" i="1" l="1"/>
  <c r="L242" i="1"/>
  <c r="H242" i="1" s="1"/>
  <c r="I94" i="1"/>
  <c r="L94" i="1"/>
  <c r="H94" i="1" s="1"/>
  <c r="J94" i="1" l="1"/>
  <c r="J242" i="1"/>
  <c r="L99" i="1"/>
  <c r="H99" i="1" s="1"/>
  <c r="J99" i="1" s="1"/>
  <c r="L71" i="1" l="1"/>
  <c r="H71" i="1" s="1"/>
  <c r="I71" i="1"/>
  <c r="L21" i="1"/>
  <c r="J71" i="1" l="1"/>
  <c r="L22" i="1"/>
  <c r="H22" i="1" s="1"/>
  <c r="J22" i="1" s="1"/>
  <c r="L17" i="1" l="1"/>
  <c r="L18" i="1" s="1"/>
  <c r="H18" i="1" s="1"/>
  <c r="J18" i="1" s="1"/>
  <c r="L15" i="1" l="1"/>
  <c r="H15" i="1" s="1"/>
  <c r="I10" i="1" l="1"/>
  <c r="I19" i="1" l="1"/>
  <c r="L19" i="1"/>
  <c r="H19" i="1" s="1"/>
  <c r="L10" i="1" l="1"/>
  <c r="H10" i="1" l="1"/>
  <c r="H24" i="1" l="1"/>
  <c r="H23" i="1"/>
  <c r="M24" i="1"/>
  <c r="M2" i="1" s="1"/>
  <c r="I25" i="1" l="1"/>
  <c r="H37" i="1"/>
  <c r="L25" i="1"/>
  <c r="H25" i="1" s="1"/>
  <c r="J25" i="1" l="1"/>
  <c r="I249" i="1"/>
  <c r="L249" i="1"/>
  <c r="H249" i="1" s="1"/>
  <c r="I87" i="1"/>
  <c r="L87" i="1"/>
  <c r="H87" i="1" s="1"/>
  <c r="J87" i="1" l="1"/>
  <c r="J249" i="1"/>
  <c r="L20" i="1"/>
  <c r="H20" i="1" s="1"/>
  <c r="J20" i="1" s="1"/>
  <c r="L9" i="1" l="1"/>
  <c r="H9" i="1" s="1"/>
  <c r="J9" i="1" s="1"/>
  <c r="I6" i="1" l="1"/>
  <c r="I5" i="1"/>
  <c r="L6" i="1"/>
  <c r="H6" i="1" s="1"/>
  <c r="L5" i="1"/>
  <c r="H5" i="1" s="1"/>
  <c r="J6" i="1" l="1"/>
  <c r="I4" i="1" l="1"/>
  <c r="L4" i="1"/>
  <c r="H4" i="1" s="1"/>
  <c r="I12" i="1" l="1"/>
  <c r="L12" i="1" l="1"/>
  <c r="H12" i="1" s="1"/>
  <c r="L7" i="1" l="1"/>
  <c r="I73" i="1" l="1"/>
  <c r="L73" i="1"/>
  <c r="H73" i="1" s="1"/>
  <c r="J73" i="1" l="1"/>
  <c r="I216" i="1"/>
  <c r="H216" i="1"/>
  <c r="J216" i="1" l="1"/>
  <c r="J58" i="1" l="1"/>
  <c r="I211" i="1"/>
  <c r="H211" i="1"/>
  <c r="H21" i="1"/>
  <c r="I21" i="1"/>
  <c r="J211" i="1" l="1"/>
  <c r="J21" i="1"/>
  <c r="I245" i="1"/>
  <c r="H245" i="1"/>
  <c r="J37" i="1" l="1"/>
  <c r="J245" i="1"/>
  <c r="I91" i="1"/>
  <c r="J91" i="1" l="1"/>
  <c r="H7" i="1"/>
  <c r="I52" i="1" l="1"/>
  <c r="J52" i="1" l="1"/>
  <c r="I253" i="1"/>
  <c r="H253" i="1"/>
  <c r="I252" i="1"/>
  <c r="H252" i="1"/>
  <c r="I251" i="1"/>
  <c r="H251" i="1"/>
  <c r="I250" i="1"/>
  <c r="H250" i="1"/>
  <c r="I247" i="1"/>
  <c r="H247" i="1"/>
  <c r="I246" i="1"/>
  <c r="H246" i="1"/>
  <c r="I244" i="1"/>
  <c r="H244" i="1"/>
  <c r="I241" i="1"/>
  <c r="H241" i="1"/>
  <c r="J5" i="1"/>
  <c r="J7" i="1"/>
  <c r="H2" i="1" l="1"/>
  <c r="J252" i="1"/>
  <c r="J24" i="1"/>
  <c r="J10" i="1"/>
  <c r="J251" i="1"/>
  <c r="J253" i="1"/>
  <c r="J17" i="1"/>
  <c r="J246" i="1"/>
  <c r="J23" i="1"/>
  <c r="J247" i="1"/>
  <c r="J15" i="1"/>
  <c r="J241" i="1"/>
  <c r="J244" i="1"/>
  <c r="J12" i="1"/>
  <c r="J19" i="1"/>
  <c r="J250" i="1"/>
  <c r="J4" i="1" l="1"/>
  <c r="B3" i="5" l="1"/>
  <c r="D11" i="1" l="1"/>
  <c r="D12" i="1" s="1"/>
  <c r="D13" i="1" s="1"/>
  <c r="D14" i="1" s="1"/>
  <c r="D15" i="1" s="1"/>
  <c r="D16" i="1" l="1"/>
  <c r="D17" i="1" s="1"/>
  <c r="D18" i="1" l="1"/>
  <c r="D19" i="1" s="1"/>
  <c r="D25" i="1" s="1"/>
  <c r="D20" i="1" s="1"/>
  <c r="D21" i="1" s="1"/>
  <c r="D22" i="1" s="1"/>
  <c r="D23" i="1" s="1"/>
  <c r="D24" i="1" l="1"/>
  <c r="D26" i="1" l="1"/>
  <c r="D27" i="1" l="1"/>
  <c r="D28" i="1" s="1"/>
  <c r="D29" i="1" s="1"/>
  <c r="D30" i="1" s="1"/>
  <c r="D31" i="1" s="1"/>
  <c r="D32" i="1" l="1"/>
  <c r="D33" i="1" s="1"/>
  <c r="D34" i="1" l="1"/>
  <c r="D35" i="1" s="1"/>
  <c r="D36" i="1" s="1"/>
  <c r="D37" i="1" s="1"/>
  <c r="D38" i="1" s="1"/>
  <c r="B5" i="5"/>
  <c r="B6" i="5" s="1"/>
  <c r="B7" i="5" s="1"/>
  <c r="D39" i="1" l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B4" i="5" l="1"/>
  <c r="B8" i="5" l="1"/>
  <c r="B9" i="5" s="1"/>
  <c r="A28" i="6" l="1"/>
  <c r="A29" i="6" s="1"/>
  <c r="A31" i="6" s="1"/>
  <c r="A32" i="6" s="1"/>
  <c r="A33" i="6" s="1"/>
  <c r="A34" i="6" s="1"/>
  <c r="A36" i="6" s="1"/>
  <c r="A30" i="6"/>
  <c r="A35" i="6" l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l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D60" i="1" l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l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l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l="1"/>
  <c r="D116" i="1" s="1"/>
  <c r="D117" i="1" s="1"/>
  <c r="D118" i="1" s="1"/>
  <c r="D119" i="1" s="1"/>
  <c r="D120" i="1" s="1"/>
  <c r="D121" i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B10" i="5" l="1"/>
  <c r="D142" i="1"/>
  <c r="D143" i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10" i="1" s="1"/>
  <c r="D204" i="1" s="1"/>
  <c r="D205" i="1" s="1"/>
  <c r="D206" i="1" s="1"/>
  <c r="D207" i="1" s="1"/>
  <c r="D208" i="1" s="1"/>
  <c r="D209" i="1" s="1"/>
  <c r="D22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1" i="1" s="1"/>
  <c r="D242" i="1" s="1"/>
  <c r="D243" i="1" s="1"/>
  <c r="D244" i="1" s="1"/>
  <c r="D245" i="1" l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4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" i="1"/>
  <c r="D296" i="1" l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36" i="1" l="1"/>
  <c r="D453" i="1"/>
  <c r="D454" i="1" s="1"/>
  <c r="D455" i="1" s="1"/>
  <c r="D456" i="1" s="1"/>
  <c r="D45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BE19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  <comment ref="BC20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tc={D92D9A65-014E-44BC-BD63-8FFD745601DC}</author>
  </authors>
  <commentList>
    <comment ref="C7" authorId="0" shapeId="0" xr:uid="{D92D9A65-014E-44BC-BD63-8FFD745601DC}">
      <text>
        <t>[Threaded comment]
Your version of Excel allows you to read this threaded comment; however, any edits to it will get removed if the file is opened in a newer version of Excel. Learn more: https://go.microsoft.com/fwlink/?linkid=870924
Comment:
    Sanofi-Synthelabo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<sst xmlns="http://schemas.openxmlformats.org/spreadsheetml/2006/main" count="2388" uniqueCount="1662">
  <si>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</si>
  <si>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</si>
  <si>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</si>
  <si>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</si>
  <si>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</si>
  <si>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</si>
  <si>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</si>
  <si>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</si>
  <si>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</si>
  <si>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</si>
  <si>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</si>
  <si>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</si>
  <si>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</si>
  <si>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</si>
  <si>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</si>
  <si>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</si>
  <si>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</si>
  <si>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</si>
  <si>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</si>
  <si>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</si>
  <si>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</si>
  <si>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</si>
  <si>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</si>
  <si>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</si>
  <si>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</si>
  <si>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</si>
  <si>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</si>
  <si>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</si>
  <si>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</si>
  <si>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</si>
  <si>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</si>
  <si>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</si>
  <si>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</si>
  <si>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</si>
  <si>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</si>
  <si>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</si>
  <si>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</si>
  <si>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</si>
  <si>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</si>
  <si>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</si>
  <si>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</si>
  <si>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</si>
  <si>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</si>
  <si>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</si>
  <si>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</si>
  <si>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</si>
  <si>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</si>
  <si>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</si>
  <si>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</si>
  <si>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</si>
  <si>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</si>
  <si>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</si>
  <si>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</si>
  <si>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</si>
  <si>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</si>
  <si>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</si>
  <si>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</si>
  <si>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</si>
  <si>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</si>
  <si>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</si>
  <si>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</si>
  <si>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</si>
  <si>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</si>
  <si>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</si>
  <si>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</si>
  <si>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</si>
  <si>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</si>
  <si>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</si>
  <si>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</si>
  <si>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</si>
  <si>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</si>
  <si>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</si>
  <si>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</si>
  <si>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</si>
  <si>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</si>
  <si>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</si>
  <si>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</si>
  <si>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</si>
  <si>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</si>
  <si>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</si>
  <si>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</si>
  <si>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</si>
  <si>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</si>
  <si>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</si>
  <si>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</si>
  <si>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</si>
  <si>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</si>
  <si>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</si>
  <si>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</si>
  <si>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</si>
  <si>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</si>
  <si>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</si>
  <si>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</si>
  <si>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</si>
  <si>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</si>
  <si>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</si>
  <si>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</si>
  <si>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</si>
  <si>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</si>
  <si>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</si>
  <si>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</si>
  <si>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</si>
  <si>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</si>
  <si>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</si>
  <si>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</si>
  <si>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</si>
  <si>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</si>
  <si>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</si>
  <si>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</si>
  <si>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</si>
  <si>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</si>
  <si>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</si>
  <si>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</si>
  <si>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</si>
  <si>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</si>
  <si>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</si>
  <si>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</si>
  <si>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</si>
  <si>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</si>
  <si>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</si>
  <si>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</si>
  <si>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</si>
  <si>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</si>
  <si>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</si>
  <si>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</si>
  <si>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</si>
  <si>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</si>
  <si>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</si>
  <si>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</si>
  <si>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</si>
  <si>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</si>
  <si>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</si>
  <si>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</si>
  <si>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</si>
  <si>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</si>
  <si>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</si>
  <si>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</si>
  <si>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</si>
  <si>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</si>
  <si>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</si>
  <si>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</si>
  <si>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</si>
  <si>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</si>
  <si>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</si>
  <si>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</si>
  <si>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</si>
  <si>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</si>
  <si>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</si>
  <si>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</si>
  <si>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</si>
  <si>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</si>
  <si>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</si>
  <si>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</si>
  <si>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</si>
  <si>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</si>
  <si>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</si>
  <si>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</si>
  <si>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</si>
  <si>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</si>
  <si>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</si>
  <si>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</si>
  <si>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</si>
  <si>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</si>
  <si>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</si>
  <si>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</si>
  <si>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</si>
  <si>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</si>
  <si>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</si>
  <si>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</si>
  <si>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</si>
  <si>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</si>
  <si>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</si>
  <si>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</si>
  <si>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</si>
  <si>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</si>
  <si>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</si>
  <si>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</si>
  <si>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</si>
  <si>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</si>
  <si>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</si>
  <si>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</si>
  <si>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</si>
  <si>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</si>
  <si>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</si>
  <si>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</si>
  <si>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</si>
  <si>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</si>
  <si>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Ironwood</t>
  </si>
  <si>
    <t>IRWD</t>
  </si>
  <si>
    <t>Global Blood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</si>
  <si>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</si>
  <si>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</si>
  <si>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</si>
  <si>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</si>
  <si>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</si>
  <si>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</si>
  <si>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</si>
  <si>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</si>
  <si>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</si>
  <si>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</si>
  <si>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</si>
  <si>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</si>
  <si>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</si>
  <si>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</si>
  <si>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</si>
  <si>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</si>
  <si>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</si>
  <si>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</si>
  <si>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</si>
  <si>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</si>
  <si>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</si>
  <si>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</si>
  <si>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</si>
  <si>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</si>
  <si>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</si>
  <si>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</si>
  <si>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</si>
  <si>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</si>
  <si>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</si>
  <si>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</si>
  <si>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</si>
  <si>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</si>
  <si>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</si>
  <si>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</si>
  <si>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</si>
  <si>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</si>
  <si>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</si>
  <si>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</si>
  <si>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</si>
  <si>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</si>
  <si>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</si>
  <si>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</si>
  <si>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</si>
  <si>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</si>
  <si>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</si>
  <si>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</si>
  <si>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</si>
  <si>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</si>
  <si>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</si>
  <si>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</si>
  <si>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</si>
  <si>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</si>
  <si>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</si>
  <si>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</si>
  <si>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</si>
  <si>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</si>
  <si>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</si>
  <si>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</si>
  <si>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</si>
  <si>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</si>
  <si>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</si>
  <si>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</si>
  <si>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</si>
  <si>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</si>
  <si>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</si>
  <si>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</si>
  <si>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</si>
  <si>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</si>
  <si>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</si>
  <si>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</si>
  <si>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</si>
  <si>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</si>
  <si>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</si>
  <si>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</si>
  <si>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</si>
  <si>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</si>
  <si>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</si>
  <si>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</si>
  <si>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</si>
  <si>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</si>
  <si>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</si>
  <si>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</si>
  <si>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</si>
  <si>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</si>
  <si>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</si>
  <si>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</si>
  <si>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</si>
  <si>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</si>
  <si>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</si>
  <si>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</si>
  <si>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</si>
  <si>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</si>
  <si>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</si>
  <si>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</si>
  <si>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</si>
  <si>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</si>
  <si>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</si>
  <si>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</si>
  <si>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</si>
  <si>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</si>
  <si>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</si>
  <si>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</si>
  <si>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</si>
  <si>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</si>
  <si>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</si>
  <si>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</si>
  <si>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</si>
  <si>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</si>
  <si>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</si>
  <si>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</si>
  <si>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</si>
  <si>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</si>
  <si>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</si>
  <si>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</si>
  <si>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</si>
  <si>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</si>
  <si>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</si>
  <si>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</si>
  <si>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</si>
  <si>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</si>
  <si>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</si>
  <si>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</si>
  <si>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</si>
  <si>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</si>
  <si>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</si>
  <si>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</si>
  <si>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</si>
  <si>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</si>
  <si>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</si>
  <si>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</si>
  <si>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</si>
  <si>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</si>
  <si>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</si>
  <si>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</si>
  <si>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</si>
  <si>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</si>
  <si>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</si>
  <si>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</si>
  <si>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</si>
  <si>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</si>
  <si>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</si>
  <si>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</si>
  <si>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</si>
  <si>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</si>
  <si>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</si>
  <si>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</si>
  <si>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</si>
  <si>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</si>
  <si>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</si>
  <si>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</si>
  <si>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</si>
  <si>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</si>
  <si>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</si>
  <si>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</si>
  <si>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</si>
  <si>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</si>
  <si>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</si>
  <si>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</si>
  <si>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</si>
  <si>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</si>
  <si>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</si>
  <si>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</si>
  <si>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</si>
  <si>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</si>
  <si>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</si>
  <si>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</si>
  <si>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</si>
  <si>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</si>
  <si>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</si>
  <si>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</si>
  <si>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</si>
  <si>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</si>
  <si>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</si>
  <si>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</si>
  <si>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</si>
  <si>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</si>
  <si>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</si>
  <si>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</si>
  <si>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</si>
  <si>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</si>
  <si>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</si>
  <si>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</si>
  <si>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</si>
  <si>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</si>
  <si>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</si>
  <si>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</si>
  <si>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</si>
  <si>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</si>
  <si>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</si>
  <si>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</si>
  <si>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</si>
  <si>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</si>
  <si>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</si>
  <si>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</si>
  <si>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</si>
  <si>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</si>
  <si>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</si>
  <si>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</si>
  <si>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</si>
  <si>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</si>
  <si>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</si>
  <si>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</si>
  <si>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</si>
  <si>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</si>
  <si>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</si>
  <si>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</si>
  <si>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</si>
  <si>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</si>
  <si>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</si>
  <si>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</si>
  <si>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</si>
  <si>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</si>
  <si>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</si>
  <si>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</si>
  <si>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</si>
  <si>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</si>
  <si>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</si>
  <si>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</si>
  <si>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</si>
  <si>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</si>
  <si>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</si>
  <si>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</si>
  <si>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</si>
  <si>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</si>
  <si>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</si>
  <si>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</si>
  <si>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</si>
  <si>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</si>
  <si>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</si>
  <si>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</si>
  <si>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</si>
  <si>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</si>
  <si>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</si>
  <si>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</si>
  <si>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</si>
  <si>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</si>
  <si>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</si>
  <si>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</si>
  <si>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Tricida</t>
  </si>
  <si>
    <t>Entrada</t>
  </si>
  <si>
    <t>TRDA</t>
  </si>
  <si>
    <t>Axsome</t>
  </si>
  <si>
    <t>AXSM</t>
  </si>
  <si>
    <t>USD/INR</t>
  </si>
  <si>
    <t>DJS Antibodies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</si>
  <si>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</si>
  <si>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</si>
  <si>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</si>
  <si>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</si>
  <si>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</si>
  <si>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</si>
  <si>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</si>
  <si>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</si>
  <si>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</si>
  <si>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</si>
  <si>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</si>
  <si>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</si>
  <si>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</si>
  <si>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</si>
  <si>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</si>
  <si>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</si>
  <si>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</si>
  <si>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</si>
  <si>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</si>
  <si>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</si>
  <si>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</si>
  <si>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</si>
  <si>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</si>
  <si>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</si>
  <si>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</si>
  <si>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</si>
  <si>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</si>
  <si>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</si>
  <si>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</si>
  <si>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</si>
  <si>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</si>
  <si>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</si>
  <si>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</si>
  <si>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</si>
  <si>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</si>
  <si>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</si>
  <si>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</si>
  <si>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</si>
  <si>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</si>
  <si>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</si>
  <si>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</si>
  <si>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</si>
  <si>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</si>
  <si>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</si>
  <si>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</si>
  <si>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</si>
  <si>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</si>
  <si>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</si>
  <si>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</si>
  <si>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</si>
  <si>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</si>
  <si>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</si>
  <si>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</si>
  <si>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</si>
  <si>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</si>
  <si>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</si>
  <si>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</si>
  <si>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</si>
  <si>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</si>
  <si>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</si>
  <si>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</si>
  <si>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</si>
  <si>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</si>
  <si>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</si>
  <si>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</si>
  <si>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</si>
  <si>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</si>
  <si>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</si>
  <si>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</si>
  <si>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</si>
  <si>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</si>
  <si>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</si>
  <si>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</si>
  <si>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</si>
  <si>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</si>
  <si>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</si>
  <si>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</si>
  <si>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</si>
  <si>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</si>
  <si>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</si>
  <si>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</si>
  <si>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</si>
  <si>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</si>
  <si>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</si>
  <si>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</si>
  <si>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</si>
  <si>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</si>
  <si>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</si>
  <si>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</si>
  <si>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</si>
  <si>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</si>
  <si>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</si>
  <si>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</si>
  <si>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</si>
  <si>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</si>
  <si>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</si>
  <si>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</si>
  <si>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</si>
  <si>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</si>
  <si>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</si>
  <si>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</si>
  <si>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</si>
  <si>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</si>
  <si>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</si>
  <si>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</si>
  <si>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</si>
  <si>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</si>
  <si>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</si>
  <si>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</si>
  <si>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</si>
  <si>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</si>
  <si>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</si>
  <si>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</si>
  <si>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</si>
  <si>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</si>
  <si>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</si>
  <si>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</si>
  <si>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</si>
  <si>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</si>
  <si>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</si>
  <si>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</si>
  <si>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</si>
  <si>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</si>
  <si>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</si>
  <si>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</si>
  <si>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</si>
  <si>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</si>
  <si>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</si>
  <si>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</si>
  <si>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</si>
  <si>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</si>
  <si>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</si>
  <si>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</si>
  <si>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</si>
  <si>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</si>
  <si>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</si>
  <si>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</si>
  <si>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</si>
  <si>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</si>
  <si>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</si>
  <si>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</si>
  <si>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</si>
  <si>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</si>
  <si>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</si>
  <si>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</si>
  <si>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</si>
  <si>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</si>
  <si>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</si>
  <si>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</si>
  <si>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</si>
  <si>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</si>
  <si>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</si>
  <si>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</si>
  <si>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</si>
  <si>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</si>
  <si>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</si>
  <si>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</si>
  <si>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</si>
  <si>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</si>
  <si>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</si>
  <si>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</si>
  <si>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</si>
  <si>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</si>
  <si>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</si>
  <si>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</si>
  <si>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</si>
  <si>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</si>
  <si>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</si>
  <si>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</si>
  <si>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</si>
  <si>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</si>
  <si>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</si>
  <si>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</si>
  <si>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</si>
  <si>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</si>
  <si>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</si>
  <si>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</si>
  <si>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</si>
  <si>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</si>
  <si>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</si>
  <si>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</si>
  <si>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</si>
  <si>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</si>
  <si>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</si>
  <si>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</si>
  <si>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</si>
  <si>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</si>
  <si>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</si>
  <si>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</si>
  <si>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</si>
  <si>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</si>
  <si>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</si>
  <si>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</si>
  <si>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</si>
  <si>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</si>
  <si>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</si>
  <si>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</si>
  <si>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</si>
  <si>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</si>
  <si>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</si>
  <si>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</si>
  <si>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</si>
  <si>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</si>
  <si>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</si>
  <si>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</si>
  <si>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</si>
  <si>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</si>
  <si>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</si>
  <si>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</si>
  <si>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</si>
  <si>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</si>
  <si>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</si>
  <si>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</si>
  <si>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</si>
  <si>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</si>
  <si>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</si>
  <si>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</si>
  <si>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</si>
  <si>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</si>
  <si>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</si>
  <si>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</si>
  <si>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</si>
  <si>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</si>
  <si>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</si>
  <si>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</si>
  <si>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</si>
  <si>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</si>
  <si>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</si>
  <si>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</si>
  <si>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</si>
  <si>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</si>
  <si>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</si>
  <si>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</si>
  <si>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</si>
  <si>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</si>
  <si>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</si>
  <si>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</si>
  <si>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</si>
  <si>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</si>
  <si>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</si>
  <si>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</si>
  <si>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</si>
  <si>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</si>
  <si>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</si>
  <si>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</si>
  <si>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</si>
  <si>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</si>
  <si>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</si>
  <si>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</si>
  <si>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</si>
  <si>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</si>
  <si>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</si>
  <si>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</si>
  <si>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</si>
  <si>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</si>
  <si>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</si>
  <si>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</si>
  <si>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</si>
  <si>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</si>
  <si>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</si>
  <si>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</si>
  <si>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</si>
  <si>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</si>
  <si>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</si>
  <si>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</si>
  <si>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</si>
  <si>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</si>
  <si>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</si>
  <si>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</si>
  <si>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</si>
  <si>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</si>
  <si>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</si>
  <si>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</si>
  <si>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</si>
  <si>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</si>
  <si>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</si>
  <si>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</si>
  <si>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</si>
  <si>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</si>
  <si>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</si>
  <si>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</si>
  <si>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</si>
  <si>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</si>
  <si>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</si>
  <si>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</si>
  <si>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</si>
  <si>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</si>
  <si>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</si>
  <si>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</si>
  <si>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</si>
  <si>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</si>
  <si>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</si>
  <si>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</si>
  <si>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</si>
  <si>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</si>
  <si>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</si>
  <si>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</si>
  <si>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</si>
  <si>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</si>
  <si>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</si>
  <si>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</si>
  <si>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</si>
  <si>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</si>
  <si>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</si>
  <si>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</si>
  <si>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</si>
  <si>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</si>
  <si>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</si>
  <si>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</si>
  <si>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</si>
  <si>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</si>
  <si>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</si>
  <si>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</si>
  <si>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Kissei</t>
  </si>
  <si>
    <t>4547 JP</t>
  </si>
  <si>
    <t>Mannkind</t>
  </si>
  <si>
    <t>MNKD</t>
  </si>
  <si>
    <t>Cymabay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</si>
  <si>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</si>
  <si>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</si>
  <si>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</si>
  <si>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</si>
  <si>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</si>
  <si>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</si>
  <si>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</si>
  <si>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</si>
  <si>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</si>
  <si>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</si>
  <si>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</si>
  <si>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</si>
  <si>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</si>
  <si>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</si>
  <si>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</si>
  <si>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</si>
  <si>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</si>
  <si>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</si>
  <si>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</si>
  <si>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</si>
  <si>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</si>
  <si>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</si>
  <si>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</si>
  <si>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</si>
  <si>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</si>
  <si>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</si>
  <si>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</si>
  <si>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</si>
  <si>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</si>
  <si>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</si>
  <si>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</si>
  <si>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</si>
  <si>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</si>
  <si>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</si>
  <si>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</si>
  <si>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</si>
  <si>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</si>
  <si>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</si>
  <si>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</si>
  <si>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</si>
  <si>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</si>
  <si>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</si>
  <si>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</si>
  <si>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</si>
  <si>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</si>
  <si>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</si>
  <si>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</si>
  <si>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</si>
  <si>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PHARM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</si>
  <si>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</si>
  <si>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</si>
  <si>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</si>
  <si>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</si>
  <si>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</si>
  <si>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</si>
  <si>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</si>
  <si>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</si>
  <si>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</si>
  <si>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</si>
  <si>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</si>
  <si>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</si>
  <si>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</si>
  <si>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</si>
  <si>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</si>
  <si>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</si>
  <si>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</si>
  <si>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</si>
  <si>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</si>
  <si>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</si>
  <si>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</si>
  <si>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</si>
  <si>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</si>
  <si>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</si>
  <si>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</si>
  <si>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</si>
  <si>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</si>
  <si>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</si>
  <si>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</si>
  <si>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</si>
  <si>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</si>
  <si>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</si>
  <si>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</si>
  <si>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</si>
  <si>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</si>
  <si>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</si>
  <si>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</si>
  <si>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</si>
  <si>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</si>
  <si>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</si>
  <si>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</si>
  <si>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</si>
  <si>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</si>
  <si>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</si>
  <si>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</si>
  <si>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</si>
  <si>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</si>
  <si>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</si>
  <si>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</si>
  <si>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</si>
  <si>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</si>
  <si>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</si>
  <si>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</si>
  <si>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</si>
  <si>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</si>
  <si>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</si>
  <si>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</si>
  <si>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</si>
  <si>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</si>
  <si>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</si>
  <si>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</si>
  <si>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</si>
  <si>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</si>
  <si>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</si>
  <si>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</si>
  <si>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</si>
  <si>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</si>
  <si>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</si>
  <si>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</si>
  <si>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</si>
  <si>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</si>
  <si>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</si>
  <si>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</si>
  <si>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</si>
  <si>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</si>
  <si>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</si>
  <si>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</si>
  <si>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</si>
  <si>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</si>
  <si>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</si>
  <si>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</si>
  <si>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</si>
  <si>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</si>
  <si>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</si>
  <si>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</si>
  <si>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</si>
  <si>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</si>
  <si>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</si>
  <si>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</si>
  <si>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</si>
  <si>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</si>
  <si>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</si>
  <si>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</si>
  <si>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</si>
  <si>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</si>
  <si>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</si>
  <si>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</si>
  <si>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</si>
  <si>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</si>
  <si>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</si>
  <si>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</si>
  <si>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</si>
  <si>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</si>
  <si>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</si>
  <si>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</si>
  <si>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</si>
  <si>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</si>
  <si>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</si>
  <si>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</si>
  <si>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</si>
  <si>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</si>
  <si>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</si>
  <si>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</si>
  <si>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</si>
  <si>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</si>
  <si>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</si>
  <si>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</si>
  <si>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</si>
  <si>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</si>
  <si>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</si>
  <si>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</si>
  <si>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</si>
  <si>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</si>
  <si>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</si>
  <si>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</si>
  <si>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</si>
  <si>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</si>
  <si>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</si>
  <si>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</si>
  <si>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</si>
  <si>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</si>
  <si>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</si>
  <si>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</si>
  <si>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</si>
  <si>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</si>
  <si>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</si>
  <si>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</si>
  <si>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</si>
  <si>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</si>
  <si>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</si>
  <si>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</si>
  <si>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</si>
  <si>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</si>
  <si>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</si>
  <si>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</si>
  <si>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</si>
  <si>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</si>
  <si>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</si>
  <si>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</si>
  <si>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</si>
  <si>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</si>
  <si>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</si>
  <si>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</si>
  <si>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</si>
  <si>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</si>
  <si>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</si>
  <si>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</si>
  <si>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</si>
  <si>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</si>
  <si>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</si>
  <si>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</si>
  <si>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</si>
  <si>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</si>
  <si>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</si>
  <si>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</si>
  <si>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</si>
  <si>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</si>
  <si>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</si>
  <si>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</si>
  <si>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</si>
  <si>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</si>
  <si>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</si>
  <si>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</si>
  <si>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</si>
  <si>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</si>
  <si>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</si>
  <si>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</si>
  <si>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</si>
  <si>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</si>
  <si>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</si>
  <si>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</si>
  <si>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</si>
  <si>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</si>
  <si>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</si>
  <si>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</si>
  <si>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</si>
  <si>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</si>
  <si>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</si>
  <si>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</si>
  <si>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</si>
  <si>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</si>
  <si>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</si>
  <si>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</si>
  <si>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</si>
  <si>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</si>
  <si>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</si>
  <si>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</si>
  <si>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</si>
  <si>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</si>
  <si>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</si>
  <si>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</si>
  <si>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</si>
  <si>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</si>
  <si>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</si>
  <si>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</si>
  <si>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</si>
  <si>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</si>
  <si>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</si>
  <si>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</si>
  <si>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</si>
  <si>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</si>
  <si>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</si>
  <si>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</si>
  <si>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</si>
  <si>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</si>
  <si>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</si>
  <si>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Vevo Therapeutics</t>
  </si>
  <si>
    <t>Seed</t>
  </si>
  <si>
    <t>12m</t>
  </si>
  <si>
    <t>Verseon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</si>
  <si>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</si>
  <si>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</si>
  <si>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</si>
  <si>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</si>
  <si>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</si>
  <si>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</si>
  <si>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</si>
  <si>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</si>
  <si>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</si>
  <si>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</si>
  <si>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</si>
  <si>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</si>
  <si>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</si>
  <si>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</si>
  <si>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</si>
  <si>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</si>
  <si>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</si>
  <si>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</si>
  <si>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</si>
  <si>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</si>
  <si>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</si>
  <si>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</si>
  <si>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</si>
  <si>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</si>
  <si>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</si>
  <si>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</si>
  <si>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</si>
  <si>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</si>
  <si>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</si>
  <si>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</si>
  <si>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</si>
  <si>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</si>
  <si>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</si>
  <si>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</si>
  <si>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</si>
  <si>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</si>
  <si>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</si>
  <si>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</si>
  <si>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</si>
  <si>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</si>
  <si>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</si>
  <si>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</si>
  <si>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</si>
  <si>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</si>
  <si>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</si>
  <si>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</si>
  <si>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</si>
  <si>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</si>
  <si>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</si>
  <si>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</si>
  <si>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</si>
  <si>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</si>
  <si>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</si>
  <si>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</si>
  <si>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</si>
  <si>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</si>
  <si>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</si>
  <si>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</si>
  <si>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</si>
  <si>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</si>
  <si>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</si>
  <si>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</si>
  <si>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</si>
  <si>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</si>
  <si>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</si>
  <si>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</si>
  <si>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</si>
  <si>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</si>
  <si>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</si>
  <si>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</si>
  <si>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</si>
  <si>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</si>
  <si>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</si>
  <si>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</si>
  <si>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</si>
  <si>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</si>
  <si>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</si>
  <si>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</si>
  <si>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</si>
  <si>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</si>
  <si>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</si>
  <si>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</si>
  <si>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</si>
  <si>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</si>
  <si>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</si>
  <si>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</si>
  <si>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</si>
  <si>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</si>
  <si>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</si>
  <si>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</si>
  <si>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</si>
  <si>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</si>
  <si>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</si>
  <si>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</si>
  <si>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</si>
  <si>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</si>
  <si>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</si>
  <si>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</si>
  <si>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</si>
  <si>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</si>
  <si>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</si>
  <si>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</si>
  <si>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</si>
  <si>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</si>
  <si>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</si>
  <si>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</si>
  <si>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</si>
  <si>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</si>
  <si>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</si>
  <si>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</si>
  <si>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</si>
  <si>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</si>
  <si>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</si>
  <si>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</si>
  <si>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</si>
  <si>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</si>
  <si>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</si>
  <si>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</si>
  <si>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</si>
  <si>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</si>
  <si>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</si>
  <si>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</si>
  <si>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</si>
  <si>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</si>
  <si>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</si>
  <si>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</si>
  <si>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</si>
  <si>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</si>
  <si>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</si>
  <si>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</si>
  <si>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</si>
  <si>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</si>
  <si>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</si>
  <si>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</si>
  <si>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</si>
  <si>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</si>
  <si>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</si>
  <si>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</si>
  <si>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</si>
  <si>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</si>
  <si>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</si>
  <si>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</si>
  <si>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</si>
  <si>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</si>
  <si>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</si>
  <si>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</si>
  <si>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</si>
  <si>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</si>
  <si>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</si>
  <si>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</si>
  <si>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</si>
  <si>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</si>
  <si>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</si>
  <si>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</si>
  <si>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</si>
  <si>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</si>
  <si>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</si>
  <si>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</si>
  <si>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</si>
  <si>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</si>
  <si>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</si>
  <si>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</si>
  <si>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</si>
  <si>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</si>
  <si>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</si>
  <si>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</si>
  <si>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</si>
  <si>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</si>
  <si>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HUMA</t>
  </si>
  <si>
    <t>Baxalta</t>
  </si>
  <si>
    <t>Shire</t>
  </si>
  <si>
    <t>Ensysce</t>
  </si>
  <si>
    <t>ENSC</t>
  </si>
  <si>
    <t>Applied</t>
  </si>
  <si>
    <t>APLT</t>
  </si>
  <si>
    <t>Gossamer</t>
  </si>
  <si>
    <t>GOSS</t>
  </si>
  <si>
    <t>Corvus</t>
  </si>
  <si>
    <t>CRVS</t>
  </si>
  <si>
    <t>Y8</t>
  </si>
  <si>
    <t>Hospira</t>
  </si>
  <si>
    <t>Announce Date</t>
  </si>
  <si>
    <t>Allergan</t>
  </si>
  <si>
    <t>Celgene</t>
  </si>
  <si>
    <t>Genzyme</t>
  </si>
  <si>
    <t>Wyeth</t>
  </si>
  <si>
    <t>2002</t>
  </si>
  <si>
    <t>Pharmacia</t>
  </si>
  <si>
    <t>Sugen</t>
  </si>
  <si>
    <t>1999</t>
  </si>
  <si>
    <t>Schering-Plough</t>
  </si>
  <si>
    <t>Cubist</t>
  </si>
  <si>
    <t>The Medicines Company</t>
  </si>
  <si>
    <t>AveXis</t>
  </si>
  <si>
    <t>Actavis Generics</t>
  </si>
  <si>
    <t>Pharmasset</t>
  </si>
  <si>
    <t>Idenix</t>
  </si>
  <si>
    <t>Close Date</t>
  </si>
  <si>
    <t>Immunex</t>
  </si>
  <si>
    <t>Scios</t>
  </si>
  <si>
    <t>Genentech</t>
  </si>
  <si>
    <t>Acquired 56% stake</t>
  </si>
  <si>
    <t>Acquired publicly traded minority stake.</t>
  </si>
  <si>
    <t>Aventis</t>
  </si>
  <si>
    <t>MedImmune</t>
  </si>
  <si>
    <t>Pharmacyclics</t>
  </si>
  <si>
    <t>Immunomedics</t>
  </si>
  <si>
    <t>Myogen</t>
  </si>
  <si>
    <t>Kite</t>
  </si>
  <si>
    <t>Bausch &amp; Lomb</t>
  </si>
  <si>
    <t>Valeant</t>
  </si>
  <si>
    <t>Salix</t>
  </si>
  <si>
    <t>Cephalon</t>
  </si>
  <si>
    <t>IDEC</t>
  </si>
  <si>
    <t>2003</t>
  </si>
  <si>
    <t>Chiron</t>
  </si>
  <si>
    <t>Owned 40% or so</t>
  </si>
  <si>
    <t>Fujisawa</t>
  </si>
  <si>
    <t>Yamanouchi</t>
  </si>
  <si>
    <t>Combination renamed Astellas.</t>
  </si>
  <si>
    <t>OSI Pharmaceuticals</t>
  </si>
  <si>
    <t>GW Pharmaceuticals</t>
  </si>
  <si>
    <t>Juno</t>
  </si>
  <si>
    <t>Cougar</t>
  </si>
  <si>
    <t>Alcon</t>
  </si>
  <si>
    <t>Acquired 77% via Nestle</t>
  </si>
  <si>
    <t>Astra</t>
  </si>
  <si>
    <t>Zeneca</t>
  </si>
  <si>
    <t>Merger of equals.</t>
  </si>
  <si>
    <t>SmithKline Beecham</t>
  </si>
  <si>
    <t>Glaxo Wellcome</t>
  </si>
  <si>
    <t>Merger of equals (182B)</t>
  </si>
  <si>
    <t>ICOS</t>
  </si>
  <si>
    <t>Lilly</t>
  </si>
  <si>
    <t>Icos</t>
  </si>
  <si>
    <t>ImClone</t>
  </si>
  <si>
    <t>Bristol also made an offer.</t>
  </si>
  <si>
    <t>Actelion</t>
  </si>
  <si>
    <t>Monsanto</t>
  </si>
  <si>
    <t>Daiichi</t>
  </si>
  <si>
    <t>Sankyo</t>
  </si>
  <si>
    <t>Savient</t>
  </si>
  <si>
    <t>Ciba-Geigy</t>
  </si>
  <si>
    <t>Merger of equals to create Novartis.</t>
  </si>
  <si>
    <t>Ciba</t>
  </si>
  <si>
    <t>JR Geigy</t>
  </si>
  <si>
    <t>Ivax</t>
  </si>
  <si>
    <t>HMR</t>
  </si>
  <si>
    <t>Alza</t>
  </si>
  <si>
    <t>Medicis</t>
  </si>
  <si>
    <t>Relmada</t>
  </si>
  <si>
    <t>RLMD</t>
  </si>
  <si>
    <t>Forward Pharma</t>
  </si>
  <si>
    <t>Curatis</t>
  </si>
  <si>
    <t>CURN SW</t>
  </si>
  <si>
    <t>Hexal</t>
  </si>
  <si>
    <t>Serono</t>
  </si>
  <si>
    <t>Merck KgAA</t>
  </si>
  <si>
    <t>Q324</t>
  </si>
  <si>
    <t>Q424</t>
  </si>
  <si>
    <t>Revenue</t>
  </si>
  <si>
    <t>AbbVie COGS</t>
  </si>
  <si>
    <t>Lilly COGS</t>
  </si>
  <si>
    <t>J&amp;J COGS</t>
  </si>
  <si>
    <t>COGS</t>
  </si>
  <si>
    <t>Gross Margin</t>
  </si>
  <si>
    <t>Industry GM%</t>
  </si>
  <si>
    <t>Novo</t>
  </si>
  <si>
    <t>Novo COGS</t>
  </si>
  <si>
    <t>Merck COGS</t>
  </si>
  <si>
    <t>Q223</t>
  </si>
  <si>
    <t>Q323</t>
  </si>
  <si>
    <t>Scholar Rock</t>
  </si>
  <si>
    <t>SRRK</t>
  </si>
  <si>
    <t>Estrella</t>
  </si>
  <si>
    <t>ESLA</t>
  </si>
  <si>
    <t>Zogenix</t>
  </si>
  <si>
    <t>Neumora</t>
  </si>
  <si>
    <t>NMRA</t>
  </si>
  <si>
    <t>IMNM</t>
  </si>
  <si>
    <t>Brainstorm</t>
  </si>
  <si>
    <t>BCLI</t>
  </si>
  <si>
    <t>Allakos</t>
  </si>
  <si>
    <t>ALLK</t>
  </si>
  <si>
    <t>Sutro</t>
  </si>
  <si>
    <t>STRO</t>
  </si>
  <si>
    <t>Novartis spin-out? They owned 22% at acquisition.</t>
  </si>
  <si>
    <t>Humacyte</t>
  </si>
  <si>
    <t>Alto</t>
  </si>
  <si>
    <t>ANRO</t>
  </si>
  <si>
    <t>Q115</t>
  </si>
  <si>
    <t>22</t>
  </si>
  <si>
    <t>30</t>
  </si>
  <si>
    <t>Cosentyx</t>
  </si>
  <si>
    <t>Entresto</t>
  </si>
  <si>
    <t>Kisqali</t>
  </si>
  <si>
    <t>Avalyn</t>
  </si>
  <si>
    <t>Perceptive, SR One, Eventide, Vida Ventures, Wellington, Rock Springs, T. Rowe, Surveyor Capital, Catalio</t>
  </si>
  <si>
    <t>Type</t>
  </si>
  <si>
    <t>Baker Brothers</t>
  </si>
  <si>
    <t>Public Long-Only</t>
  </si>
  <si>
    <t>Perceptive</t>
  </si>
  <si>
    <t>RTW</t>
  </si>
  <si>
    <t>Rock Springs</t>
  </si>
  <si>
    <t>Cormorant</t>
  </si>
  <si>
    <t>EcoR1</t>
  </si>
  <si>
    <t>Adar1</t>
  </si>
  <si>
    <t>ADV</t>
  </si>
  <si>
    <t>13F</t>
  </si>
  <si>
    <t>Palo Alto</t>
  </si>
  <si>
    <t>Camber</t>
  </si>
  <si>
    <t>Avoro</t>
  </si>
  <si>
    <t>Armistice</t>
  </si>
  <si>
    <t>RA Capital</t>
  </si>
  <si>
    <t>Deerfield</t>
  </si>
  <si>
    <t>Orbimed</t>
  </si>
  <si>
    <t>Deep Track</t>
  </si>
  <si>
    <t>Founder</t>
  </si>
  <si>
    <t>Braidwell</t>
  </si>
  <si>
    <t>Alex Karnal</t>
  </si>
  <si>
    <t>Tang</t>
  </si>
  <si>
    <t>Casdin</t>
  </si>
  <si>
    <t>Felix &amp; Julian Baker</t>
  </si>
  <si>
    <t>Peter Kolchinsky</t>
  </si>
  <si>
    <t>Rod Wong</t>
  </si>
  <si>
    <t>Steve Boyd</t>
  </si>
  <si>
    <t>Bihua Chen</t>
  </si>
  <si>
    <t>Kevin Tang</t>
  </si>
  <si>
    <t>Kynam Capital</t>
  </si>
  <si>
    <t>Oracle</t>
  </si>
  <si>
    <t>Flagship</t>
  </si>
  <si>
    <t>iBio</t>
  </si>
  <si>
    <t>IBIO</t>
  </si>
  <si>
    <t>Galapagos</t>
  </si>
  <si>
    <t>GLPG</t>
  </si>
  <si>
    <t>Ortho Cell</t>
  </si>
  <si>
    <t>MyoKardia</t>
  </si>
  <si>
    <t>Pharmion</t>
  </si>
  <si>
    <t>Mixed</t>
  </si>
  <si>
    <t>Venture, Hedge</t>
  </si>
  <si>
    <t>Venture, Hedge, Royalty</t>
  </si>
  <si>
    <t>Hedge Fund</t>
  </si>
  <si>
    <t>Millennium</t>
  </si>
  <si>
    <t>Israel Englander</t>
  </si>
  <si>
    <t>Tularik</t>
  </si>
  <si>
    <t>Teneobio</t>
  </si>
  <si>
    <t>Micromet</t>
  </si>
  <si>
    <t>Five Prime</t>
  </si>
  <si>
    <t>Citadel</t>
  </si>
  <si>
    <t>Ken Griffin</t>
  </si>
  <si>
    <t>Biktarvy</t>
  </si>
  <si>
    <t>Descovy</t>
  </si>
  <si>
    <t>Lifetime</t>
  </si>
  <si>
    <t>Genvoya</t>
  </si>
  <si>
    <t>Sovaldi</t>
  </si>
  <si>
    <t>Harvony</t>
  </si>
  <si>
    <t>Comirnaty</t>
  </si>
  <si>
    <t>Paxlovid</t>
  </si>
  <si>
    <t>Vyndaqel</t>
  </si>
  <si>
    <t>Ibrance</t>
  </si>
  <si>
    <t>Indication</t>
  </si>
  <si>
    <t>COVID-19</t>
  </si>
  <si>
    <t>Oncology</t>
  </si>
  <si>
    <t>Cardiovascular</t>
  </si>
  <si>
    <t>Autoimmune</t>
  </si>
  <si>
    <t>HIV</t>
  </si>
  <si>
    <t>Diabetes</t>
  </si>
  <si>
    <t>Vaccine, Oncology</t>
  </si>
  <si>
    <t>Psychiatry</t>
  </si>
  <si>
    <t>#</t>
  </si>
  <si>
    <t># in Class</t>
  </si>
  <si>
    <t>Eliquis WW</t>
  </si>
  <si>
    <t>PFE/BMY</t>
  </si>
  <si>
    <t>Q113</t>
  </si>
  <si>
    <t>Y9</t>
  </si>
  <si>
    <t>Y10</t>
  </si>
  <si>
    <t>Y11</t>
  </si>
  <si>
    <t>Y12</t>
  </si>
  <si>
    <t>Rare</t>
  </si>
  <si>
    <t>Xeljanz</t>
  </si>
  <si>
    <t>Lipitor</t>
  </si>
  <si>
    <t>Q197</t>
  </si>
  <si>
    <t>Y13</t>
  </si>
  <si>
    <t>Y14</t>
  </si>
  <si>
    <t>Y15</t>
  </si>
  <si>
    <t>Y16</t>
  </si>
  <si>
    <t>Viagra</t>
  </si>
  <si>
    <t>HCV</t>
  </si>
  <si>
    <t>Abbott</t>
  </si>
  <si>
    <t>Knoll</t>
  </si>
  <si>
    <t>Humira</t>
  </si>
  <si>
    <t>Q103</t>
  </si>
  <si>
    <t>Skyrizi</t>
  </si>
  <si>
    <t>Rinvoq</t>
  </si>
  <si>
    <t>Zyprexa</t>
  </si>
  <si>
    <t>Eliquis ROW</t>
  </si>
  <si>
    <t>Eliquis US</t>
  </si>
  <si>
    <t>Zepbound</t>
  </si>
  <si>
    <t>Humalog</t>
  </si>
  <si>
    <t>Y17</t>
  </si>
  <si>
    <t>Y18</t>
  </si>
  <si>
    <t>Y19</t>
  </si>
  <si>
    <t>Cialis</t>
  </si>
  <si>
    <t>Remicade US</t>
  </si>
  <si>
    <t>Inhibikase</t>
  </si>
  <si>
    <t>IKT</t>
  </si>
  <si>
    <t>Aerovate</t>
  </si>
  <si>
    <t>AVTE</t>
  </si>
  <si>
    <t>Esperion</t>
  </si>
  <si>
    <t>ESPR</t>
  </si>
  <si>
    <t>Pharvaris</t>
  </si>
  <si>
    <t>Prevnar</t>
  </si>
  <si>
    <t>Vaccine</t>
  </si>
  <si>
    <t>2,439</t>
  </si>
  <si>
    <t>2,716</t>
  </si>
  <si>
    <t>Tonix</t>
  </si>
  <si>
    <t>TNXP</t>
  </si>
  <si>
    <t>AGTC</t>
  </si>
  <si>
    <t>Syncova</t>
  </si>
  <si>
    <t>Momenta</t>
  </si>
  <si>
    <t>Monopar</t>
  </si>
  <si>
    <t>MNPR</t>
  </si>
  <si>
    <t>DBID</t>
  </si>
  <si>
    <t>Brand</t>
  </si>
  <si>
    <t>Generic</t>
  </si>
  <si>
    <t>secukinumab</t>
  </si>
  <si>
    <t>MOA</t>
  </si>
  <si>
    <t>lepirudin</t>
  </si>
  <si>
    <t>Erbitux</t>
  </si>
  <si>
    <t>cetuximab</t>
  </si>
  <si>
    <t>Target</t>
  </si>
  <si>
    <t>thrombin</t>
  </si>
  <si>
    <t>EGFR</t>
  </si>
  <si>
    <t>mab</t>
  </si>
  <si>
    <t>MW</t>
  </si>
  <si>
    <t>Pulmozyme</t>
  </si>
  <si>
    <t>dornase alfa</t>
  </si>
  <si>
    <t>extracellular DNA</t>
  </si>
  <si>
    <t>recombinant enzyme</t>
  </si>
  <si>
    <t>IL-17A</t>
  </si>
  <si>
    <t>FDA</t>
  </si>
  <si>
    <t>Refludan</t>
  </si>
  <si>
    <t>Class</t>
  </si>
  <si>
    <t>rhProtein</t>
  </si>
  <si>
    <t>peptide</t>
  </si>
  <si>
    <t>AA</t>
  </si>
  <si>
    <t>peptide inhibitor</t>
  </si>
  <si>
    <t>denileukin difitox</t>
  </si>
  <si>
    <t>fusion protein</t>
  </si>
  <si>
    <t>Ontak</t>
  </si>
  <si>
    <t>IL-2</t>
  </si>
  <si>
    <t>protein-toxin conjugate</t>
  </si>
  <si>
    <t>etanercept</t>
  </si>
  <si>
    <t>Enbrel</t>
  </si>
  <si>
    <t>TNF-alpha</t>
  </si>
  <si>
    <t>soluble receptor</t>
  </si>
  <si>
    <t>bivalirudin</t>
  </si>
  <si>
    <t>Angiomax</t>
  </si>
  <si>
    <t>Lupron</t>
  </si>
  <si>
    <t>leuprolide</t>
  </si>
  <si>
    <t>GnRH analog</t>
  </si>
  <si>
    <t>GnRHR</t>
  </si>
  <si>
    <t>peginterferon alfa-2a</t>
  </si>
  <si>
    <t>Type 1 IFNR</t>
  </si>
  <si>
    <t>Pegasys</t>
  </si>
  <si>
    <t>alteplase</t>
  </si>
  <si>
    <t>fibrin, plasminogen</t>
  </si>
  <si>
    <t>Activase</t>
  </si>
  <si>
    <t>sermorelin</t>
  </si>
  <si>
    <t>GHRHR</t>
  </si>
  <si>
    <t>GRF mimetic</t>
  </si>
  <si>
    <t>Geref</t>
  </si>
  <si>
    <t>interferon alfa-n1</t>
  </si>
  <si>
    <t>Wellferon</t>
  </si>
  <si>
    <t>Aranesp</t>
  </si>
  <si>
    <t>darbepoetin alfa</t>
  </si>
  <si>
    <t>EPOR</t>
  </si>
  <si>
    <t>EPOR agonist</t>
  </si>
  <si>
    <t>IFNR agonist</t>
  </si>
  <si>
    <t>urokinase</t>
  </si>
  <si>
    <t>protease</t>
  </si>
  <si>
    <t>plasminogen</t>
  </si>
  <si>
    <t>Kinlytic</t>
  </si>
  <si>
    <t>Syncona</t>
  </si>
  <si>
    <t>Zoladex</t>
  </si>
  <si>
    <t>goserelin</t>
  </si>
  <si>
    <t>LHRH analog</t>
  </si>
  <si>
    <t>small molecule</t>
  </si>
  <si>
    <t>N/A</t>
  </si>
  <si>
    <t>reteplase</t>
  </si>
  <si>
    <t>tPA analog</t>
  </si>
  <si>
    <t>erythropoietin</t>
  </si>
  <si>
    <t>Procrit</t>
  </si>
  <si>
    <t>salmon calcitonin</t>
  </si>
  <si>
    <t>calcitonin receptor agonist</t>
  </si>
  <si>
    <t>Calcitonin receptor</t>
  </si>
  <si>
    <t>interferon alfa-n3</t>
  </si>
  <si>
    <t>purified protein</t>
  </si>
  <si>
    <t>pegfilgrastim</t>
  </si>
  <si>
    <t>Neulasta</t>
  </si>
  <si>
    <t>G-CSF</t>
  </si>
  <si>
    <t>G-CSF Receptor</t>
  </si>
  <si>
    <t>sargramostim</t>
  </si>
  <si>
    <t>Leukine</t>
  </si>
  <si>
    <t>GM-CSF</t>
  </si>
  <si>
    <t>GM-CSF-R-alpha</t>
  </si>
  <si>
    <t>secretin</t>
  </si>
  <si>
    <t>secretin receptor</t>
  </si>
  <si>
    <t>secretin receptor agonist</t>
  </si>
  <si>
    <t>peginterferon alfa-2b</t>
  </si>
  <si>
    <t>asparginase</t>
  </si>
  <si>
    <t>Rylaze</t>
  </si>
  <si>
    <t>L-asparagine</t>
  </si>
  <si>
    <t>Thyrogen</t>
  </si>
  <si>
    <t>thyrotropin alfa</t>
  </si>
  <si>
    <t>TSH receptor</t>
  </si>
  <si>
    <t>TSH receptor agonist</t>
  </si>
  <si>
    <t>Advate</t>
  </si>
  <si>
    <t>antihemophilic factor</t>
  </si>
  <si>
    <t>Factor IXa</t>
  </si>
  <si>
    <t>Factor IXa complex component</t>
  </si>
  <si>
    <t>Kineret</t>
  </si>
  <si>
    <t>anakinra</t>
  </si>
  <si>
    <t>IL-1</t>
  </si>
  <si>
    <t>gramicidin D</t>
  </si>
  <si>
    <t>Gammagard</t>
  </si>
  <si>
    <t>human immunoglobulin G</t>
  </si>
  <si>
    <t>anistreplase</t>
  </si>
  <si>
    <t>insulin human</t>
  </si>
  <si>
    <t>Humulin</t>
  </si>
  <si>
    <t>Insulin Receptor</t>
  </si>
  <si>
    <t>insulin receptor agonist</t>
  </si>
  <si>
    <t>TNKase</t>
  </si>
  <si>
    <t>tenecteplase</t>
  </si>
  <si>
    <t>Menopur</t>
  </si>
  <si>
    <t>menotropins</t>
  </si>
  <si>
    <t>FSH receptor</t>
  </si>
  <si>
    <t>FSH agonist</t>
  </si>
  <si>
    <t>Actimmune</t>
  </si>
  <si>
    <t>interferon gamma-1b</t>
  </si>
  <si>
    <t>interferon alfa-2a</t>
  </si>
  <si>
    <t>desmopressin</t>
  </si>
  <si>
    <t>V1, V2, V3 receptors</t>
  </si>
  <si>
    <t>vasopressin receptor agonist</t>
  </si>
  <si>
    <t>Ddavp</t>
  </si>
  <si>
    <t>coagulation factor VIIa recombinant human</t>
  </si>
  <si>
    <t>NovoSeven</t>
  </si>
  <si>
    <t>Factor IX, Factor X</t>
  </si>
  <si>
    <t>oprelvekin</t>
  </si>
  <si>
    <t>Neumega</t>
  </si>
  <si>
    <t>IL-11 receptor</t>
  </si>
  <si>
    <t>IL-11 receptor agonist</t>
  </si>
  <si>
    <t>Kepivance</t>
  </si>
  <si>
    <t>palifermin</t>
  </si>
  <si>
    <t>KGF receptor</t>
  </si>
  <si>
    <t>KGF receptor agonist</t>
  </si>
  <si>
    <t>glucagon</t>
  </si>
  <si>
    <t>Glucagen</t>
  </si>
  <si>
    <t>Glucagon receptor</t>
  </si>
  <si>
    <t>Glucagon receptor agonist</t>
  </si>
  <si>
    <t>Proleukin</t>
  </si>
  <si>
    <t>aldesleukin</t>
  </si>
  <si>
    <t>IL-2 receptor</t>
  </si>
  <si>
    <t>IL-2 receptor agonist</t>
  </si>
  <si>
    <t>Myobloc</t>
  </si>
  <si>
    <t>botulinum toxin type B</t>
  </si>
  <si>
    <t>Xolair</t>
  </si>
  <si>
    <t>omalizumab</t>
  </si>
  <si>
    <t>IgE</t>
  </si>
  <si>
    <t>lutropin alfa</t>
  </si>
  <si>
    <t>LH receptor</t>
  </si>
  <si>
    <t>LH receptor agonist</t>
  </si>
  <si>
    <t>lyme disease vaccine</t>
  </si>
  <si>
    <t>insulin lispro</t>
  </si>
  <si>
    <t>insulin glargine</t>
  </si>
  <si>
    <t>Lantus</t>
  </si>
  <si>
    <t>collagenase clostridium histolyticum</t>
  </si>
  <si>
    <t>Xiaflex</t>
  </si>
  <si>
    <t>rasburicase</t>
  </si>
  <si>
    <t>Elitek</t>
  </si>
  <si>
    <t>cetrorelix</t>
  </si>
  <si>
    <t>adalimumab</t>
  </si>
  <si>
    <t>imiglucerase</t>
  </si>
  <si>
    <t>Cerezyme</t>
  </si>
  <si>
    <t>somatotropin</t>
  </si>
  <si>
    <t>Genotropin</t>
  </si>
  <si>
    <t>Growth Hormone receptor</t>
  </si>
  <si>
    <t>GH receptor agonist</t>
  </si>
  <si>
    <t>abciximab</t>
  </si>
  <si>
    <t>Q32 Bio</t>
  </si>
  <si>
    <t>QTTB</t>
  </si>
  <si>
    <t>Artiva</t>
  </si>
  <si>
    <t>ARTV</t>
  </si>
  <si>
    <t>Atossa</t>
  </si>
  <si>
    <t>ATOS</t>
  </si>
  <si>
    <t>NervGen</t>
  </si>
  <si>
    <t>NGEN</t>
  </si>
  <si>
    <t>Q224?</t>
  </si>
  <si>
    <t>GALT</t>
  </si>
  <si>
    <t>Galectin</t>
  </si>
  <si>
    <t>Evaxion</t>
  </si>
  <si>
    <t>EVAX</t>
  </si>
  <si>
    <t>Murai Oncology</t>
  </si>
  <si>
    <t>MURA</t>
  </si>
  <si>
    <t>RZLT</t>
  </si>
  <si>
    <t>Rezolute</t>
  </si>
  <si>
    <t>LPTX</t>
  </si>
  <si>
    <t>Leap</t>
  </si>
  <si>
    <t>CABA</t>
  </si>
  <si>
    <t>Cabaletta</t>
  </si>
  <si>
    <t>Cognition</t>
  </si>
  <si>
    <t>CGTX</t>
  </si>
  <si>
    <t>Voyager</t>
  </si>
  <si>
    <t>VYGR</t>
  </si>
  <si>
    <t>ALGS</t>
  </si>
  <si>
    <t>Aligos</t>
  </si>
  <si>
    <t>DRUG</t>
  </si>
  <si>
    <t>Bright Minds</t>
  </si>
  <si>
    <t>R</t>
  </si>
  <si>
    <t>C</t>
  </si>
  <si>
    <t>Stoke</t>
  </si>
  <si>
    <t>STOK</t>
  </si>
  <si>
    <t>Candel</t>
  </si>
  <si>
    <t>CADL</t>
  </si>
  <si>
    <t>Reviva</t>
  </si>
  <si>
    <t>RVPH</t>
  </si>
  <si>
    <t>Checkpoint</t>
  </si>
  <si>
    <t>CKPT</t>
  </si>
  <si>
    <t>Aquestive</t>
  </si>
  <si>
    <t>AQST</t>
  </si>
  <si>
    <t>Afimmune</t>
  </si>
  <si>
    <t>Melinta Therapeutics</t>
  </si>
  <si>
    <t>Cempra</t>
  </si>
  <si>
    <t>Melinta</t>
  </si>
  <si>
    <t>Chemomab</t>
  </si>
  <si>
    <t>CMMB</t>
  </si>
  <si>
    <t>Gyre</t>
  </si>
  <si>
    <t>GYRE</t>
  </si>
  <si>
    <t>ArriVent</t>
  </si>
  <si>
    <t>AVBP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</si>
</sst>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5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  <numFmt numFmtId="177" formatCode="#,##0.00\ [$kr.-406]"/>
    <numFmt numFmtId="178" formatCode="[$AUD]\ #,##0.00"/>
  </numFmts>
  <fonts count="1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1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3" fontId="3" fillId="0" borderId="0" xfId="0" applyNumberFormat="1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7" fontId="0" fillId="0" borderId="0" xfId="0" applyNumberFormat="1"/>
    <xf numFmtId="1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3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6.xml"/><Relationship Id="rId21" Type="http://schemas.openxmlformats.org/officeDocument/2006/relationships/externalLink" Target="externalLinks/externalLink10.xml"/><Relationship Id="rId42" Type="http://schemas.openxmlformats.org/officeDocument/2006/relationships/externalLink" Target="externalLinks/externalLink31.xml"/><Relationship Id="rId63" Type="http://schemas.openxmlformats.org/officeDocument/2006/relationships/externalLink" Target="externalLinks/externalLink52.xml"/><Relationship Id="rId84" Type="http://schemas.openxmlformats.org/officeDocument/2006/relationships/externalLink" Target="externalLinks/externalLink73.xml"/><Relationship Id="rId138" Type="http://schemas.openxmlformats.org/officeDocument/2006/relationships/externalLink" Target="externalLinks/externalLink127.xml"/><Relationship Id="rId159" Type="http://schemas.openxmlformats.org/officeDocument/2006/relationships/externalLink" Target="externalLinks/externalLink148.xml"/><Relationship Id="rId170" Type="http://schemas.openxmlformats.org/officeDocument/2006/relationships/externalLink" Target="externalLinks/externalLink159.xml"/><Relationship Id="rId191" Type="http://schemas.openxmlformats.org/officeDocument/2006/relationships/calcChain" Target="calcChain.xml"/><Relationship Id="rId107" Type="http://schemas.openxmlformats.org/officeDocument/2006/relationships/externalLink" Target="externalLinks/externalLink96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21.xml"/><Relationship Id="rId53" Type="http://schemas.openxmlformats.org/officeDocument/2006/relationships/externalLink" Target="externalLinks/externalLink42.xml"/><Relationship Id="rId74" Type="http://schemas.openxmlformats.org/officeDocument/2006/relationships/externalLink" Target="externalLinks/externalLink63.xml"/><Relationship Id="rId128" Type="http://schemas.openxmlformats.org/officeDocument/2006/relationships/externalLink" Target="externalLinks/externalLink117.xml"/><Relationship Id="rId149" Type="http://schemas.openxmlformats.org/officeDocument/2006/relationships/externalLink" Target="externalLinks/externalLink138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84.xml"/><Relationship Id="rId160" Type="http://schemas.openxmlformats.org/officeDocument/2006/relationships/externalLink" Target="externalLinks/externalLink149.xml"/><Relationship Id="rId181" Type="http://schemas.openxmlformats.org/officeDocument/2006/relationships/externalLink" Target="externalLinks/externalLink170.xml"/><Relationship Id="rId22" Type="http://schemas.openxmlformats.org/officeDocument/2006/relationships/externalLink" Target="externalLinks/externalLink11.xml"/><Relationship Id="rId43" Type="http://schemas.openxmlformats.org/officeDocument/2006/relationships/externalLink" Target="externalLinks/externalLink32.xml"/><Relationship Id="rId64" Type="http://schemas.openxmlformats.org/officeDocument/2006/relationships/externalLink" Target="externalLinks/externalLink53.xml"/><Relationship Id="rId118" Type="http://schemas.openxmlformats.org/officeDocument/2006/relationships/externalLink" Target="externalLinks/externalLink107.xml"/><Relationship Id="rId139" Type="http://schemas.openxmlformats.org/officeDocument/2006/relationships/externalLink" Target="externalLinks/externalLink128.xml"/><Relationship Id="rId85" Type="http://schemas.openxmlformats.org/officeDocument/2006/relationships/externalLink" Target="externalLinks/externalLink74.xml"/><Relationship Id="rId150" Type="http://schemas.openxmlformats.org/officeDocument/2006/relationships/externalLink" Target="externalLinks/externalLink139.xml"/><Relationship Id="rId171" Type="http://schemas.openxmlformats.org/officeDocument/2006/relationships/externalLink" Target="externalLinks/externalLink160.xml"/><Relationship Id="rId12" Type="http://schemas.openxmlformats.org/officeDocument/2006/relationships/externalLink" Target="externalLinks/externalLink1.xml"/><Relationship Id="rId33" Type="http://schemas.openxmlformats.org/officeDocument/2006/relationships/externalLink" Target="externalLinks/externalLink22.xml"/><Relationship Id="rId108" Type="http://schemas.openxmlformats.org/officeDocument/2006/relationships/externalLink" Target="externalLinks/externalLink97.xml"/><Relationship Id="rId129" Type="http://schemas.openxmlformats.org/officeDocument/2006/relationships/externalLink" Target="externalLinks/externalLink118.xml"/><Relationship Id="rId54" Type="http://schemas.openxmlformats.org/officeDocument/2006/relationships/externalLink" Target="externalLinks/externalLink43.xml"/><Relationship Id="rId75" Type="http://schemas.openxmlformats.org/officeDocument/2006/relationships/externalLink" Target="externalLinks/externalLink64.xml"/><Relationship Id="rId96" Type="http://schemas.openxmlformats.org/officeDocument/2006/relationships/externalLink" Target="externalLinks/externalLink85.xml"/><Relationship Id="rId140" Type="http://schemas.openxmlformats.org/officeDocument/2006/relationships/externalLink" Target="externalLinks/externalLink129.xml"/><Relationship Id="rId161" Type="http://schemas.openxmlformats.org/officeDocument/2006/relationships/externalLink" Target="externalLinks/externalLink150.xml"/><Relationship Id="rId182" Type="http://schemas.openxmlformats.org/officeDocument/2006/relationships/externalLink" Target="externalLinks/externalLink171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2.xml"/><Relationship Id="rId119" Type="http://schemas.openxmlformats.org/officeDocument/2006/relationships/externalLink" Target="externalLinks/externalLink108.xml"/><Relationship Id="rId44" Type="http://schemas.openxmlformats.org/officeDocument/2006/relationships/externalLink" Target="externalLinks/externalLink33.xml"/><Relationship Id="rId65" Type="http://schemas.openxmlformats.org/officeDocument/2006/relationships/externalLink" Target="externalLinks/externalLink54.xml"/><Relationship Id="rId86" Type="http://schemas.openxmlformats.org/officeDocument/2006/relationships/externalLink" Target="externalLinks/externalLink75.xml"/><Relationship Id="rId130" Type="http://schemas.openxmlformats.org/officeDocument/2006/relationships/externalLink" Target="externalLinks/externalLink119.xml"/><Relationship Id="rId151" Type="http://schemas.openxmlformats.org/officeDocument/2006/relationships/externalLink" Target="externalLinks/externalLink140.xml"/><Relationship Id="rId172" Type="http://schemas.openxmlformats.org/officeDocument/2006/relationships/externalLink" Target="externalLinks/externalLink161.xml"/><Relationship Id="rId13" Type="http://schemas.openxmlformats.org/officeDocument/2006/relationships/externalLink" Target="externalLinks/externalLink2.xml"/><Relationship Id="rId18" Type="http://schemas.openxmlformats.org/officeDocument/2006/relationships/externalLink" Target="externalLinks/externalLink7.xml"/><Relationship Id="rId39" Type="http://schemas.openxmlformats.org/officeDocument/2006/relationships/externalLink" Target="externalLinks/externalLink28.xml"/><Relationship Id="rId109" Type="http://schemas.openxmlformats.org/officeDocument/2006/relationships/externalLink" Target="externalLinks/externalLink98.xml"/><Relationship Id="rId34" Type="http://schemas.openxmlformats.org/officeDocument/2006/relationships/externalLink" Target="externalLinks/externalLink23.xml"/><Relationship Id="rId50" Type="http://schemas.openxmlformats.org/officeDocument/2006/relationships/externalLink" Target="externalLinks/externalLink39.xml"/><Relationship Id="rId55" Type="http://schemas.openxmlformats.org/officeDocument/2006/relationships/externalLink" Target="externalLinks/externalLink44.xml"/><Relationship Id="rId76" Type="http://schemas.openxmlformats.org/officeDocument/2006/relationships/externalLink" Target="externalLinks/externalLink65.xml"/><Relationship Id="rId97" Type="http://schemas.openxmlformats.org/officeDocument/2006/relationships/externalLink" Target="externalLinks/externalLink86.xml"/><Relationship Id="rId104" Type="http://schemas.openxmlformats.org/officeDocument/2006/relationships/externalLink" Target="externalLinks/externalLink93.xml"/><Relationship Id="rId120" Type="http://schemas.openxmlformats.org/officeDocument/2006/relationships/externalLink" Target="externalLinks/externalLink109.xml"/><Relationship Id="rId125" Type="http://schemas.openxmlformats.org/officeDocument/2006/relationships/externalLink" Target="externalLinks/externalLink114.xml"/><Relationship Id="rId141" Type="http://schemas.openxmlformats.org/officeDocument/2006/relationships/externalLink" Target="externalLinks/externalLink130.xml"/><Relationship Id="rId146" Type="http://schemas.openxmlformats.org/officeDocument/2006/relationships/externalLink" Target="externalLinks/externalLink135.xml"/><Relationship Id="rId167" Type="http://schemas.openxmlformats.org/officeDocument/2006/relationships/externalLink" Target="externalLinks/externalLink156.xml"/><Relationship Id="rId18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60.xml"/><Relationship Id="rId92" Type="http://schemas.openxmlformats.org/officeDocument/2006/relationships/externalLink" Target="externalLinks/externalLink81.xml"/><Relationship Id="rId162" Type="http://schemas.openxmlformats.org/officeDocument/2006/relationships/externalLink" Target="externalLinks/externalLink151.xml"/><Relationship Id="rId183" Type="http://schemas.openxmlformats.org/officeDocument/2006/relationships/externalLink" Target="externalLinks/externalLink172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8.xml"/><Relationship Id="rId24" Type="http://schemas.openxmlformats.org/officeDocument/2006/relationships/externalLink" Target="externalLinks/externalLink13.xml"/><Relationship Id="rId40" Type="http://schemas.openxmlformats.org/officeDocument/2006/relationships/externalLink" Target="externalLinks/externalLink29.xml"/><Relationship Id="rId45" Type="http://schemas.openxmlformats.org/officeDocument/2006/relationships/externalLink" Target="externalLinks/externalLink34.xml"/><Relationship Id="rId66" Type="http://schemas.openxmlformats.org/officeDocument/2006/relationships/externalLink" Target="externalLinks/externalLink55.xml"/><Relationship Id="rId87" Type="http://schemas.openxmlformats.org/officeDocument/2006/relationships/externalLink" Target="externalLinks/externalLink76.xml"/><Relationship Id="rId110" Type="http://schemas.openxmlformats.org/officeDocument/2006/relationships/externalLink" Target="externalLinks/externalLink99.xml"/><Relationship Id="rId115" Type="http://schemas.openxmlformats.org/officeDocument/2006/relationships/externalLink" Target="externalLinks/externalLink104.xml"/><Relationship Id="rId131" Type="http://schemas.openxmlformats.org/officeDocument/2006/relationships/externalLink" Target="externalLinks/externalLink120.xml"/><Relationship Id="rId136" Type="http://schemas.openxmlformats.org/officeDocument/2006/relationships/externalLink" Target="externalLinks/externalLink125.xml"/><Relationship Id="rId157" Type="http://schemas.openxmlformats.org/officeDocument/2006/relationships/externalLink" Target="externalLinks/externalLink146.xml"/><Relationship Id="rId178" Type="http://schemas.openxmlformats.org/officeDocument/2006/relationships/externalLink" Target="externalLinks/externalLink167.xml"/><Relationship Id="rId61" Type="http://schemas.openxmlformats.org/officeDocument/2006/relationships/externalLink" Target="externalLinks/externalLink50.xml"/><Relationship Id="rId82" Type="http://schemas.openxmlformats.org/officeDocument/2006/relationships/externalLink" Target="externalLinks/externalLink71.xml"/><Relationship Id="rId152" Type="http://schemas.openxmlformats.org/officeDocument/2006/relationships/externalLink" Target="externalLinks/externalLink141.xml"/><Relationship Id="rId173" Type="http://schemas.openxmlformats.org/officeDocument/2006/relationships/externalLink" Target="externalLinks/externalLink162.xml"/><Relationship Id="rId1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3.xml"/><Relationship Id="rId30" Type="http://schemas.openxmlformats.org/officeDocument/2006/relationships/externalLink" Target="externalLinks/externalLink19.xml"/><Relationship Id="rId35" Type="http://schemas.openxmlformats.org/officeDocument/2006/relationships/externalLink" Target="externalLinks/externalLink24.xml"/><Relationship Id="rId56" Type="http://schemas.openxmlformats.org/officeDocument/2006/relationships/externalLink" Target="externalLinks/externalLink45.xml"/><Relationship Id="rId77" Type="http://schemas.openxmlformats.org/officeDocument/2006/relationships/externalLink" Target="externalLinks/externalLink66.xml"/><Relationship Id="rId100" Type="http://schemas.openxmlformats.org/officeDocument/2006/relationships/externalLink" Target="externalLinks/externalLink89.xml"/><Relationship Id="rId105" Type="http://schemas.openxmlformats.org/officeDocument/2006/relationships/externalLink" Target="externalLinks/externalLink94.xml"/><Relationship Id="rId126" Type="http://schemas.openxmlformats.org/officeDocument/2006/relationships/externalLink" Target="externalLinks/externalLink115.xml"/><Relationship Id="rId147" Type="http://schemas.openxmlformats.org/officeDocument/2006/relationships/externalLink" Target="externalLinks/externalLink136.xml"/><Relationship Id="rId168" Type="http://schemas.openxmlformats.org/officeDocument/2006/relationships/externalLink" Target="externalLinks/externalLink157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40.xml"/><Relationship Id="rId72" Type="http://schemas.openxmlformats.org/officeDocument/2006/relationships/externalLink" Target="externalLinks/externalLink61.xml"/><Relationship Id="rId93" Type="http://schemas.openxmlformats.org/officeDocument/2006/relationships/externalLink" Target="externalLinks/externalLink82.xml"/><Relationship Id="rId98" Type="http://schemas.openxmlformats.org/officeDocument/2006/relationships/externalLink" Target="externalLinks/externalLink87.xml"/><Relationship Id="rId121" Type="http://schemas.openxmlformats.org/officeDocument/2006/relationships/externalLink" Target="externalLinks/externalLink110.xml"/><Relationship Id="rId142" Type="http://schemas.openxmlformats.org/officeDocument/2006/relationships/externalLink" Target="externalLinks/externalLink131.xml"/><Relationship Id="rId163" Type="http://schemas.openxmlformats.org/officeDocument/2006/relationships/externalLink" Target="externalLinks/externalLink152.xml"/><Relationship Id="rId184" Type="http://schemas.openxmlformats.org/officeDocument/2006/relationships/externalLink" Target="externalLinks/externalLink173.xml"/><Relationship Id="rId189" Type="http://schemas.openxmlformats.org/officeDocument/2006/relationships/sheetMetadata" Target="metadata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4.xml"/><Relationship Id="rId46" Type="http://schemas.openxmlformats.org/officeDocument/2006/relationships/externalLink" Target="externalLinks/externalLink35.xml"/><Relationship Id="rId67" Type="http://schemas.openxmlformats.org/officeDocument/2006/relationships/externalLink" Target="externalLinks/externalLink56.xml"/><Relationship Id="rId116" Type="http://schemas.openxmlformats.org/officeDocument/2006/relationships/externalLink" Target="externalLinks/externalLink105.xml"/><Relationship Id="rId137" Type="http://schemas.openxmlformats.org/officeDocument/2006/relationships/externalLink" Target="externalLinks/externalLink126.xml"/><Relationship Id="rId158" Type="http://schemas.openxmlformats.org/officeDocument/2006/relationships/externalLink" Target="externalLinks/externalLink147.xml"/><Relationship Id="rId20" Type="http://schemas.openxmlformats.org/officeDocument/2006/relationships/externalLink" Target="externalLinks/externalLink9.xml"/><Relationship Id="rId41" Type="http://schemas.openxmlformats.org/officeDocument/2006/relationships/externalLink" Target="externalLinks/externalLink30.xml"/><Relationship Id="rId62" Type="http://schemas.openxmlformats.org/officeDocument/2006/relationships/externalLink" Target="externalLinks/externalLink51.xml"/><Relationship Id="rId83" Type="http://schemas.openxmlformats.org/officeDocument/2006/relationships/externalLink" Target="externalLinks/externalLink72.xml"/><Relationship Id="rId88" Type="http://schemas.openxmlformats.org/officeDocument/2006/relationships/externalLink" Target="externalLinks/externalLink77.xml"/><Relationship Id="rId111" Type="http://schemas.openxmlformats.org/officeDocument/2006/relationships/externalLink" Target="externalLinks/externalLink100.xml"/><Relationship Id="rId132" Type="http://schemas.openxmlformats.org/officeDocument/2006/relationships/externalLink" Target="externalLinks/externalLink121.xml"/><Relationship Id="rId153" Type="http://schemas.openxmlformats.org/officeDocument/2006/relationships/externalLink" Target="externalLinks/externalLink142.xml"/><Relationship Id="rId174" Type="http://schemas.openxmlformats.org/officeDocument/2006/relationships/externalLink" Target="externalLinks/externalLink163.xml"/><Relationship Id="rId179" Type="http://schemas.openxmlformats.org/officeDocument/2006/relationships/externalLink" Target="externalLinks/externalLink168.xml"/><Relationship Id="rId190" Type="http://schemas.microsoft.com/office/2017/10/relationships/person" Target="persons/person.xml"/><Relationship Id="rId15" Type="http://schemas.openxmlformats.org/officeDocument/2006/relationships/externalLink" Target="externalLinks/externalLink4.xml"/><Relationship Id="rId36" Type="http://schemas.openxmlformats.org/officeDocument/2006/relationships/externalLink" Target="externalLinks/externalLink25.xml"/><Relationship Id="rId57" Type="http://schemas.openxmlformats.org/officeDocument/2006/relationships/externalLink" Target="externalLinks/externalLink46.xml"/><Relationship Id="rId106" Type="http://schemas.openxmlformats.org/officeDocument/2006/relationships/externalLink" Target="externalLinks/externalLink95.xml"/><Relationship Id="rId127" Type="http://schemas.openxmlformats.org/officeDocument/2006/relationships/externalLink" Target="externalLinks/externalLink116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20.xml"/><Relationship Id="rId52" Type="http://schemas.openxmlformats.org/officeDocument/2006/relationships/externalLink" Target="externalLinks/externalLink41.xml"/><Relationship Id="rId73" Type="http://schemas.openxmlformats.org/officeDocument/2006/relationships/externalLink" Target="externalLinks/externalLink62.xml"/><Relationship Id="rId78" Type="http://schemas.openxmlformats.org/officeDocument/2006/relationships/externalLink" Target="externalLinks/externalLink67.xml"/><Relationship Id="rId94" Type="http://schemas.openxmlformats.org/officeDocument/2006/relationships/externalLink" Target="externalLinks/externalLink83.xml"/><Relationship Id="rId99" Type="http://schemas.openxmlformats.org/officeDocument/2006/relationships/externalLink" Target="externalLinks/externalLink88.xml"/><Relationship Id="rId101" Type="http://schemas.openxmlformats.org/officeDocument/2006/relationships/externalLink" Target="externalLinks/externalLink90.xml"/><Relationship Id="rId122" Type="http://schemas.openxmlformats.org/officeDocument/2006/relationships/externalLink" Target="externalLinks/externalLink111.xml"/><Relationship Id="rId143" Type="http://schemas.openxmlformats.org/officeDocument/2006/relationships/externalLink" Target="externalLinks/externalLink132.xml"/><Relationship Id="rId148" Type="http://schemas.openxmlformats.org/officeDocument/2006/relationships/externalLink" Target="externalLinks/externalLink137.xml"/><Relationship Id="rId164" Type="http://schemas.openxmlformats.org/officeDocument/2006/relationships/externalLink" Target="externalLinks/externalLink153.xml"/><Relationship Id="rId169" Type="http://schemas.openxmlformats.org/officeDocument/2006/relationships/externalLink" Target="externalLinks/externalLink158.xml"/><Relationship Id="rId185" Type="http://schemas.openxmlformats.org/officeDocument/2006/relationships/externalLink" Target="externalLinks/externalLink17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externalLink" Target="externalLinks/externalLink169.xml"/><Relationship Id="rId26" Type="http://schemas.openxmlformats.org/officeDocument/2006/relationships/externalLink" Target="externalLinks/externalLink15.xml"/><Relationship Id="rId47" Type="http://schemas.openxmlformats.org/officeDocument/2006/relationships/externalLink" Target="externalLinks/externalLink36.xml"/><Relationship Id="rId68" Type="http://schemas.openxmlformats.org/officeDocument/2006/relationships/externalLink" Target="externalLinks/externalLink57.xml"/><Relationship Id="rId89" Type="http://schemas.openxmlformats.org/officeDocument/2006/relationships/externalLink" Target="externalLinks/externalLink78.xml"/><Relationship Id="rId112" Type="http://schemas.openxmlformats.org/officeDocument/2006/relationships/externalLink" Target="externalLinks/externalLink101.xml"/><Relationship Id="rId133" Type="http://schemas.openxmlformats.org/officeDocument/2006/relationships/externalLink" Target="externalLinks/externalLink122.xml"/><Relationship Id="rId154" Type="http://schemas.openxmlformats.org/officeDocument/2006/relationships/externalLink" Target="externalLinks/externalLink143.xml"/><Relationship Id="rId175" Type="http://schemas.openxmlformats.org/officeDocument/2006/relationships/externalLink" Target="externalLinks/externalLink164.xml"/><Relationship Id="rId16" Type="http://schemas.openxmlformats.org/officeDocument/2006/relationships/externalLink" Target="externalLinks/externalLink5.xml"/><Relationship Id="rId37" Type="http://schemas.openxmlformats.org/officeDocument/2006/relationships/externalLink" Target="externalLinks/externalLink26.xml"/><Relationship Id="rId58" Type="http://schemas.openxmlformats.org/officeDocument/2006/relationships/externalLink" Target="externalLinks/externalLink47.xml"/><Relationship Id="rId79" Type="http://schemas.openxmlformats.org/officeDocument/2006/relationships/externalLink" Target="externalLinks/externalLink68.xml"/><Relationship Id="rId102" Type="http://schemas.openxmlformats.org/officeDocument/2006/relationships/externalLink" Target="externalLinks/externalLink91.xml"/><Relationship Id="rId123" Type="http://schemas.openxmlformats.org/officeDocument/2006/relationships/externalLink" Target="externalLinks/externalLink112.xml"/><Relationship Id="rId144" Type="http://schemas.openxmlformats.org/officeDocument/2006/relationships/externalLink" Target="externalLinks/externalLink133.xml"/><Relationship Id="rId90" Type="http://schemas.openxmlformats.org/officeDocument/2006/relationships/externalLink" Target="externalLinks/externalLink79.xml"/><Relationship Id="rId165" Type="http://schemas.openxmlformats.org/officeDocument/2006/relationships/externalLink" Target="externalLinks/externalLink154.xml"/><Relationship Id="rId186" Type="http://schemas.openxmlformats.org/officeDocument/2006/relationships/theme" Target="theme/theme1.xml"/><Relationship Id="rId27" Type="http://schemas.openxmlformats.org/officeDocument/2006/relationships/externalLink" Target="externalLinks/externalLink16.xml"/><Relationship Id="rId48" Type="http://schemas.openxmlformats.org/officeDocument/2006/relationships/externalLink" Target="externalLinks/externalLink37.xml"/><Relationship Id="rId69" Type="http://schemas.openxmlformats.org/officeDocument/2006/relationships/externalLink" Target="externalLinks/externalLink58.xml"/><Relationship Id="rId113" Type="http://schemas.openxmlformats.org/officeDocument/2006/relationships/externalLink" Target="externalLinks/externalLink102.xml"/><Relationship Id="rId134" Type="http://schemas.openxmlformats.org/officeDocument/2006/relationships/externalLink" Target="externalLinks/externalLink123.xml"/><Relationship Id="rId80" Type="http://schemas.openxmlformats.org/officeDocument/2006/relationships/externalLink" Target="externalLinks/externalLink69.xml"/><Relationship Id="rId155" Type="http://schemas.openxmlformats.org/officeDocument/2006/relationships/externalLink" Target="externalLinks/externalLink144.xml"/><Relationship Id="rId176" Type="http://schemas.openxmlformats.org/officeDocument/2006/relationships/externalLink" Target="externalLinks/externalLink165.xml"/><Relationship Id="rId17" Type="http://schemas.openxmlformats.org/officeDocument/2006/relationships/externalLink" Target="externalLinks/externalLink6.xml"/><Relationship Id="rId38" Type="http://schemas.openxmlformats.org/officeDocument/2006/relationships/externalLink" Target="externalLinks/externalLink27.xml"/><Relationship Id="rId59" Type="http://schemas.openxmlformats.org/officeDocument/2006/relationships/externalLink" Target="externalLinks/externalLink48.xml"/><Relationship Id="rId103" Type="http://schemas.openxmlformats.org/officeDocument/2006/relationships/externalLink" Target="externalLinks/externalLink92.xml"/><Relationship Id="rId124" Type="http://schemas.openxmlformats.org/officeDocument/2006/relationships/externalLink" Target="externalLinks/externalLink113.xml"/><Relationship Id="rId70" Type="http://schemas.openxmlformats.org/officeDocument/2006/relationships/externalLink" Target="externalLinks/externalLink59.xml"/><Relationship Id="rId91" Type="http://schemas.openxmlformats.org/officeDocument/2006/relationships/externalLink" Target="externalLinks/externalLink80.xml"/><Relationship Id="rId145" Type="http://schemas.openxmlformats.org/officeDocument/2006/relationships/externalLink" Target="externalLinks/externalLink134.xml"/><Relationship Id="rId166" Type="http://schemas.openxmlformats.org/officeDocument/2006/relationships/externalLink" Target="externalLinks/externalLink155.xml"/><Relationship Id="rId187" Type="http://schemas.openxmlformats.org/officeDocument/2006/relationships/styles" Target="styles.xml"/><Relationship Id="rId1" Type="http://schemas.openxmlformats.org/officeDocument/2006/relationships/worksheet" Target="worksheets/sheet1.xml"/><Relationship Id="rId28" Type="http://schemas.openxmlformats.org/officeDocument/2006/relationships/externalLink" Target="externalLinks/externalLink17.xml"/><Relationship Id="rId49" Type="http://schemas.openxmlformats.org/officeDocument/2006/relationships/externalLink" Target="externalLinks/externalLink38.xml"/><Relationship Id="rId114" Type="http://schemas.openxmlformats.org/officeDocument/2006/relationships/externalLink" Target="externalLinks/externalLink103.xml"/><Relationship Id="rId60" Type="http://schemas.openxmlformats.org/officeDocument/2006/relationships/externalLink" Target="externalLinks/externalLink49.xml"/><Relationship Id="rId81" Type="http://schemas.openxmlformats.org/officeDocument/2006/relationships/externalLink" Target="externalLinks/externalLink70.xml"/><Relationship Id="rId135" Type="http://schemas.openxmlformats.org/officeDocument/2006/relationships/externalLink" Target="externalLinks/externalLink124.xml"/><Relationship Id="rId156" Type="http://schemas.openxmlformats.org/officeDocument/2006/relationships/externalLink" Target="externalLinks/externalLink145.xml"/><Relationship Id="rId177" Type="http://schemas.openxmlformats.org/officeDocument/2006/relationships/externalLink" Target="externalLinks/externalLink166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OVOB.xlsx" TargetMode="External"/><Relationship Id="rId1" Type="http://schemas.openxmlformats.org/officeDocument/2006/relationships/externalLinkPath" Target="NOVOB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JNJ.xlsx" TargetMode="External"/><Relationship Id="rId1" Type="http://schemas.openxmlformats.org/officeDocument/2006/relationships/externalLinkPath" Target="JNJ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MRK.xlsx" TargetMode="External"/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VS.xlsx" TargetMode="External"/><Relationship Id="rId1" Type="http://schemas.openxmlformats.org/officeDocument/2006/relationships/externalLinkPath" Target="NVS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ZN.xlsx" TargetMode="External"/><Relationship Id="rId1" Type="http://schemas.openxmlformats.org/officeDocument/2006/relationships/externalLinkPath" Target="AZN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FE.xlsx" TargetMode="External"/><Relationship Id="rId1" Type="http://schemas.openxmlformats.org/officeDocument/2006/relationships/externalLinkPath" Target="PFE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Y.xlsx" TargetMode="External"/><Relationship Id="rId1" Type="http://schemas.openxmlformats.org/officeDocument/2006/relationships/externalLinkPath" Target="BM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ILD.xlsx" TargetMode="External"/><Relationship Id="rId1" Type="http://schemas.openxmlformats.org/officeDocument/2006/relationships/externalLinkPath" Target="GILD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SK.xlsx" TargetMode="External"/><Relationship Id="rId1" Type="http://schemas.openxmlformats.org/officeDocument/2006/relationships/externalLinkPath" Target="GSK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REGN.xlsx" TargetMode="External"/><Relationship Id="rId1" Type="http://schemas.openxmlformats.org/officeDocument/2006/relationships/externalLinkPath" Target="REGN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LNY.xlsx" TargetMode="External"/><Relationship Id="rId1" Type="http://schemas.openxmlformats.org/officeDocument/2006/relationships/externalLinkPath" Target="ALNY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IB.xlsx" TargetMode="External"/><Relationship Id="rId1" Type="http://schemas.openxmlformats.org/officeDocument/2006/relationships/externalLinkPath" Target="BIIB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RN.xlsx" TargetMode="External"/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FS.xlsx" TargetMode="External"/><Relationship Id="rId1" Type="http://schemas.openxmlformats.org/officeDocument/2006/relationships/externalLinkPath" Target="GRFS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PT.xlsx" TargetMode="External"/><Relationship Id="rId1" Type="http://schemas.openxmlformats.org/officeDocument/2006/relationships/externalLinkPath" Target="SRPT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GN.xlsx" TargetMode="External"/><Relationship Id="rId1" Type="http://schemas.openxmlformats.org/officeDocument/2006/relationships/externalLinkPath" Target="OGN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SM.xlsx" TargetMode="External"/><Relationship Id="rId1" Type="http://schemas.openxmlformats.org/officeDocument/2006/relationships/externalLinkPath" Target="INSM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PN%20FP.xlsx" TargetMode="External"/><Relationship Id="rId1" Type="http://schemas.openxmlformats.org/officeDocument/2006/relationships/externalLinkPath" Target="IPN%20FP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BIX.xlsx" TargetMode="External"/><Relationship Id="rId1" Type="http://schemas.openxmlformats.org/officeDocument/2006/relationships/externalLinkPath" Target="NBIX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NTH.xlsx" TargetMode="External"/><Relationship Id="rId1" Type="http://schemas.openxmlformats.org/officeDocument/2006/relationships/externalLinkPath" Target="LNTH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NBV.xlsx" TargetMode="External"/><Relationship Id="rId1" Type="http://schemas.openxmlformats.org/officeDocument/2006/relationships/externalLinkPath" Target="ORNBV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NA.xlsx" TargetMode="External"/><Relationship Id="rId1" Type="http://schemas.openxmlformats.org/officeDocument/2006/relationships/externalLinkPath" Target="MRNA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151%20JP.xlsx" TargetMode="External"/><Relationship Id="rId1" Type="http://schemas.openxmlformats.org/officeDocument/2006/relationships/externalLinkPath" Target="4151%20JP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RGO.xlsx" TargetMode="External"/><Relationship Id="rId1" Type="http://schemas.openxmlformats.org/officeDocument/2006/relationships/externalLinkPath" Target="PRGO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YTK.xlsx" TargetMode="External"/><Relationship Id="rId1" Type="http://schemas.openxmlformats.org/officeDocument/2006/relationships/externalLinkPath" Target="CYTK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BIO.xlsx" TargetMode="External"/><Relationship Id="rId1" Type="http://schemas.openxmlformats.org/officeDocument/2006/relationships/externalLinkPath" Target="BBIO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LUN.xlsx" TargetMode="External"/><Relationship Id="rId1" Type="http://schemas.openxmlformats.org/officeDocument/2006/relationships/externalLinkPath" Target="HLUN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MA.xlsx" TargetMode="External"/><Relationship Id="rId1" Type="http://schemas.openxmlformats.org/officeDocument/2006/relationships/externalLinkPath" Target="ADMA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YS.xlsx" TargetMode="External"/><Relationship Id="rId1" Type="http://schemas.openxmlformats.org/officeDocument/2006/relationships/externalLinkPath" Target="KRYS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HVN.xlsx" TargetMode="External"/><Relationship Id="rId1" Type="http://schemas.openxmlformats.org/officeDocument/2006/relationships/externalLinkPath" Target="BHVN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XSM.xlsx" TargetMode="External"/><Relationship Id="rId1" Type="http://schemas.openxmlformats.org/officeDocument/2006/relationships/externalLinkPath" Target="AXSM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LX.xlsx" TargetMode="External"/><Relationship Id="rId1" Type="http://schemas.openxmlformats.org/officeDocument/2006/relationships/externalLinkPath" Target="ACLX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GTX.xlsx" TargetMode="External"/><Relationship Id="rId1" Type="http://schemas.openxmlformats.org/officeDocument/2006/relationships/externalLinkPath" Target="TGTX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FOLD.xlsx" TargetMode="External"/><Relationship Id="rId1" Type="http://schemas.openxmlformats.org/officeDocument/2006/relationships/externalLinkPath" Target="FOLD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NLI.xlsx" TargetMode="External"/><Relationship Id="rId1" Type="http://schemas.openxmlformats.org/officeDocument/2006/relationships/externalLinkPath" Target="DNLI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ARE.xlsx" TargetMode="External"/><Relationship Id="rId1" Type="http://schemas.openxmlformats.org/officeDocument/2006/relationships/externalLinkPath" Target="RARE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RX.xlsx" TargetMode="External"/><Relationship Id="rId1" Type="http://schemas.openxmlformats.org/officeDocument/2006/relationships/externalLinkPath" Target="IBRX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NTX.xlsx" TargetMode="External"/><Relationship Id="rId1" Type="http://schemas.openxmlformats.org/officeDocument/2006/relationships/externalLinkPath" Target="BNTX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RK.xlsx" TargetMode="External"/><Relationship Id="rId1" Type="http://schemas.openxmlformats.org/officeDocument/2006/relationships/externalLinkPath" Target="SRRK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PH.xlsx" TargetMode="External"/><Relationship Id="rId1" Type="http://schemas.openxmlformats.org/officeDocument/2006/relationships/externalLinkPath" Target="AMPH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9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MRA.xlsx" TargetMode="External"/><Relationship Id="rId1" Type="http://schemas.openxmlformats.org/officeDocument/2006/relationships/externalLinkPath" Target="NMRA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NO.xlsx" TargetMode="External"/><Relationship Id="rId1" Type="http://schemas.openxmlformats.org/officeDocument/2006/relationships/externalLinkPath" Target="SLNO.xlsx" TargetMode="External"/></Relationships>
</file>

<file path=xl/externalLinks/_rels/externalLink10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NX.xlsx" TargetMode="External"/><Relationship Id="rId1" Type="http://schemas.openxmlformats.org/officeDocument/2006/relationships/externalLinkPath" Target="JANX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PCR.xlsx" TargetMode="External"/><Relationship Id="rId1" Type="http://schemas.openxmlformats.org/officeDocument/2006/relationships/externalLinkPath" Target="GPCR.xlsx" TargetMode="External"/></Relationships>
</file>

<file path=xl/externalLinks/_rels/externalLink10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CRX.xlsx" TargetMode="External"/><Relationship Id="rId1" Type="http://schemas.openxmlformats.org/officeDocument/2006/relationships/externalLinkPath" Target="BCRX.xlsx" TargetMode="External"/></Relationships>
</file>

<file path=xl/externalLinks/_rels/externalLink10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RXRX.xlsx" TargetMode="External"/><Relationship Id="rId1" Type="http://schemas.openxmlformats.org/officeDocument/2006/relationships/externalLinkPath" Target="RXRX.xlsx" TargetMode="External"/></Relationships>
</file>

<file path=xl/externalLinks/_rels/externalLink10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10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EAM.xlsx" TargetMode="External"/><Relationship Id="rId1" Type="http://schemas.openxmlformats.org/officeDocument/2006/relationships/externalLinkPath" Target="BEAM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10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XNCR.xlsx" TargetMode="External"/><Relationship Id="rId1" Type="http://schemas.openxmlformats.org/officeDocument/2006/relationships/externalLinkPath" Target="XNCR.xlsx" TargetMode="External"/></Relationships>
</file>

<file path=xl/externalLinks/_rels/externalLink1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A.xlsx" TargetMode="External"/><Relationship Id="rId1" Type="http://schemas.openxmlformats.org/officeDocument/2006/relationships/externalLinkPath" Target="SANA.xlsx" TargetMode="External"/></Relationships>
</file>

<file path=xl/externalLinks/_rels/externalLink1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PL.xlsx" TargetMode="External"/><Relationship Id="rId1" Type="http://schemas.openxmlformats.org/officeDocument/2006/relationships/externalLinkPath" Target="REPL.xlsx" TargetMode="External"/></Relationships>
</file>

<file path=xl/externalLinks/_rels/externalLink1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UVB.xlsx" TargetMode="External"/><Relationship Id="rId1" Type="http://schemas.openxmlformats.org/officeDocument/2006/relationships/externalLinkPath" Target="NUVB.xlsx" TargetMode="External"/></Relationships>
</file>

<file path=xl/externalLinks/_rels/externalLink1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114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1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116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117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1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YMR.xlsx" TargetMode="External"/><Relationship Id="rId1" Type="http://schemas.openxmlformats.org/officeDocument/2006/relationships/externalLinkPath" Target="KYMR.xlsx" TargetMode="External"/></Relationships>
</file>

<file path=xl/externalLinks/_rels/externalLink119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1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_rels/externalLink121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1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AWN.xlsx" TargetMode="External"/><Relationship Id="rId1" Type="http://schemas.openxmlformats.org/officeDocument/2006/relationships/externalLinkPath" Target="DAWN.xlsx" TargetMode="External"/></Relationships>
</file>

<file path=xl/externalLinks/_rels/externalLink1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PLT.xlsx" TargetMode="External"/><Relationship Id="rId1" Type="http://schemas.openxmlformats.org/officeDocument/2006/relationships/externalLinkPath" Target="APLT.xlsx" TargetMode="External"/></Relationships>
</file>

<file path=xl/externalLinks/_rels/externalLink124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25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VS.xlsx" TargetMode="External"/><Relationship Id="rId1" Type="http://schemas.openxmlformats.org/officeDocument/2006/relationships/externalLinkPath" Target="CRVS.xlsx" TargetMode="External"/></Relationships>
</file>

<file path=xl/externalLinks/_rels/externalLink1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SS.xlsx" TargetMode="External"/><Relationship Id="rId1" Type="http://schemas.openxmlformats.org/officeDocument/2006/relationships/externalLinkPath" Target="GOSS.xlsx" TargetMode="External"/></Relationships>
</file>

<file path=xl/externalLinks/_rels/externalLink1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1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1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S.xlsx" TargetMode="External"/><Relationship Id="rId1" Type="http://schemas.openxmlformats.org/officeDocument/2006/relationships/externalLinkPath" Target="SLS.xlsx" TargetMode="External"/></Relationships>
</file>

<file path=xl/externalLinks/_rels/externalLink1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DN.xlsx" TargetMode="External"/><Relationship Id="rId1" Type="http://schemas.openxmlformats.org/officeDocument/2006/relationships/externalLinkPath" Target="VRDN.xlsx" TargetMode="External"/></Relationships>
</file>

<file path=xl/externalLinks/_rels/externalLink13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133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RGN.xlsx" TargetMode="External"/><Relationship Id="rId1" Type="http://schemas.openxmlformats.org/officeDocument/2006/relationships/externalLinkPath" Target="URGN.xlsx" TargetMode="External"/></Relationships>
</file>

<file path=xl/externalLinks/_rels/externalLink13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36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3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13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YR.xlsx" TargetMode="External"/><Relationship Id="rId1" Type="http://schemas.openxmlformats.org/officeDocument/2006/relationships/externalLinkPath" Target="ATYR.xlsx" TargetMode="External"/></Relationships>
</file>

<file path=xl/externalLinks/_rels/externalLink140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4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4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4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14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1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MA.xlsx" TargetMode="External"/><Relationship Id="rId1" Type="http://schemas.openxmlformats.org/officeDocument/2006/relationships/externalLinkPath" Target="HUMA.xlsx" TargetMode="External"/></Relationships>
</file>

<file path=xl/externalLinks/_rels/externalLink1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YMAB.xlsx" TargetMode="External"/><Relationship Id="rId1" Type="http://schemas.openxmlformats.org/officeDocument/2006/relationships/externalLinkPath" Target="YMAB.xlsx" TargetMode="External"/></Relationships>
</file>

<file path=xl/externalLinks/_rels/externalLink1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ALV.xlsx" TargetMode="External"/><Relationship Id="rId1" Type="http://schemas.openxmlformats.org/officeDocument/2006/relationships/externalLinkPath" Target="KALV.xlsx" TargetMode="External"/></Relationships>
</file>

<file path=xl/externalLinks/_rels/externalLink149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54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TX.xlsx" TargetMode="External"/><Relationship Id="rId1" Type="http://schemas.openxmlformats.org/officeDocument/2006/relationships/externalLinkPath" Target="NKTX.xlsx" TargetMode="External"/></Relationships>
</file>

<file path=xl/externalLinks/_rels/externalLink1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VXL.xlsx" TargetMode="External"/><Relationship Id="rId1" Type="http://schemas.openxmlformats.org/officeDocument/2006/relationships/externalLinkPath" Target="AVXL.xlsx" TargetMode="External"/></Relationships>
</file>

<file path=xl/externalLinks/_rels/externalLink1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NAB.xlsx" TargetMode="External"/><Relationship Id="rId1" Type="http://schemas.openxmlformats.org/officeDocument/2006/relationships/externalLinkPath" Target="ANAB.xlsx" TargetMode="External"/></Relationships>
</file>

<file path=xl/externalLinks/_rels/externalLink1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RS.xlsx" TargetMode="External"/><Relationship Id="rId1" Type="http://schemas.openxmlformats.org/officeDocument/2006/relationships/externalLinkPath" Target="CHRS.xlsx" TargetMode="External"/></Relationships>
</file>

<file path=xl/externalLinks/_rels/externalLink1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TTB.xlsx" TargetMode="External"/><Relationship Id="rId1" Type="http://schemas.openxmlformats.org/officeDocument/2006/relationships/externalLinkPath" Target="QTTB.xlsx" TargetMode="External"/></Relationships>
</file>

<file path=xl/externalLinks/_rels/externalLink1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CTH.xlsx" TargetMode="External"/><Relationship Id="rId1" Type="http://schemas.openxmlformats.org/officeDocument/2006/relationships/externalLinkPath" Target="DCTH.xlsx" TargetMode="External"/></Relationships>
</file>

<file path=xl/externalLinks/_rels/externalLink1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ALT.xlsx" TargetMode="External"/><Relationship Id="rId1" Type="http://schemas.openxmlformats.org/officeDocument/2006/relationships/externalLinkPath" Target="GALT.xlsx" TargetMode="External"/></Relationships>
</file>

<file path=xl/externalLinks/_rels/externalLink1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DRUG.xlsx" TargetMode="External"/><Relationship Id="rId1" Type="http://schemas.openxmlformats.org/officeDocument/2006/relationships/externalLinkPath" Target="DRUG.xlsx" TargetMode="External"/></Relationships>
</file>

<file path=xl/externalLinks/_rels/externalLink1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ZLT.xlsx" TargetMode="External"/><Relationship Id="rId1" Type="http://schemas.openxmlformats.org/officeDocument/2006/relationships/externalLinkPath" Target="RZLT.xlsx" TargetMode="External"/></Relationships>
</file>

<file path=xl/externalLinks/_rels/externalLink1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DL.xlsx" TargetMode="External"/><Relationship Id="rId1" Type="http://schemas.openxmlformats.org/officeDocument/2006/relationships/externalLinkPath" Target="CADL.xlsx" TargetMode="External"/></Relationships>
</file>

<file path=xl/externalLinks/_rels/externalLink1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OS.xlsx" TargetMode="External"/><Relationship Id="rId1" Type="http://schemas.openxmlformats.org/officeDocument/2006/relationships/externalLinkPath" Target="ATOS.xlsx" TargetMode="External"/></Relationships>
</file>

<file path=xl/externalLinks/_rels/externalLink1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DSB.xlsx" TargetMode="External"/><Relationship Id="rId1" Type="http://schemas.openxmlformats.org/officeDocument/2006/relationships/externalLinkPath" Target="PDSB.xlsx" TargetMode="External"/></Relationships>
</file>

<file path=xl/externalLinks/_rels/externalLink1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TV.xlsx" TargetMode="External"/><Relationship Id="rId1" Type="http://schemas.openxmlformats.org/officeDocument/2006/relationships/externalLinkPath" Target="ARTV.xlsx" TargetMode="External"/></Relationships>
</file>

<file path=xl/externalLinks/_rels/externalLink1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PTX.xlsx" TargetMode="External"/><Relationship Id="rId1" Type="http://schemas.openxmlformats.org/officeDocument/2006/relationships/externalLinkPath" Target="LPTX.xlsx" TargetMode="External"/></Relationships>
</file>

<file path=xl/externalLinks/_rels/externalLink1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VPH.xlsx" TargetMode="External"/><Relationship Id="rId1" Type="http://schemas.openxmlformats.org/officeDocument/2006/relationships/externalLinkPath" Target="RVPH.xlsx" TargetMode="External"/></Relationships>
</file>

<file path=xl/externalLinks/_rels/externalLink1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NXP.xlsx" TargetMode="External"/><Relationship Id="rId1" Type="http://schemas.openxmlformats.org/officeDocument/2006/relationships/externalLinkPath" Target="TNXP.xlsx" TargetMode="External"/></Relationships>
</file>

<file path=xl/externalLinks/_rels/externalLink1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ABA.xlsx" TargetMode="External"/><Relationship Id="rId1" Type="http://schemas.openxmlformats.org/officeDocument/2006/relationships/externalLinkPath" Target="CABA.xlsx" TargetMode="External"/></Relationships>
</file>

<file path=xl/externalLinks/_rels/externalLink1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YGR.xlsx" TargetMode="External"/><Relationship Id="rId1" Type="http://schemas.openxmlformats.org/officeDocument/2006/relationships/externalLinkPath" Target="VYGR.xlsx" TargetMode="External"/></Relationships>
</file>

<file path=xl/externalLinks/_rels/externalLink1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IP"/>
      <sheetName val="Main"/>
      <sheetName val="Model"/>
      <sheetName val="GLP-1s"/>
      <sheetName val="Obesity"/>
      <sheetName val="Omvoh"/>
      <sheetName val="Trulicity"/>
      <sheetName val="Mounjaro-Zepbound"/>
      <sheetName val="Kisunla"/>
      <sheetName val="insulin efsitora"/>
      <sheetName val="imlunestrant"/>
      <sheetName val="Ebglyss"/>
      <sheetName val="Jayprica"/>
      <sheetName val="Verzenio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/>
      <sheetData sheetId="2">
        <row r="3">
          <cell r="J3">
            <v>949.31569400000001</v>
          </cell>
        </row>
        <row r="5">
          <cell r="J5">
            <v>6719</v>
          </cell>
        </row>
        <row r="6">
          <cell r="J6">
            <v>31120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Wegovy"/>
      <sheetName val="Rybelsus"/>
      <sheetName val="monlunabant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LRP3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4461</v>
          </cell>
        </row>
        <row r="5">
          <cell r="J5">
            <v>79634</v>
          </cell>
        </row>
        <row r="6">
          <cell r="J6">
            <v>61453</v>
          </cell>
        </row>
      </sheetData>
      <sheetData sheetId="2">
        <row r="50">
          <cell r="DG50">
            <v>0.01</v>
          </cell>
        </row>
        <row r="51">
          <cell r="DG51">
            <v>0.08</v>
          </cell>
        </row>
        <row r="53">
          <cell r="DG53">
            <v>383.59225058364768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3">
          <cell r="R3">
            <v>2407</v>
          </cell>
        </row>
        <row r="5">
          <cell r="R5">
            <v>20297</v>
          </cell>
        </row>
        <row r="6">
          <cell r="R6">
            <v>35751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pkinly"/>
    </sheetNames>
    <sheetDataSet>
      <sheetData sheetId="0"/>
      <sheetData sheetId="1">
        <row r="3">
          <cell r="K3">
            <v>1771</v>
          </cell>
        </row>
        <row r="5">
          <cell r="K5">
            <v>13429</v>
          </cell>
        </row>
        <row r="6">
          <cell r="K6">
            <v>70634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Gardasil"/>
      <sheetName val="Lenvima"/>
      <sheetName val="Lynparza"/>
      <sheetName val="Padcev"/>
      <sheetName val="Rotateq"/>
      <sheetName val="V940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2534.8093119999999</v>
          </cell>
        </row>
        <row r="5">
          <cell r="J5">
            <v>11711</v>
          </cell>
        </row>
        <row r="6">
          <cell r="J6">
            <v>37788</v>
          </cell>
        </row>
      </sheetData>
      <sheetData sheetId="2">
        <row r="107">
          <cell r="EM107">
            <v>0.01</v>
          </cell>
        </row>
        <row r="108">
          <cell r="EM108">
            <v>-0.01</v>
          </cell>
        </row>
        <row r="109">
          <cell r="EM109">
            <v>7.0000000000000007E-2</v>
          </cell>
        </row>
        <row r="111">
          <cell r="EM111">
            <v>92.212236164875733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4">
          <cell r="K4">
            <v>2046</v>
          </cell>
        </row>
        <row r="6">
          <cell r="K6">
            <v>0</v>
          </cell>
        </row>
        <row r="7">
          <cell r="K7">
            <v>18800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10510</v>
          </cell>
        </row>
        <row r="6">
          <cell r="J6">
            <v>29209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Ultomiris"/>
      <sheetName val="Saphnelo"/>
      <sheetName val="Tagrisso"/>
      <sheetName val="Strensiq"/>
      <sheetName val="Imfinzi"/>
      <sheetName val="Imjudo"/>
      <sheetName val="Tezspire"/>
      <sheetName val="Breztri"/>
      <sheetName val="Truqap"/>
      <sheetName val="Beyfortus"/>
      <sheetName val="Calquence"/>
      <sheetName val="Soliris"/>
      <sheetName val="Enhertu"/>
      <sheetName val="Fasenra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datopotamab"/>
      <sheetName val="0780"/>
      <sheetName val="2171"/>
      <sheetName val="Iressa"/>
      <sheetName val="Zactima"/>
      <sheetName val="5004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5">
          <cell r="J5">
            <v>9301</v>
          </cell>
        </row>
        <row r="6">
          <cell r="J6">
            <v>62645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 refreshError="1">
        <row r="3">
          <cell r="J3">
            <v>539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LA"/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Vyndaqel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/>
      <sheetData sheetId="5">
        <row r="3">
          <cell r="K3">
            <v>5666.6949999999997</v>
          </cell>
        </row>
        <row r="5">
          <cell r="K5">
            <v>18248</v>
          </cell>
        </row>
        <row r="6">
          <cell r="K6">
            <v>69450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Dupixent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11483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Cobenfy"/>
      <sheetName val="Opdivo"/>
      <sheetName val="Orencia"/>
      <sheetName val="Yervoy"/>
      <sheetName val="Eliquis"/>
      <sheetName val="Camzyo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2027.395178</v>
          </cell>
        </row>
        <row r="5">
          <cell r="K5">
            <v>7010</v>
          </cell>
        </row>
        <row r="6">
          <cell r="K6">
            <v>52389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1244.9920810000001</v>
          </cell>
        </row>
        <row r="5">
          <cell r="J5">
            <v>2772</v>
          </cell>
        </row>
        <row r="6">
          <cell r="J6">
            <v>23350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258.10220299999997</v>
          </cell>
        </row>
        <row r="5">
          <cell r="M5">
            <v>10188.6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4079</v>
          </cell>
        </row>
        <row r="6">
          <cell r="J6">
            <v>4219</v>
          </cell>
        </row>
        <row r="7">
          <cell r="J7">
            <v>16943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115.4</v>
          </cell>
        </row>
        <row r="5">
          <cell r="J5">
            <v>17531</v>
          </cell>
        </row>
        <row r="6">
          <cell r="J6">
            <v>1984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4091300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36760</v>
          </cell>
        </row>
      </sheetData>
      <sheetData sheetId="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128.38051300000001</v>
          </cell>
        </row>
        <row r="5">
          <cell r="L5">
            <v>2674.0400000000004</v>
          </cell>
        </row>
        <row r="6">
          <cell r="L6">
            <v>2427.2310000000002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1193.5204630000001</v>
          </cell>
        </row>
        <row r="5">
          <cell r="M5">
            <v>917</v>
          </cell>
        </row>
        <row r="6">
          <cell r="M6">
            <v>17099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qembi"/>
    </sheetNames>
    <sheetDataSet>
      <sheetData sheetId="0">
        <row r="3">
          <cell r="J3">
            <v>145</v>
          </cell>
        </row>
        <row r="5">
          <cell r="J5">
            <v>7400</v>
          </cell>
        </row>
        <row r="6">
          <cell r="J6">
            <v>6283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59.400216999999998</v>
          </cell>
        </row>
        <row r="5">
          <cell r="K5">
            <v>3102.3469999999998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alrox"/>
      <sheetName val="Matrix"/>
    </sheetNames>
    <sheetDataSet>
      <sheetData sheetId="0">
        <row r="3">
          <cell r="L3">
            <v>190.382822</v>
          </cell>
        </row>
        <row r="5">
          <cell r="L5">
            <v>1781.4339999999997</v>
          </cell>
        </row>
        <row r="6">
          <cell r="L6">
            <v>1088.953</v>
          </cell>
        </row>
      </sheetData>
      <sheetData sheetId="1"/>
      <sheetData sheetId="2"/>
      <sheetData sheetId="3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66.136909000000003</v>
          </cell>
        </row>
        <row r="7">
          <cell r="K7">
            <v>15929</v>
          </cell>
        </row>
        <row r="8">
          <cell r="K8">
            <v>0</v>
          </cell>
        </row>
      </sheetData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3009.9929999999999</v>
          </cell>
        </row>
        <row r="6">
          <cell r="L6">
            <v>11509.59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95.366333999999995</v>
          </cell>
        </row>
        <row r="5">
          <cell r="L5">
            <v>1460.4740000000002</v>
          </cell>
        </row>
        <row r="6">
          <cell r="L6">
            <v>1226.3150000000001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724.53775099999996</v>
          </cell>
        </row>
        <row r="5">
          <cell r="K5">
            <v>325.46900000000005</v>
          </cell>
        </row>
        <row r="6">
          <cell r="K6">
            <v>100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704</v>
          </cell>
        </row>
        <row r="6">
          <cell r="L6">
            <v>8656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171.84910300000001</v>
          </cell>
        </row>
        <row r="5">
          <cell r="L5">
            <v>1246.799</v>
          </cell>
        </row>
        <row r="6">
          <cell r="L6">
            <v>946.82500000000005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61.753509999999999</v>
          </cell>
        </row>
        <row r="5">
          <cell r="K5">
            <v>1980.8019999999999</v>
          </cell>
        </row>
        <row r="6">
          <cell r="K6">
            <v>5706.7809999999999</v>
          </cell>
        </row>
      </sheetData>
      <sheetData sheetId="1">
        <row r="27">
          <cell r="AP27">
            <v>67.853000000000009</v>
          </cell>
        </row>
        <row r="29">
          <cell r="AP29">
            <v>-0.32933821939538621</v>
          </cell>
        </row>
        <row r="31">
          <cell r="AP31">
            <v>0.94</v>
          </cell>
        </row>
      </sheetData>
      <sheetData sheetId="2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1065845"/>
      <sheetName val="crinecerfont"/>
      <sheetName val="1117568"/>
    </sheetNames>
    <sheetDataSet>
      <sheetData sheetId="0">
        <row r="3">
          <cell r="L3">
            <v>100.976249</v>
          </cell>
        </row>
        <row r="5">
          <cell r="L5">
            <v>1820.3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rvykti"/>
    </sheetNames>
    <sheetDataSet>
      <sheetData sheetId="0">
        <row r="3">
          <cell r="K3">
            <v>182.60207700000001</v>
          </cell>
        </row>
        <row r="5">
          <cell r="K5">
            <v>1300</v>
          </cell>
        </row>
        <row r="6">
          <cell r="K6">
            <v>291.55900000000003</v>
          </cell>
        </row>
      </sheetData>
      <sheetData sheetId="1"/>
      <sheetData sheetId="2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69.430642000000006</v>
          </cell>
        </row>
        <row r="5">
          <cell r="K5">
            <v>873.44100000000003</v>
          </cell>
        </row>
        <row r="6">
          <cell r="K6">
            <v>563.18799999999999</v>
          </cell>
        </row>
      </sheetData>
      <sheetData sheetId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pikevax"/>
      <sheetName val="4157"/>
    </sheetNames>
    <sheetDataSet>
      <sheetData sheetId="0"/>
      <sheetData sheetId="1">
        <row r="3">
          <cell r="K3">
            <v>384.81781100000001</v>
          </cell>
        </row>
        <row r="5">
          <cell r="K5">
            <v>9202</v>
          </cell>
        </row>
        <row r="6">
          <cell r="K6">
            <v>0</v>
          </cell>
        </row>
      </sheetData>
      <sheetData sheetId="2"/>
      <sheetData sheetId="3"/>
      <sheetData sheetId="4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533.87796600000001</v>
          </cell>
        </row>
        <row r="5">
          <cell r="L5">
            <v>365009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ficamten"/>
    </sheetNames>
    <sheetDataSet>
      <sheetData sheetId="0">
        <row r="3">
          <cell r="K3">
            <v>117.659578</v>
          </cell>
        </row>
        <row r="5">
          <cell r="K5">
            <v>1362.136</v>
          </cell>
        </row>
        <row r="6">
          <cell r="K6">
            <v>654.95100000000002</v>
          </cell>
        </row>
      </sheetData>
      <sheetData sheetId="1"/>
      <sheetData sheetId="2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285.25172500000002</v>
          </cell>
        </row>
        <row r="5">
          <cell r="M5">
            <v>1434.3040000000001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coramidis"/>
    </sheetNames>
    <sheetDataSet>
      <sheetData sheetId="0">
        <row r="3">
          <cell r="N3">
            <v>187.58600000000001</v>
          </cell>
        </row>
        <row r="5">
          <cell r="N5">
            <v>587.20000000000005</v>
          </cell>
        </row>
        <row r="6">
          <cell r="N6">
            <v>1717.5990000000002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991.7</v>
          </cell>
        </row>
        <row r="5">
          <cell r="K5">
            <v>6237</v>
          </cell>
        </row>
        <row r="6">
          <cell r="K6">
            <v>3718</v>
          </cell>
        </row>
      </sheetData>
      <sheetData sheetId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28.760548</v>
          </cell>
        </row>
        <row r="5">
          <cell r="K5">
            <v>694.2120000000001</v>
          </cell>
        </row>
        <row r="6">
          <cell r="K6">
            <v>0</v>
          </cell>
        </row>
      </sheetData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roriluzole"/>
      <sheetName val="BHV-2100"/>
    </sheetNames>
    <sheetDataSet>
      <sheetData sheetId="0">
        <row r="3">
          <cell r="L3">
            <v>94.542253000000002</v>
          </cell>
        </row>
        <row r="5">
          <cell r="L5">
            <v>436.94799999999998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uvelity"/>
    </sheetNames>
    <sheetDataSet>
      <sheetData sheetId="0">
        <row r="3">
          <cell r="L3">
            <v>48.436107999999997</v>
          </cell>
        </row>
        <row r="5">
          <cell r="L5">
            <v>386.2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nito-cel"/>
    </sheetNames>
    <sheetDataSet>
      <sheetData sheetId="0">
        <row r="3">
          <cell r="K3">
            <v>53.755679000000001</v>
          </cell>
        </row>
        <row r="5">
          <cell r="K5">
            <v>649.44200000000001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iumvi"/>
    </sheetNames>
    <sheetDataSet>
      <sheetData sheetId="0">
        <row r="3">
          <cell r="J3">
            <v>154.823137</v>
          </cell>
        </row>
        <row r="5">
          <cell r="J5">
            <v>218.19900000000001</v>
          </cell>
        </row>
        <row r="6">
          <cell r="J6">
            <v>102.53700000000001</v>
          </cell>
        </row>
      </sheetData>
      <sheetData sheetId="1"/>
      <sheetData sheetId="2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lafold"/>
    </sheetNames>
    <sheetDataSet>
      <sheetData sheetId="0">
        <row r="3">
          <cell r="M3">
            <v>296.59093100000001</v>
          </cell>
        </row>
        <row r="5">
          <cell r="M5">
            <v>260.06200000000001</v>
          </cell>
        </row>
        <row r="6">
          <cell r="M6">
            <v>388.93900000000002</v>
          </cell>
        </row>
      </sheetData>
      <sheetData sheetId="1"/>
      <sheetData sheetId="2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739.52182400000004</v>
          </cell>
        </row>
        <row r="5">
          <cell r="K5">
            <v>5941.4930000000004</v>
          </cell>
        </row>
        <row r="6">
          <cell r="K6">
            <v>323.71600000000001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169.21132900000001</v>
          </cell>
        </row>
        <row r="5">
          <cell r="K5">
            <v>1347.038</v>
          </cell>
        </row>
        <row r="6">
          <cell r="K6">
            <v>0</v>
          </cell>
        </row>
      </sheetData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83.133341000000001</v>
          </cell>
        </row>
        <row r="5">
          <cell r="L5">
            <v>568.66099999999994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nktiva"/>
      <sheetName val="Model"/>
    </sheetNames>
    <sheetDataSet>
      <sheetData sheetId="0">
        <row r="3">
          <cell r="J3">
            <v>696.53341799999998</v>
          </cell>
        </row>
        <row r="5">
          <cell r="J5">
            <v>217.97900000000001</v>
          </cell>
        </row>
        <row r="6">
          <cell r="J6">
            <v>692.91800000000001</v>
          </cell>
        </row>
      </sheetData>
      <sheetData sheetId="1"/>
      <sheetData sheetId="2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18681.8</v>
          </cell>
        </row>
        <row r="6">
          <cell r="K6">
            <v>223.39999999999998</v>
          </cell>
        </row>
      </sheetData>
      <sheetData sheetId="1"/>
      <sheetData sheetId="2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80.031999999999996</v>
          </cell>
        </row>
        <row r="5">
          <cell r="K5">
            <v>190.494</v>
          </cell>
        </row>
        <row r="6">
          <cell r="K6">
            <v>50.073</v>
          </cell>
        </row>
      </sheetData>
      <sheetData sheetId="1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48.675821999999997</v>
          </cell>
        </row>
        <row r="5">
          <cell r="L5">
            <v>230.154</v>
          </cell>
        </row>
        <row r="6">
          <cell r="L6">
            <v>587.10199999999998</v>
          </cell>
        </row>
      </sheetData>
      <sheetData sheetId="1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usfertide"/>
      <sheetName val="JNJ-2113"/>
      <sheetName val="Model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appa"/>
      <sheetName val="navacaprant"/>
      <sheetName val="Options"/>
    </sheetNames>
    <sheetDataSet>
      <sheetData sheetId="0">
        <row r="3">
          <cell r="K3">
            <v>158.98400000000001</v>
          </cell>
        </row>
        <row r="5">
          <cell r="K5">
            <v>371.63900000000001</v>
          </cell>
        </row>
        <row r="6">
          <cell r="K6">
            <v>0</v>
          </cell>
        </row>
      </sheetData>
      <sheetData sheetId="1"/>
      <sheetData sheetId="2"/>
      <sheetData sheetId="3"/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38.871594000000002</v>
          </cell>
        </row>
        <row r="5">
          <cell r="J5">
            <v>294.60500000000002</v>
          </cell>
        </row>
        <row r="6">
          <cell r="J6">
            <v>0</v>
          </cell>
        </row>
      </sheetData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52.482019999999999</v>
          </cell>
        </row>
        <row r="5">
          <cell r="L5">
            <v>658</v>
          </cell>
        </row>
        <row r="6">
          <cell r="L6">
            <v>0</v>
          </cell>
        </row>
      </sheetData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SBR-1290"/>
    </sheetNames>
    <sheetDataSet>
      <sheetData sheetId="0">
        <row r="3">
          <cell r="N3">
            <v>57.196520333333332</v>
          </cell>
        </row>
        <row r="5">
          <cell r="N5">
            <v>927.11899999999991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rladeyo"/>
    </sheetNames>
    <sheetDataSet>
      <sheetData sheetId="0">
        <row r="3">
          <cell r="M3">
            <v>206.37708799999999</v>
          </cell>
        </row>
        <row r="5">
          <cell r="M5">
            <v>336.55399999999997</v>
          </cell>
        </row>
        <row r="6">
          <cell r="M6">
            <v>308.48399999999998</v>
          </cell>
        </row>
      </sheetData>
      <sheetData sheetId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C-2282"/>
    </sheetNames>
    <sheetDataSet>
      <sheetData sheetId="0">
        <row r="3">
          <cell r="K3">
            <v>286.64083299999999</v>
          </cell>
        </row>
        <row r="5">
          <cell r="K5">
            <v>427.64699999999999</v>
          </cell>
        </row>
        <row r="6">
          <cell r="K6">
            <v>28.728999999999999</v>
          </cell>
        </row>
      </sheetData>
      <sheetData sheetId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P-A501"/>
    </sheetNames>
    <sheetDataSet>
      <sheetData sheetId="0">
        <row r="3">
          <cell r="K3">
            <v>90.956000000000003</v>
          </cell>
        </row>
        <row r="5">
          <cell r="K5">
            <v>278.82499999999999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C291"/>
    </sheetNames>
    <sheetDataSet>
      <sheetData sheetId="0">
        <row r="3">
          <cell r="I3">
            <v>222.5</v>
          </cell>
        </row>
        <row r="5">
          <cell r="I5">
            <v>251.643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469.12400000000002</v>
          </cell>
        </row>
        <row r="6">
          <cell r="K6">
            <v>45.192</v>
          </cell>
        </row>
      </sheetData>
      <sheetData sheetId="1"/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64.765274000000005</v>
          </cell>
        </row>
        <row r="5">
          <cell r="L5">
            <v>911.00500000000011</v>
          </cell>
        </row>
        <row r="6">
          <cell r="L6">
            <v>0</v>
          </cell>
        </row>
      </sheetData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87.760456000000005</v>
          </cell>
        </row>
        <row r="5">
          <cell r="K5">
            <v>361.86599999999999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114.846271</v>
          </cell>
        </row>
        <row r="5">
          <cell r="L5">
            <v>122.197</v>
          </cell>
        </row>
        <row r="6">
          <cell r="L6">
            <v>0</v>
          </cell>
        </row>
      </sheetData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oquelitinib"/>
    </sheetNames>
    <sheetDataSet>
      <sheetData sheetId="0">
        <row r="3">
          <cell r="K3">
            <v>62.551281000000003</v>
          </cell>
        </row>
        <row r="5">
          <cell r="K5">
            <v>62.650000000000006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ralutinib"/>
    </sheetNames>
    <sheetDataSet>
      <sheetData sheetId="0">
        <row r="3">
          <cell r="K3">
            <v>226.227259</v>
          </cell>
        </row>
        <row r="5">
          <cell r="K5">
            <v>354.488</v>
          </cell>
        </row>
        <row r="6">
          <cell r="K6">
            <v>197.05099999999999</v>
          </cell>
        </row>
      </sheetData>
      <sheetData sheetId="1"/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lossary"/>
      <sheetName val="Phase 2"/>
      <sheetName val="Alzheimer's"/>
      <sheetName val="Options"/>
      <sheetName val="simufilam"/>
      <sheetName val="Insiders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149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  <sheetName val="Literature"/>
    </sheetNames>
    <sheetDataSet>
      <sheetData sheetId="0">
        <row r="3">
          <cell r="L3">
            <v>80.181554000000006</v>
          </cell>
        </row>
        <row r="5">
          <cell r="L5">
            <v>30.146999999999998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ligrotug"/>
    </sheetNames>
    <sheetDataSet>
      <sheetData sheetId="0">
        <row r="3">
          <cell r="N3">
            <v>79.212746999999993</v>
          </cell>
        </row>
        <row r="5">
          <cell r="N5">
            <v>753.24</v>
          </cell>
        </row>
        <row r="6">
          <cell r="N6">
            <v>20.523</v>
          </cell>
        </row>
      </sheetData>
      <sheetData sheetId="1"/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42.199413999999997</v>
          </cell>
        </row>
        <row r="5">
          <cell r="J5">
            <v>249.57499999999999</v>
          </cell>
        </row>
        <row r="6">
          <cell r="J6">
            <v>121.7</v>
          </cell>
        </row>
      </sheetData>
      <sheetData sheetId="1"/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75.796198000000004</v>
          </cell>
        </row>
        <row r="5">
          <cell r="K5">
            <v>78.481999999999999</v>
          </cell>
        </row>
        <row r="6">
          <cell r="K6">
            <v>0</v>
          </cell>
        </row>
      </sheetData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TEV"/>
    </sheetNames>
    <sheetDataSet>
      <sheetData sheetId="0">
        <row r="3">
          <cell r="J3">
            <v>119.351122</v>
          </cell>
        </row>
        <row r="5">
          <cell r="J5">
            <v>95.563000000000002</v>
          </cell>
        </row>
        <row r="6">
          <cell r="J6">
            <v>60.078000000000003</v>
          </cell>
        </row>
      </sheetData>
      <sheetData sheetId="1"/>
    </sheetDataSet>
  </externalBook>
</externalLink>
</file>

<file path=xl/externalLinks/externalLink1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44.567334000000002</v>
          </cell>
        </row>
        <row r="5">
          <cell r="M5">
            <v>99.997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betralstat"/>
    </sheetNames>
    <sheetDataSet>
      <sheetData sheetId="0">
        <row r="3">
          <cell r="K3">
            <v>43.215471999999998</v>
          </cell>
        </row>
        <row r="5">
          <cell r="K5">
            <v>174.27199999999999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larcamesine"/>
      <sheetName val="Sigma"/>
    </sheetNames>
    <sheetDataSet>
      <sheetData sheetId="0">
        <row r="3">
          <cell r="I3">
            <v>84.795517000000004</v>
          </cell>
        </row>
        <row r="5">
          <cell r="I5">
            <v>138.756</v>
          </cell>
        </row>
        <row r="6">
          <cell r="I6">
            <v>0</v>
          </cell>
        </row>
      </sheetData>
      <sheetData sheetId="1"/>
      <sheetData sheetId="2"/>
    </sheetDataSet>
  </externalBook>
</externalLink>
</file>

<file path=xl/externalLinks/externalLink1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30.426682</v>
          </cell>
        </row>
        <row r="5">
          <cell r="K5">
            <v>458.03099999999995</v>
          </cell>
        </row>
        <row r="6">
          <cell r="K6">
            <v>0</v>
          </cell>
        </row>
      </sheetData>
    </sheetDataSet>
  </externalBook>
</externalLink>
</file>

<file path=xl/externalLinks/externalLink1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115.213407</v>
          </cell>
        </row>
        <row r="5">
          <cell r="J5">
            <v>581.08999999999992</v>
          </cell>
        </row>
        <row r="6">
          <cell r="J6">
            <v>264.50900000000001</v>
          </cell>
        </row>
      </sheetData>
      <sheetData sheetId="1"/>
    </sheetDataSet>
  </externalBook>
</externalLink>
</file>

<file path=xl/externalLinks/externalLink1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mpikibart"/>
    </sheetNames>
    <sheetDataSet>
      <sheetData sheetId="0">
        <row r="3">
          <cell r="K3">
            <v>12.076411999999999</v>
          </cell>
        </row>
        <row r="5">
          <cell r="K5">
            <v>89.078000000000003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27.999521999999999</v>
          </cell>
        </row>
        <row r="5">
          <cell r="K5">
            <v>19.905999999999999</v>
          </cell>
        </row>
        <row r="6">
          <cell r="K6">
            <v>4.4909999999999997</v>
          </cell>
        </row>
      </sheetData>
      <sheetData sheetId="1"/>
    </sheetDataSet>
  </externalBook>
</externalLink>
</file>

<file path=xl/externalLinks/externalLink1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lapectin"/>
      <sheetName val="NASH"/>
      <sheetName val="Papers"/>
    </sheetNames>
    <sheetDataSet>
      <sheetData sheetId="0">
        <row r="3">
          <cell r="K3">
            <v>62.761825000000002</v>
          </cell>
        </row>
        <row r="5">
          <cell r="K5">
            <v>27.06</v>
          </cell>
        </row>
        <row r="6">
          <cell r="K6">
            <v>104.554</v>
          </cell>
        </row>
      </sheetData>
      <sheetData sheetId="1"/>
      <sheetData sheetId="2"/>
      <sheetData sheetId="3"/>
    </sheetDataSet>
  </externalBook>
</externalLink>
</file>

<file path=xl/externalLinks/externalLink1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6.2490660000000009</v>
          </cell>
        </row>
        <row r="5">
          <cell r="L5">
            <v>41.190244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57.943066000000002</v>
          </cell>
        </row>
        <row r="5">
          <cell r="M5">
            <v>117.82499999999999</v>
          </cell>
        </row>
        <row r="6">
          <cell r="M6">
            <v>0</v>
          </cell>
        </row>
      </sheetData>
    </sheetDataSet>
  </externalBook>
</externalLink>
</file>

<file path=xl/externalLinks/externalLink1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32.475537000000003</v>
          </cell>
        </row>
        <row r="5">
          <cell r="M5">
            <v>16.823999999999998</v>
          </cell>
        </row>
        <row r="6">
          <cell r="M6">
            <v>14.916</v>
          </cell>
        </row>
      </sheetData>
    </sheetDataSet>
  </externalBook>
</externalLink>
</file>

<file path=xl/externalLinks/externalLink1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125.801254</v>
          </cell>
        </row>
        <row r="5">
          <cell r="L5">
            <v>74.8</v>
          </cell>
        </row>
        <row r="6">
          <cell r="L6">
            <v>0</v>
          </cell>
        </row>
      </sheetData>
    </sheetDataSet>
  </externalBook>
</externalLink>
</file>

<file path=xl/externalLinks/externalLink1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36.819809999999997</v>
          </cell>
        </row>
        <row r="5">
          <cell r="L5">
            <v>57.733724000000002</v>
          </cell>
        </row>
        <row r="6">
          <cell r="L6">
            <v>24.225999999999999</v>
          </cell>
        </row>
      </sheetData>
    </sheetDataSet>
  </externalBook>
</externalLink>
</file>

<file path=xl/externalLinks/externalLink1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lloNK"/>
    </sheetNames>
    <sheetDataSet>
      <sheetData sheetId="0">
        <row r="3">
          <cell r="K3">
            <v>24.287144000000001</v>
          </cell>
        </row>
        <row r="5">
          <cell r="K5">
            <v>225.55599999999998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38.317897000000002</v>
          </cell>
        </row>
        <row r="5">
          <cell r="K5">
            <v>62.823</v>
          </cell>
        </row>
        <row r="6">
          <cell r="K6">
            <v>0</v>
          </cell>
        </row>
      </sheetData>
    </sheetDataSet>
  </externalBook>
</externalLink>
</file>

<file path=xl/externalLinks/externalLink1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33.441198999999997</v>
          </cell>
        </row>
        <row r="5">
          <cell r="K5">
            <v>5.5588170000000003</v>
          </cell>
        </row>
        <row r="6">
          <cell r="K6">
            <v>8.3000000000000004E-2</v>
          </cell>
        </row>
      </sheetData>
    </sheetDataSet>
  </externalBook>
</externalLink>
</file>

<file path=xl/externalLinks/externalLink1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22.004159000000001</v>
          </cell>
        </row>
        <row r="5">
          <cell r="P5">
            <v>4.1559999999999997</v>
          </cell>
        </row>
        <row r="6">
          <cell r="P6">
            <v>8.4879999999999995</v>
          </cell>
        </row>
      </sheetData>
      <sheetData sheetId="1"/>
    </sheetDataSet>
  </externalBook>
</externalLink>
</file>

<file path=xl/externalLinks/externalLink1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48.877164</v>
          </cell>
        </row>
        <row r="5">
          <cell r="K5">
            <v>183.012</v>
          </cell>
        </row>
        <row r="6">
          <cell r="K6">
            <v>0</v>
          </cell>
        </row>
      </sheetData>
    </sheetDataSet>
  </externalBook>
</externalLink>
</file>

<file path=xl/externalLinks/externalLink1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54.533253999999999</v>
          </cell>
        </row>
        <row r="5">
          <cell r="L5">
            <v>371.02100000000002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A20BCEA-4C45-4B42-BEED-323725F9E7F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7" dT="2024-10-05T01:59:23.04" personId="{5A20BCEA-4C45-4B42-BEED-323725F9E7FF}" id="{D92D9A65-014E-44BC-BD63-8FFD745601DC}">
    <text>Sanofi-Synthelabo</text>
  </threadedComment>
</ThreadedComments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EWTX.xlsx" TargetMode="External"/><Relationship Id="rId21" Type="http://schemas.openxmlformats.org/officeDocument/2006/relationships/hyperlink" Target="../../AppData/Roaming/OneDrive/Models%20Backup/PHAS.xlsx" TargetMode="External"/><Relationship Id="rId42" Type="http://schemas.openxmlformats.org/officeDocument/2006/relationships/hyperlink" Target="GSK.xlsx" TargetMode="External"/><Relationship Id="rId63" Type="http://schemas.openxmlformats.org/officeDocument/2006/relationships/hyperlink" Target="1177%20HK%20Sino.xlsx" TargetMode="External"/><Relationship Id="rId84" Type="http://schemas.openxmlformats.org/officeDocument/2006/relationships/hyperlink" Target="FREQ.xlsx" TargetMode="External"/><Relationship Id="rId138" Type="http://schemas.openxmlformats.org/officeDocument/2006/relationships/hyperlink" Target="4151%20JP.xlsx" TargetMode="External"/><Relationship Id="rId159" Type="http://schemas.openxmlformats.org/officeDocument/2006/relationships/hyperlink" Target="FOLD.xlsx" TargetMode="External"/><Relationship Id="rId170" Type="http://schemas.openxmlformats.org/officeDocument/2006/relationships/hyperlink" Target="SANA.xlsx" TargetMode="External"/><Relationship Id="rId191" Type="http://schemas.openxmlformats.org/officeDocument/2006/relationships/hyperlink" Target="VRDN.xlsx" TargetMode="External"/><Relationship Id="rId107" Type="http://schemas.openxmlformats.org/officeDocument/2006/relationships/hyperlink" Target="1877%20HK.xlsx" TargetMode="External"/><Relationship Id="rId11" Type="http://schemas.openxmlformats.org/officeDocument/2006/relationships/hyperlink" Target="SAN%20FP.xlsx" TargetMode="External"/><Relationship Id="rId32" Type="http://schemas.openxmlformats.org/officeDocument/2006/relationships/hyperlink" Target="ABCL.xlsx" TargetMode="External"/><Relationship Id="rId53" Type="http://schemas.openxmlformats.org/officeDocument/2006/relationships/hyperlink" Target="BMRN.xlsx" TargetMode="External"/><Relationship Id="rId74" Type="http://schemas.openxmlformats.org/officeDocument/2006/relationships/hyperlink" Target="GMAB.xlsx" TargetMode="External"/><Relationship Id="rId128" Type="http://schemas.openxmlformats.org/officeDocument/2006/relationships/hyperlink" Target="SLS.xlsx" TargetMode="External"/><Relationship Id="rId149" Type="http://schemas.openxmlformats.org/officeDocument/2006/relationships/hyperlink" Target="GPCR.xlsx" TargetMode="External"/><Relationship Id="rId5" Type="http://schemas.openxmlformats.org/officeDocument/2006/relationships/hyperlink" Target="NVS.xlsx" TargetMode="External"/><Relationship Id="rId95" Type="http://schemas.openxmlformats.org/officeDocument/2006/relationships/hyperlink" Target="SAVA.xlsx" TargetMode="External"/><Relationship Id="rId160" Type="http://schemas.openxmlformats.org/officeDocument/2006/relationships/hyperlink" Target="TGTX.xlsx" TargetMode="External"/><Relationship Id="rId181" Type="http://schemas.openxmlformats.org/officeDocument/2006/relationships/hyperlink" Target="ALGS.xlsx" TargetMode="External"/><Relationship Id="rId22" Type="http://schemas.openxmlformats.org/officeDocument/2006/relationships/hyperlink" Target="../../AppData/Roaming/OneDrive/Models%20Backup/MGTX.xlsx" TargetMode="External"/><Relationship Id="rId43" Type="http://schemas.openxmlformats.org/officeDocument/2006/relationships/hyperlink" Target="SWTX.xlsx" TargetMode="External"/><Relationship Id="rId64" Type="http://schemas.openxmlformats.org/officeDocument/2006/relationships/hyperlink" Target="3692%20HK%20Hansoh.xlsx" TargetMode="External"/><Relationship Id="rId118" Type="http://schemas.openxmlformats.org/officeDocument/2006/relationships/hyperlink" Target="CLSD.xlsx" TargetMode="External"/><Relationship Id="rId139" Type="http://schemas.openxmlformats.org/officeDocument/2006/relationships/hyperlink" Target="BCRX.xlsx" TargetMode="External"/><Relationship Id="rId85" Type="http://schemas.openxmlformats.org/officeDocument/2006/relationships/hyperlink" Target="IRON.xlsx" TargetMode="External"/><Relationship Id="rId150" Type="http://schemas.openxmlformats.org/officeDocument/2006/relationships/hyperlink" Target="IBRX.xlsx" TargetMode="External"/><Relationship Id="rId171" Type="http://schemas.openxmlformats.org/officeDocument/2006/relationships/hyperlink" Target="QTTB.xlsx" TargetMode="External"/><Relationship Id="rId192" Type="http://schemas.openxmlformats.org/officeDocument/2006/relationships/printerSettings" Target="../printerSettings/printerSettings1.bin"/><Relationship Id="rId12" Type="http://schemas.openxmlformats.org/officeDocument/2006/relationships/hyperlink" Target="ABBV.xlsx" TargetMode="External"/><Relationship Id="rId33" Type="http://schemas.openxmlformats.org/officeDocument/2006/relationships/hyperlink" Target="../../AppData/Roaming/Microsoft/Excel/SIGA.xlsx" TargetMode="External"/><Relationship Id="rId108" Type="http://schemas.openxmlformats.org/officeDocument/2006/relationships/hyperlink" Target="SMMT.xlsx" TargetMode="External"/><Relationship Id="rId129" Type="http://schemas.openxmlformats.org/officeDocument/2006/relationships/hyperlink" Target="OGN.xlsx" TargetMode="External"/><Relationship Id="rId54" Type="http://schemas.openxmlformats.org/officeDocument/2006/relationships/hyperlink" Target="ALNY.xlsx" TargetMode="External"/><Relationship Id="rId75" Type="http://schemas.openxmlformats.org/officeDocument/2006/relationships/hyperlink" Target="GMAB.xlsx" TargetMode="External"/><Relationship Id="rId96" Type="http://schemas.openxmlformats.org/officeDocument/2006/relationships/hyperlink" Target="GSK.xlsx" TargetMode="External"/><Relationship Id="rId140" Type="http://schemas.openxmlformats.org/officeDocument/2006/relationships/hyperlink" Target="KALV.xlsx" TargetMode="External"/><Relationship Id="rId161" Type="http://schemas.openxmlformats.org/officeDocument/2006/relationships/hyperlink" Target="HLUN.xlsx" TargetMode="External"/><Relationship Id="rId182" Type="http://schemas.openxmlformats.org/officeDocument/2006/relationships/hyperlink" Target="DRUG.xlsx" TargetMode="External"/><Relationship Id="rId6" Type="http://schemas.openxmlformats.org/officeDocument/2006/relationships/hyperlink" Target="LLY.xlsx" TargetMode="External"/><Relationship Id="rId23" Type="http://schemas.openxmlformats.org/officeDocument/2006/relationships/hyperlink" Target="../../AppData/Roaming/OneDrive/Models%20Backup/GRAY.xlsx" TargetMode="External"/><Relationship Id="rId119" Type="http://schemas.openxmlformats.org/officeDocument/2006/relationships/hyperlink" Target="DAWN.xlsx" TargetMode="External"/><Relationship Id="rId44" Type="http://schemas.openxmlformats.org/officeDocument/2006/relationships/hyperlink" Target="BEAM.xlsx" TargetMode="External"/><Relationship Id="rId65" Type="http://schemas.openxmlformats.org/officeDocument/2006/relationships/hyperlink" Target="4578%20Otsuka.xlsx" TargetMode="External"/><Relationship Id="rId86" Type="http://schemas.openxmlformats.org/officeDocument/2006/relationships/hyperlink" Target="RXRX.xlsx" TargetMode="External"/><Relationship Id="rId130" Type="http://schemas.openxmlformats.org/officeDocument/2006/relationships/hyperlink" Target="NUVB.xlsx" TargetMode="External"/><Relationship Id="rId151" Type="http://schemas.openxmlformats.org/officeDocument/2006/relationships/hyperlink" Target="SRRK.xlsx" TargetMode="External"/><Relationship Id="rId172" Type="http://schemas.openxmlformats.org/officeDocument/2006/relationships/hyperlink" Target="ARTV.xlsx" TargetMode="External"/><Relationship Id="rId13" Type="http://schemas.openxmlformats.org/officeDocument/2006/relationships/hyperlink" Target="GILD.xlsx" TargetMode="External"/><Relationship Id="rId18" Type="http://schemas.openxmlformats.org/officeDocument/2006/relationships/hyperlink" Target="../../AppData/Roaming/Microsoft/Excel/LQDA.xlsx" TargetMode="External"/><Relationship Id="rId39" Type="http://schemas.openxmlformats.org/officeDocument/2006/relationships/hyperlink" Target="ROIV.xlsx" TargetMode="External"/><Relationship Id="rId109" Type="http://schemas.openxmlformats.org/officeDocument/2006/relationships/hyperlink" Target="PCVX.xlsx" TargetMode="External"/><Relationship Id="rId34" Type="http://schemas.openxmlformats.org/officeDocument/2006/relationships/hyperlink" Target="HIK%20LN.xlsx" TargetMode="External"/><Relationship Id="rId50" Type="http://schemas.openxmlformats.org/officeDocument/2006/relationships/hyperlink" Target="NBIX.xlsx" TargetMode="External"/><Relationship Id="rId55" Type="http://schemas.openxmlformats.org/officeDocument/2006/relationships/hyperlink" Target="BAX.xlsx" TargetMode="External"/><Relationship Id="rId76" Type="http://schemas.openxmlformats.org/officeDocument/2006/relationships/hyperlink" Target="EXEL.xlsx" TargetMode="External"/><Relationship Id="rId97" Type="http://schemas.openxmlformats.org/officeDocument/2006/relationships/hyperlink" Target="UCB.xlsx" TargetMode="External"/><Relationship Id="rId104" Type="http://schemas.openxmlformats.org/officeDocument/2006/relationships/hyperlink" Target="LEGN.xlsx" TargetMode="External"/><Relationship Id="rId120" Type="http://schemas.openxmlformats.org/officeDocument/2006/relationships/hyperlink" Target="NWBO.xlsx" TargetMode="External"/><Relationship Id="rId125" Type="http://schemas.openxmlformats.org/officeDocument/2006/relationships/hyperlink" Target="EQ.xlsx" TargetMode="External"/><Relationship Id="rId141" Type="http://schemas.openxmlformats.org/officeDocument/2006/relationships/hyperlink" Target="PDSB.xlsx" TargetMode="External"/><Relationship Id="rId146" Type="http://schemas.openxmlformats.org/officeDocument/2006/relationships/hyperlink" Target="CYTK.xlsx" TargetMode="External"/><Relationship Id="rId167" Type="http://schemas.openxmlformats.org/officeDocument/2006/relationships/hyperlink" Target="TNXP.xlsx" TargetMode="External"/><Relationship Id="rId188" Type="http://schemas.openxmlformats.org/officeDocument/2006/relationships/hyperlink" Target="URGN.xlsx" TargetMode="External"/><Relationship Id="rId7" Type="http://schemas.openxmlformats.org/officeDocument/2006/relationships/hyperlink" Target="MRK%20GR.xlsx" TargetMode="External"/><Relationship Id="rId71" Type="http://schemas.openxmlformats.org/officeDocument/2006/relationships/hyperlink" Target="ARWR.xlsx" TargetMode="External"/><Relationship Id="rId92" Type="http://schemas.openxmlformats.org/officeDocument/2006/relationships/hyperlink" Target="AZN.xlsx" TargetMode="External"/><Relationship Id="rId162" Type="http://schemas.openxmlformats.org/officeDocument/2006/relationships/hyperlink" Target="BHC.xlsx" TargetMode="External"/><Relationship Id="rId183" Type="http://schemas.openxmlformats.org/officeDocument/2006/relationships/hyperlink" Target="BMEA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BGNE.xlsx" TargetMode="External"/><Relationship Id="rId24" Type="http://schemas.openxmlformats.org/officeDocument/2006/relationships/hyperlink" Target="../../AppData/Roaming/OneDrive/Models%20Backup/CPRX.xlsx" TargetMode="External"/><Relationship Id="rId40" Type="http://schemas.openxmlformats.org/officeDocument/2006/relationships/hyperlink" Target="NOVOB.xlsx" TargetMode="External"/><Relationship Id="rId45" Type="http://schemas.openxmlformats.org/officeDocument/2006/relationships/hyperlink" Target="EXAI.xlsx" TargetMode="External"/><Relationship Id="rId66" Type="http://schemas.openxmlformats.org/officeDocument/2006/relationships/hyperlink" Target="ZNTL.xlsx" TargetMode="External"/><Relationship Id="rId87" Type="http://schemas.openxmlformats.org/officeDocument/2006/relationships/hyperlink" Target="FDMT.xlsx" TargetMode="External"/><Relationship Id="rId110" Type="http://schemas.openxmlformats.org/officeDocument/2006/relationships/hyperlink" Target="ITCI.xlsx" TargetMode="External"/><Relationship Id="rId115" Type="http://schemas.openxmlformats.org/officeDocument/2006/relationships/hyperlink" Target="KRON.xlsx" TargetMode="External"/><Relationship Id="rId131" Type="http://schemas.openxmlformats.org/officeDocument/2006/relationships/hyperlink" Target="XNCR.xlsx" TargetMode="External"/><Relationship Id="rId136" Type="http://schemas.openxmlformats.org/officeDocument/2006/relationships/hyperlink" Target="ORNBV.xlsx" TargetMode="External"/><Relationship Id="rId157" Type="http://schemas.openxmlformats.org/officeDocument/2006/relationships/hyperlink" Target="HUMA.xlsx" TargetMode="External"/><Relationship Id="rId178" Type="http://schemas.openxmlformats.org/officeDocument/2006/relationships/hyperlink" Target="LPTX.xlsx" TargetMode="External"/><Relationship Id="rId61" Type="http://schemas.openxmlformats.org/officeDocument/2006/relationships/hyperlink" Target="AXSM.xlsx" TargetMode="External"/><Relationship Id="rId82" Type="http://schemas.openxmlformats.org/officeDocument/2006/relationships/hyperlink" Target="SAGE.xlsx" TargetMode="External"/><Relationship Id="rId152" Type="http://schemas.openxmlformats.org/officeDocument/2006/relationships/hyperlink" Target="AMGN.xlsx" TargetMode="External"/><Relationship Id="rId173" Type="http://schemas.openxmlformats.org/officeDocument/2006/relationships/hyperlink" Target="ATOS.xlsx" TargetMode="External"/><Relationship Id="rId19" Type="http://schemas.openxmlformats.org/officeDocument/2006/relationships/hyperlink" Target="../../AppData/Roaming/OneDrive/Models%20Backup/TCON.xlsx" TargetMode="External"/><Relationship Id="rId14" Type="http://schemas.openxmlformats.org/officeDocument/2006/relationships/hyperlink" Target="VRTX.xlsx" TargetMode="External"/><Relationship Id="rId30" Type="http://schemas.openxmlformats.org/officeDocument/2006/relationships/hyperlink" Target="VTRS.xlsx" TargetMode="External"/><Relationship Id="rId35" Type="http://schemas.openxmlformats.org/officeDocument/2006/relationships/hyperlink" Target="ALKS.xlsx" TargetMode="External"/><Relationship Id="rId56" Type="http://schemas.openxmlformats.org/officeDocument/2006/relationships/hyperlink" Target="4503%20JP.xlsx" TargetMode="External"/><Relationship Id="rId77" Type="http://schemas.openxmlformats.org/officeDocument/2006/relationships/hyperlink" Target="GRFS.xlsx" TargetMode="External"/><Relationship Id="rId100" Type="http://schemas.openxmlformats.org/officeDocument/2006/relationships/hyperlink" Target="ACAD.xlsx" TargetMode="External"/><Relationship Id="rId105" Type="http://schemas.openxmlformats.org/officeDocument/2006/relationships/hyperlink" Target="302440%20KS.xlsx" TargetMode="External"/><Relationship Id="rId126" Type="http://schemas.openxmlformats.org/officeDocument/2006/relationships/hyperlink" Target="EVO.xlsx" TargetMode="External"/><Relationship Id="rId147" Type="http://schemas.openxmlformats.org/officeDocument/2006/relationships/hyperlink" Target="RARE.xlsx" TargetMode="External"/><Relationship Id="rId168" Type="http://schemas.openxmlformats.org/officeDocument/2006/relationships/hyperlink" Target="MNPR.xlsx" TargetMode="External"/><Relationship Id="rId8" Type="http://schemas.openxmlformats.org/officeDocument/2006/relationships/hyperlink" Target="NOVOB.xlsx" TargetMode="External"/><Relationship Id="rId51" Type="http://schemas.openxmlformats.org/officeDocument/2006/relationships/hyperlink" Target="BIIB.xlsx" TargetMode="External"/><Relationship Id="rId72" Type="http://schemas.openxmlformats.org/officeDocument/2006/relationships/hyperlink" Target="HALO.xlsx" TargetMode="External"/><Relationship Id="rId93" Type="http://schemas.openxmlformats.org/officeDocument/2006/relationships/hyperlink" Target="ABEO.xlsx" TargetMode="External"/><Relationship Id="rId98" Type="http://schemas.openxmlformats.org/officeDocument/2006/relationships/hyperlink" Target="DCTH.xlsx" TargetMode="External"/><Relationship Id="rId121" Type="http://schemas.openxmlformats.org/officeDocument/2006/relationships/hyperlink" Target="MDGL.xlsx" TargetMode="External"/><Relationship Id="rId142" Type="http://schemas.openxmlformats.org/officeDocument/2006/relationships/hyperlink" Target="APLT.xlsx" TargetMode="External"/><Relationship Id="rId163" Type="http://schemas.openxmlformats.org/officeDocument/2006/relationships/hyperlink" Target="INSM.xlsx" TargetMode="External"/><Relationship Id="rId184" Type="http://schemas.openxmlformats.org/officeDocument/2006/relationships/hyperlink" Target="CADL.xlsx" TargetMode="External"/><Relationship Id="rId189" Type="http://schemas.openxmlformats.org/officeDocument/2006/relationships/hyperlink" Target="KYMR.xlsx" TargetMode="External"/><Relationship Id="rId3" Type="http://schemas.openxmlformats.org/officeDocument/2006/relationships/hyperlink" Target="PFE.xlsx" TargetMode="External"/><Relationship Id="rId25" Type="http://schemas.openxmlformats.org/officeDocument/2006/relationships/hyperlink" Target="../../AppData/Roaming/OneDrive/Models%20Backup/CVRX.xlsx" TargetMode="External"/><Relationship Id="rId46" Type="http://schemas.openxmlformats.org/officeDocument/2006/relationships/hyperlink" Target="4519%20Chugai.xlsx" TargetMode="External"/><Relationship Id="rId67" Type="http://schemas.openxmlformats.org/officeDocument/2006/relationships/hyperlink" Target="NTLA.xlsx" TargetMode="External"/><Relationship Id="rId116" Type="http://schemas.openxmlformats.org/officeDocument/2006/relationships/hyperlink" Target="PTGX.xlsx" TargetMode="External"/><Relationship Id="rId137" Type="http://schemas.openxmlformats.org/officeDocument/2006/relationships/hyperlink" Target="ADMA.xlsx" TargetMode="External"/><Relationship Id="rId158" Type="http://schemas.openxmlformats.org/officeDocument/2006/relationships/hyperlink" Target="BBIO.xlsx" TargetMode="External"/><Relationship Id="rId20" Type="http://schemas.openxmlformats.org/officeDocument/2006/relationships/hyperlink" Target="../../AppData/Roaming/OneDrive/Models%20Backup/ACET.xlsx" TargetMode="External"/><Relationship Id="rId41" Type="http://schemas.openxmlformats.org/officeDocument/2006/relationships/hyperlink" Target="CYDY.xlsx" TargetMode="External"/><Relationship Id="rId62" Type="http://schemas.openxmlformats.org/officeDocument/2006/relationships/hyperlink" Target="Sun%20Pharmaceutical.xlsx" TargetMode="External"/><Relationship Id="rId83" Type="http://schemas.openxmlformats.org/officeDocument/2006/relationships/hyperlink" Target="ASND.xlsx" TargetMode="External"/><Relationship Id="rId88" Type="http://schemas.openxmlformats.org/officeDocument/2006/relationships/hyperlink" Target="AMLX.xlsx" TargetMode="External"/><Relationship Id="rId111" Type="http://schemas.openxmlformats.org/officeDocument/2006/relationships/hyperlink" Target="SLNO.xlsx" TargetMode="External"/><Relationship Id="rId132" Type="http://schemas.openxmlformats.org/officeDocument/2006/relationships/hyperlink" Target="IPN%20FP.xlsx" TargetMode="External"/><Relationship Id="rId153" Type="http://schemas.openxmlformats.org/officeDocument/2006/relationships/hyperlink" Target="ATYR.xlsx" TargetMode="External"/><Relationship Id="rId174" Type="http://schemas.openxmlformats.org/officeDocument/2006/relationships/hyperlink" Target="AVXL.xlsx" TargetMode="External"/><Relationship Id="rId179" Type="http://schemas.openxmlformats.org/officeDocument/2006/relationships/hyperlink" Target="CABA.xlsx" TargetMode="External"/><Relationship Id="rId190" Type="http://schemas.openxmlformats.org/officeDocument/2006/relationships/hyperlink" Target="SPRY.xlsx" TargetMode="External"/><Relationship Id="rId15" Type="http://schemas.openxmlformats.org/officeDocument/2006/relationships/hyperlink" Target="INCY.xlsx" TargetMode="External"/><Relationship Id="rId36" Type="http://schemas.openxmlformats.org/officeDocument/2006/relationships/hyperlink" Target="../../AppData/Roaming/Microsoft/Excel/AVTX.xlsx" TargetMode="External"/><Relationship Id="rId57" Type="http://schemas.openxmlformats.org/officeDocument/2006/relationships/hyperlink" Target="NVS.xlsx" TargetMode="External"/><Relationship Id="rId106" Type="http://schemas.openxmlformats.org/officeDocument/2006/relationships/hyperlink" Target="1877%20HK.xlsx" TargetMode="External"/><Relationship Id="rId127" Type="http://schemas.openxmlformats.org/officeDocument/2006/relationships/hyperlink" Target="EVO.xlsx" TargetMode="External"/><Relationship Id="rId10" Type="http://schemas.openxmlformats.org/officeDocument/2006/relationships/hyperlink" Target="BMY.xlsx" TargetMode="External"/><Relationship Id="rId31" Type="http://schemas.openxmlformats.org/officeDocument/2006/relationships/hyperlink" Target="../../AppData/Roaming/Microsoft/Excel/VERU.xlsx" TargetMode="External"/><Relationship Id="rId52" Type="http://schemas.openxmlformats.org/officeDocument/2006/relationships/hyperlink" Target="AZN.xlsx" TargetMode="External"/><Relationship Id="rId73" Type="http://schemas.openxmlformats.org/officeDocument/2006/relationships/hyperlink" Target="RCKT.xlsx" TargetMode="External"/><Relationship Id="rId78" Type="http://schemas.openxmlformats.org/officeDocument/2006/relationships/hyperlink" Target="4523%20JP.xlsx" TargetMode="External"/><Relationship Id="rId94" Type="http://schemas.openxmlformats.org/officeDocument/2006/relationships/hyperlink" Target="SAN%20FP.xlsx" TargetMode="External"/><Relationship Id="rId99" Type="http://schemas.openxmlformats.org/officeDocument/2006/relationships/hyperlink" Target="VKTX.xlsx" TargetMode="External"/><Relationship Id="rId101" Type="http://schemas.openxmlformats.org/officeDocument/2006/relationships/hyperlink" Target="2196%20HK.xlsx" TargetMode="External"/><Relationship Id="rId122" Type="http://schemas.openxmlformats.org/officeDocument/2006/relationships/hyperlink" Target="EYPT.xlsx" TargetMode="External"/><Relationship Id="rId143" Type="http://schemas.openxmlformats.org/officeDocument/2006/relationships/hyperlink" Target="YMAB.xlsx" TargetMode="External"/><Relationship Id="rId148" Type="http://schemas.openxmlformats.org/officeDocument/2006/relationships/hyperlink" Target="ESLA.xlsx" TargetMode="External"/><Relationship Id="rId164" Type="http://schemas.openxmlformats.org/officeDocument/2006/relationships/hyperlink" Target="BHVN.xlsx" TargetMode="External"/><Relationship Id="rId169" Type="http://schemas.openxmlformats.org/officeDocument/2006/relationships/hyperlink" Target="ACLX.xlsx" TargetMode="External"/><Relationship Id="rId185" Type="http://schemas.openxmlformats.org/officeDocument/2006/relationships/hyperlink" Target="ANAB.xlsx" TargetMode="External"/><Relationship Id="rId4" Type="http://schemas.openxmlformats.org/officeDocument/2006/relationships/hyperlink" Target="ROG%20VX.xlsx" TargetMode="External"/><Relationship Id="rId9" Type="http://schemas.openxmlformats.org/officeDocument/2006/relationships/hyperlink" Target="CSL%20AU.xlsx" TargetMode="External"/><Relationship Id="rId180" Type="http://schemas.openxmlformats.org/officeDocument/2006/relationships/hyperlink" Target="VYGR.xlsx" TargetMode="External"/><Relationship Id="rId26" Type="http://schemas.openxmlformats.org/officeDocument/2006/relationships/hyperlink" Target="../../AppData/Roaming/OneDrive/Models%20Backup/BIOR.xlsx" TargetMode="External"/><Relationship Id="rId47" Type="http://schemas.openxmlformats.org/officeDocument/2006/relationships/hyperlink" Target="BAYN%20GY.xlsx" TargetMode="External"/><Relationship Id="rId68" Type="http://schemas.openxmlformats.org/officeDocument/2006/relationships/hyperlink" Target="IONS.xlsx" TargetMode="External"/><Relationship Id="rId89" Type="http://schemas.openxmlformats.org/officeDocument/2006/relationships/hyperlink" Target="DNLI.xlsx" TargetMode="External"/><Relationship Id="rId112" Type="http://schemas.openxmlformats.org/officeDocument/2006/relationships/hyperlink" Target="TRVI.xlsx" TargetMode="External"/><Relationship Id="rId133" Type="http://schemas.openxmlformats.org/officeDocument/2006/relationships/hyperlink" Target="NKTX.xlsx" TargetMode="External"/><Relationship Id="rId154" Type="http://schemas.openxmlformats.org/officeDocument/2006/relationships/hyperlink" Target="NAMS.xlsx" TargetMode="External"/><Relationship Id="rId175" Type="http://schemas.openxmlformats.org/officeDocument/2006/relationships/hyperlink" Target="GALT.xlsx" TargetMode="External"/><Relationship Id="rId16" Type="http://schemas.openxmlformats.org/officeDocument/2006/relationships/hyperlink" Target="REGN.xlsx" TargetMode="External"/><Relationship Id="rId37" Type="http://schemas.openxmlformats.org/officeDocument/2006/relationships/hyperlink" Target="MRNA.xlsx" TargetMode="External"/><Relationship Id="rId58" Type="http://schemas.openxmlformats.org/officeDocument/2006/relationships/hyperlink" Target="RPRX.xlsx" TargetMode="External"/><Relationship Id="rId79" Type="http://schemas.openxmlformats.org/officeDocument/2006/relationships/hyperlink" Target="REC.xlsx" TargetMode="External"/><Relationship Id="rId102" Type="http://schemas.openxmlformats.org/officeDocument/2006/relationships/hyperlink" Target="2196%20HK.xlsx" TargetMode="External"/><Relationship Id="rId123" Type="http://schemas.openxmlformats.org/officeDocument/2006/relationships/hyperlink" Target="LBPH.xlsx" TargetMode="External"/><Relationship Id="rId144" Type="http://schemas.openxmlformats.org/officeDocument/2006/relationships/hyperlink" Target="GOSS.xlsx" TargetMode="External"/><Relationship Id="rId90" Type="http://schemas.openxmlformats.org/officeDocument/2006/relationships/hyperlink" Target="LXRX.xlsx" TargetMode="External"/><Relationship Id="rId165" Type="http://schemas.openxmlformats.org/officeDocument/2006/relationships/hyperlink" Target="LNTH.xlsx" TargetMode="External"/><Relationship Id="rId186" Type="http://schemas.openxmlformats.org/officeDocument/2006/relationships/hyperlink" Target="KRYS.xlsx" TargetMode="External"/><Relationship Id="rId27" Type="http://schemas.openxmlformats.org/officeDocument/2006/relationships/hyperlink" Target="UTHR.xlsx" TargetMode="External"/><Relationship Id="rId48" Type="http://schemas.openxmlformats.org/officeDocument/2006/relationships/hyperlink" Target="207940%20Samsung%20Biologics.xlsx" TargetMode="External"/><Relationship Id="rId69" Type="http://schemas.openxmlformats.org/officeDocument/2006/relationships/hyperlink" Target="068270%20Celltrion.xlsx" TargetMode="External"/><Relationship Id="rId113" Type="http://schemas.openxmlformats.org/officeDocument/2006/relationships/hyperlink" Target="ACRV.xlsx" TargetMode="External"/><Relationship Id="rId134" Type="http://schemas.openxmlformats.org/officeDocument/2006/relationships/hyperlink" Target="REPL.xlsx" TargetMode="External"/><Relationship Id="rId80" Type="http://schemas.openxmlformats.org/officeDocument/2006/relationships/hyperlink" Target="4502%20Takeda.xlsx" TargetMode="External"/><Relationship Id="rId155" Type="http://schemas.openxmlformats.org/officeDocument/2006/relationships/hyperlink" Target="AMPH.xlsx" TargetMode="External"/><Relationship Id="rId176" Type="http://schemas.openxmlformats.org/officeDocument/2006/relationships/hyperlink" Target="JANX.xlsx" TargetMode="External"/><Relationship Id="rId17" Type="http://schemas.openxmlformats.org/officeDocument/2006/relationships/hyperlink" Target="4502%20Takeda.xlsx" TargetMode="External"/><Relationship Id="rId38" Type="http://schemas.openxmlformats.org/officeDocument/2006/relationships/hyperlink" Target="BNTX.xlsx" TargetMode="External"/><Relationship Id="rId59" Type="http://schemas.openxmlformats.org/officeDocument/2006/relationships/hyperlink" Target="ARGX.xlsx" TargetMode="External"/><Relationship Id="rId103" Type="http://schemas.openxmlformats.org/officeDocument/2006/relationships/hyperlink" Target="TEVA.xlsx" TargetMode="External"/><Relationship Id="rId124" Type="http://schemas.openxmlformats.org/officeDocument/2006/relationships/hyperlink" Target="RNA.xlsx" TargetMode="External"/><Relationship Id="rId70" Type="http://schemas.openxmlformats.org/officeDocument/2006/relationships/hyperlink" Target="SRPT.xlsx" TargetMode="External"/><Relationship Id="rId91" Type="http://schemas.openxmlformats.org/officeDocument/2006/relationships/hyperlink" Target="IOVA.xlsx" TargetMode="External"/><Relationship Id="rId145" Type="http://schemas.openxmlformats.org/officeDocument/2006/relationships/hyperlink" Target="CRVS.xlsx" TargetMode="External"/><Relationship Id="rId166" Type="http://schemas.openxmlformats.org/officeDocument/2006/relationships/hyperlink" Target="ESPR.xlsx" TargetMode="External"/><Relationship Id="rId187" Type="http://schemas.openxmlformats.org/officeDocument/2006/relationships/hyperlink" Target="CHRS.xlsx" TargetMode="External"/><Relationship Id="rId1" Type="http://schemas.openxmlformats.org/officeDocument/2006/relationships/hyperlink" Target="JNJ.xlsx" TargetMode="External"/><Relationship Id="rId28" Type="http://schemas.openxmlformats.org/officeDocument/2006/relationships/hyperlink" Target="APLS.xlsx" TargetMode="External"/><Relationship Id="rId49" Type="http://schemas.openxmlformats.org/officeDocument/2006/relationships/hyperlink" Target="4568%20JP%20Daiichi%20Sankyo.xlsx" TargetMode="External"/><Relationship Id="rId114" Type="http://schemas.openxmlformats.org/officeDocument/2006/relationships/hyperlink" Target="BPMC.xlsx" TargetMode="External"/><Relationship Id="rId60" Type="http://schemas.openxmlformats.org/officeDocument/2006/relationships/hyperlink" Target="JAZZ.xlsx" TargetMode="External"/><Relationship Id="rId81" Type="http://schemas.openxmlformats.org/officeDocument/2006/relationships/hyperlink" Target="CRSP.xlsx" TargetMode="External"/><Relationship Id="rId135" Type="http://schemas.openxmlformats.org/officeDocument/2006/relationships/hyperlink" Target="PRGO.xlsx" TargetMode="External"/><Relationship Id="rId156" Type="http://schemas.openxmlformats.org/officeDocument/2006/relationships/hyperlink" Target="NMRA.xlsx" TargetMode="External"/><Relationship Id="rId177" Type="http://schemas.openxmlformats.org/officeDocument/2006/relationships/hyperlink" Target="RZLT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edgar/browse/?CIK=1907884" TargetMode="External"/><Relationship Id="rId1" Type="http://schemas.openxmlformats.org/officeDocument/2006/relationships/hyperlink" Target="https://www.sec.gov/edgar/browse/?CIK=1920938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2269%20HK%20WuXi%20Biologics.xlsx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ZNP.xlsx" TargetMode="External"/><Relationship Id="rId1" Type="http://schemas.openxmlformats.org/officeDocument/2006/relationships/hyperlink" Target="SGEN.xlsx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hyperlink" Target="KRTX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2:AF457"/>
  <sheetViews>
    <sheetView tabSelected="1" zoomScale="130" zoomScaleNormal="130" workbookViewId="0">
      <pane xSplit="5" ySplit="3" topLeftCell="F4" activePane="bottomRight" state="frozen"/>
      <selection pane="topRight" activeCell="C1" sqref="C1"/>
      <selection pane="bottomLeft" activeCell="A4" sqref="A4"/>
      <selection pane="bottomRight" activeCell="M8" sqref="M8"/>
    </sheetView>
  </sheetViews>
  <sheetFormatPr defaultColWidth="9.1796875" defaultRowHeight="12.5" x14ac:dyDescent="0.25"/>
  <cols>
    <col min="1" max="3" width="2.453125" style="1" customWidth="1"/>
    <col min="4" max="4" width="4.1796875" style="1" bestFit="1" customWidth="1"/>
    <col min="5" max="5" width="18.81640625" style="1" customWidth="1"/>
    <col min="6" max="6" width="10.453125" style="1" bestFit="1" customWidth="1"/>
    <col min="7" max="7" width="12.1796875" style="3" customWidth="1"/>
    <col min="8" max="8" width="10.453125" style="3" bestFit="1" customWidth="1"/>
    <col min="9" max="10" width="9.1796875" style="3"/>
    <col min="11" max="11" width="8.453125" style="3" customWidth="1"/>
    <col min="12" max="12" width="7.453125" style="3" customWidth="1"/>
    <col min="13" max="13" width="10.453125" style="3" customWidth="1"/>
    <col min="14" max="18" width="9.1796875" style="3"/>
    <col min="19" max="30" width="7.453125" style="4" customWidth="1"/>
    <col min="31" max="16384" width="9.1796875" style="1"/>
  </cols>
  <sheetData>
    <row r="2" spans="1:32" x14ac:dyDescent="0.25">
      <c r="D2" s="1">
        <f ca="1">RANDBETWEEN(1,D242)</f>
        <v>8</v>
      </c>
      <c r="H2" s="6">
        <f>SUM(H4:H453)-H5-H13-H10-H17-H23-H27-H47-H55</f>
        <v>5115063.4372115079</v>
      </c>
      <c r="M2" s="9">
        <f>MIN(M4:M92)</f>
        <v>45530</v>
      </c>
      <c r="S2" s="60" t="s">
        <v>312</v>
      </c>
      <c r="T2" s="60"/>
      <c r="U2" s="60"/>
      <c r="V2" s="60"/>
      <c r="W2" s="60"/>
      <c r="X2" s="60"/>
      <c r="Y2" s="60" t="s">
        <v>311</v>
      </c>
      <c r="Z2" s="60"/>
      <c r="AA2" s="60"/>
      <c r="AB2" s="60"/>
      <c r="AC2" s="60"/>
      <c r="AD2" s="60"/>
    </row>
    <row r="3" spans="1:32" x14ac:dyDescent="0.25">
      <c r="B3" s="1" t="s">
        <v>1640</v>
      </c>
      <c r="C3" s="1" t="s">
        <v>1641</v>
      </c>
      <c r="E3" s="1" t="s">
        <v>1</v>
      </c>
      <c r="F3" s="1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300</v>
      </c>
      <c r="M3" s="3" t="s">
        <v>306</v>
      </c>
      <c r="N3" s="3" t="s">
        <v>313</v>
      </c>
      <c r="O3" s="3" t="s">
        <v>315</v>
      </c>
      <c r="P3" s="3" t="s">
        <v>316</v>
      </c>
      <c r="Q3" s="3" t="s">
        <v>317</v>
      </c>
      <c r="R3" s="3" t="s">
        <v>314</v>
      </c>
      <c r="S3" s="4">
        <v>2022</v>
      </c>
      <c r="T3" s="4">
        <v>2023</v>
      </c>
      <c r="U3" s="4">
        <v>2024</v>
      </c>
      <c r="V3" s="4">
        <v>2025</v>
      </c>
      <c r="W3" s="4">
        <v>2026</v>
      </c>
      <c r="X3" s="4">
        <v>2027</v>
      </c>
      <c r="Y3" s="4">
        <v>2022</v>
      </c>
      <c r="Z3" s="4">
        <v>2023</v>
      </c>
      <c r="AA3" s="4">
        <v>2024</v>
      </c>
      <c r="AB3" s="4">
        <v>2025</v>
      </c>
      <c r="AC3" s="4">
        <v>2026</v>
      </c>
      <c r="AD3" s="4">
        <v>2027</v>
      </c>
      <c r="AE3" s="1" t="s">
        <v>2</v>
      </c>
      <c r="AF3" s="1" t="s">
        <v>998</v>
      </c>
    </row>
    <row r="4" spans="1:32" x14ac:dyDescent="0.25">
      <c r="D4" s="1">
        <v>1</v>
      </c>
      <c r="E4" s="5" t="s">
        <v>19</v>
      </c>
      <c r="F4" s="1" t="s">
        <v>20</v>
      </c>
      <c r="G4" s="7">
        <v>786</v>
      </c>
      <c r="H4" s="6">
        <f>+G4*L4</f>
        <v>746162.13548399997</v>
      </c>
      <c r="I4" s="6">
        <f>+[1]Main!$J$5-[1]Main!$J$6</f>
        <v>-24401</v>
      </c>
      <c r="J4" s="6">
        <f t="shared" ref="J4:J19" si="0">H4-I4</f>
        <v>770563.13548399997</v>
      </c>
      <c r="K4" s="3" t="s">
        <v>1280</v>
      </c>
      <c r="L4" s="6">
        <f>+[1]Main!$J$3</f>
        <v>949.31569400000001</v>
      </c>
      <c r="M4" s="9">
        <v>45636</v>
      </c>
      <c r="N4" s="7"/>
      <c r="O4" s="10"/>
      <c r="P4" s="10"/>
      <c r="Q4" s="10"/>
      <c r="R4" s="10"/>
      <c r="S4" s="12"/>
      <c r="T4" s="12"/>
      <c r="U4" s="12"/>
      <c r="V4" s="12"/>
      <c r="W4" s="12"/>
      <c r="X4" s="12"/>
      <c r="Y4" s="11"/>
      <c r="Z4" s="11"/>
      <c r="AA4" s="11"/>
      <c r="AB4" s="11"/>
      <c r="AC4" s="11"/>
      <c r="AD4" s="11"/>
      <c r="AE4" s="1">
        <v>1876</v>
      </c>
    </row>
    <row r="5" spans="1:32" x14ac:dyDescent="0.25">
      <c r="A5"/>
      <c r="B5"/>
      <c r="C5"/>
      <c r="D5" s="1">
        <v>2</v>
      </c>
      <c r="E5" s="5" t="s">
        <v>25</v>
      </c>
      <c r="F5" s="1" t="s">
        <v>26</v>
      </c>
      <c r="G5" s="7">
        <v>105.86</v>
      </c>
      <c r="H5" s="6">
        <f>+L5*G5</f>
        <v>472241.46</v>
      </c>
      <c r="I5" s="6">
        <f>([2]Main!$J$5-[2]Main!$J$6)/DKK</f>
        <v>2576.3072126966131</v>
      </c>
      <c r="J5" s="6">
        <f t="shared" si="0"/>
        <v>469665.15278730344</v>
      </c>
      <c r="K5" s="3" t="s">
        <v>1280</v>
      </c>
      <c r="L5" s="6">
        <f>+[2]Main!$J$3</f>
        <v>4461</v>
      </c>
      <c r="M5" s="9">
        <v>45623</v>
      </c>
      <c r="N5" s="7">
        <f>+[2]Model!$DG$53</f>
        <v>383.59225058364768</v>
      </c>
      <c r="O5" s="10">
        <f>N5/G5-1</f>
        <v>2.623580678099827</v>
      </c>
      <c r="P5" s="10">
        <v>0</v>
      </c>
      <c r="Q5" s="10">
        <f>+[2]Model!$DG$50</f>
        <v>0.01</v>
      </c>
      <c r="R5" s="10">
        <f>+[2]Model!$DG$51</f>
        <v>0.08</v>
      </c>
      <c r="AE5" s="1">
        <v>1923</v>
      </c>
    </row>
    <row r="6" spans="1:32" x14ac:dyDescent="0.25">
      <c r="A6"/>
      <c r="B6"/>
      <c r="C6"/>
      <c r="D6" s="1">
        <f>+D5</f>
        <v>2</v>
      </c>
      <c r="E6" s="5" t="s">
        <v>25</v>
      </c>
      <c r="F6" t="s">
        <v>318</v>
      </c>
      <c r="G6" s="57">
        <v>743</v>
      </c>
      <c r="H6" s="6">
        <f>+G6*L6/DKK</f>
        <v>469678.75867932546</v>
      </c>
      <c r="I6" s="6">
        <f>([2]Main!$J$5-[2]Main!$J$6)/DKK</f>
        <v>2576.3072126966131</v>
      </c>
      <c r="J6" s="6">
        <f t="shared" si="0"/>
        <v>467102.45146662887</v>
      </c>
      <c r="K6" s="3" t="str">
        <f>+K5</f>
        <v>Q324</v>
      </c>
      <c r="L6" s="6">
        <f>+[2]Main!$J$3</f>
        <v>4461</v>
      </c>
      <c r="M6" s="9">
        <f>+M5</f>
        <v>45623</v>
      </c>
      <c r="AE6" s="1">
        <v>1923</v>
      </c>
    </row>
    <row r="7" spans="1:32" x14ac:dyDescent="0.25">
      <c r="D7" s="1">
        <f>+D6+1</f>
        <v>3</v>
      </c>
      <c r="E7" s="5" t="s">
        <v>14</v>
      </c>
      <c r="F7" s="1" t="s">
        <v>15</v>
      </c>
      <c r="G7" s="7">
        <v>155.61000000000001</v>
      </c>
      <c r="H7" s="6">
        <f>G7*[3]Main!$R$3</f>
        <v>374553.27</v>
      </c>
      <c r="I7" s="6">
        <f>+[3]Main!$R$5-[3]Main!$R$6</f>
        <v>-15454</v>
      </c>
      <c r="J7" s="6">
        <f>H7-I7</f>
        <v>390007.27</v>
      </c>
      <c r="K7" s="3" t="s">
        <v>1280</v>
      </c>
      <c r="L7" s="6">
        <f>+[3]Main!$R$3</f>
        <v>2407</v>
      </c>
      <c r="M7" s="9">
        <v>45637</v>
      </c>
      <c r="N7" s="9"/>
      <c r="O7" s="9"/>
      <c r="P7" s="9"/>
      <c r="Q7" s="9"/>
      <c r="R7" s="9"/>
    </row>
    <row r="8" spans="1:32" x14ac:dyDescent="0.25">
      <c r="A8"/>
      <c r="B8"/>
      <c r="C8"/>
      <c r="D8">
        <f>+D7+1</f>
        <v>4</v>
      </c>
      <c r="E8" s="5" t="s">
        <v>17</v>
      </c>
      <c r="F8" t="s">
        <v>18</v>
      </c>
      <c r="G8" s="55">
        <v>183</v>
      </c>
      <c r="H8" s="30">
        <f>+G8*L8</f>
        <v>324093</v>
      </c>
      <c r="I8" s="30">
        <f>+[4]Main!$K$5-[4]Main!$K$6</f>
        <v>-57205</v>
      </c>
      <c r="J8" s="30">
        <f>H8-I8</f>
        <v>381298</v>
      </c>
      <c r="K8" s="28" t="s">
        <v>1074</v>
      </c>
      <c r="L8" s="30">
        <f>+[4]Main!$K$3</f>
        <v>1771</v>
      </c>
      <c r="M8" s="38">
        <v>45585</v>
      </c>
      <c r="N8" s="9"/>
      <c r="O8" s="9"/>
      <c r="P8" s="9"/>
      <c r="Q8" s="9"/>
      <c r="R8" s="9"/>
    </row>
    <row r="9" spans="1:32" x14ac:dyDescent="0.25">
      <c r="A9"/>
      <c r="B9"/>
      <c r="C9"/>
      <c r="D9" s="1">
        <f>+D8+1</f>
        <v>5</v>
      </c>
      <c r="E9" s="5" t="s">
        <v>27</v>
      </c>
      <c r="F9" s="1" t="s">
        <v>28</v>
      </c>
      <c r="G9" s="7">
        <v>102.87</v>
      </c>
      <c r="H9" s="6">
        <f>+G9*L9</f>
        <v>260755.83392544001</v>
      </c>
      <c r="I9" s="6">
        <f>+[5]Main!$J$5-[5]Main!$J$6</f>
        <v>-26077</v>
      </c>
      <c r="J9" s="6">
        <f t="shared" si="0"/>
        <v>286832.83392543998</v>
      </c>
      <c r="K9" s="3" t="s">
        <v>1074</v>
      </c>
      <c r="L9" s="6">
        <f>+[5]Main!$J$3</f>
        <v>2534.8093119999999</v>
      </c>
      <c r="M9" s="9">
        <v>45628</v>
      </c>
      <c r="N9" s="7">
        <f>[5]Model!$EM$111</f>
        <v>92.212236164875733</v>
      </c>
      <c r="O9" s="10">
        <f>N9/G9-1</f>
        <v>-0.10360419787230746</v>
      </c>
      <c r="P9" s="10">
        <f>[5]Model!$EM$107</f>
        <v>0.01</v>
      </c>
      <c r="Q9" s="10">
        <f>[5]Model!$EM$108</f>
        <v>-0.01</v>
      </c>
      <c r="R9" s="10">
        <f>[5]Model!$EM$109</f>
        <v>7.0000000000000007E-2</v>
      </c>
    </row>
    <row r="10" spans="1:32" x14ac:dyDescent="0.25">
      <c r="A10"/>
      <c r="B10"/>
      <c r="C10"/>
      <c r="D10" s="1">
        <f>+D9+1</f>
        <v>6</v>
      </c>
      <c r="E10" s="5" t="s">
        <v>29</v>
      </c>
      <c r="F10" s="1" t="s">
        <v>30</v>
      </c>
      <c r="G10" s="7">
        <v>105.02</v>
      </c>
      <c r="H10" s="6">
        <f>+G10*L10</f>
        <v>214870.91999999998</v>
      </c>
      <c r="I10" s="6">
        <f>+[6]Main!$K$6-[6]Main!$K$7</f>
        <v>-18800</v>
      </c>
      <c r="J10" s="6">
        <f t="shared" ref="J10:J15" si="1">H10-I10</f>
        <v>233670.91999999998</v>
      </c>
      <c r="K10" s="3" t="s">
        <v>1074</v>
      </c>
      <c r="L10" s="6">
        <f>+[6]Main!$K$4</f>
        <v>2046</v>
      </c>
      <c r="M10" s="9">
        <v>45578</v>
      </c>
    </row>
    <row r="11" spans="1:32" x14ac:dyDescent="0.25">
      <c r="A11"/>
      <c r="B11"/>
      <c r="C11"/>
      <c r="D11" s="1">
        <f>+D10</f>
        <v>6</v>
      </c>
      <c r="E11" s="5" t="s">
        <v>29</v>
      </c>
      <c r="F11" t="s">
        <v>422</v>
      </c>
      <c r="G11" s="21">
        <v>100.4</v>
      </c>
      <c r="H11" s="6">
        <f>+G11*L11/CHF</f>
        <v>241668.70588235298</v>
      </c>
      <c r="I11" s="6">
        <f>+[6]Main!$K$6-[6]Main!$K$7</f>
        <v>-18800</v>
      </c>
      <c r="J11" s="6">
        <f t="shared" si="1"/>
        <v>260468.70588235298</v>
      </c>
      <c r="K11" s="3" t="s">
        <v>1074</v>
      </c>
      <c r="L11" s="6">
        <f>+[6]Main!$K$4</f>
        <v>2046</v>
      </c>
      <c r="M11" s="9">
        <f>+M10</f>
        <v>45578</v>
      </c>
    </row>
    <row r="12" spans="1:32" x14ac:dyDescent="0.25">
      <c r="A12"/>
      <c r="B12"/>
      <c r="C12"/>
      <c r="D12" s="1">
        <f>+D11+1</f>
        <v>7</v>
      </c>
      <c r="E12" s="5" t="s">
        <v>21</v>
      </c>
      <c r="F12" s="1" t="s">
        <v>22</v>
      </c>
      <c r="G12" s="21">
        <v>282.89999999999998</v>
      </c>
      <c r="H12" s="6">
        <f>+L12*G12</f>
        <v>226434.00869999998</v>
      </c>
      <c r="I12" s="6">
        <f>+[7]Main!$J$5-[7]Main!$J$6</f>
        <v>-18699</v>
      </c>
      <c r="J12" s="6">
        <f t="shared" si="1"/>
        <v>245133.00869999998</v>
      </c>
      <c r="K12" s="3" t="s">
        <v>1117</v>
      </c>
      <c r="L12" s="6">
        <f>+[7]Main!$J$3</f>
        <v>800.40300000000002</v>
      </c>
      <c r="M12" s="9">
        <v>45618</v>
      </c>
      <c r="N12" s="9"/>
      <c r="O12" s="9"/>
      <c r="P12" s="9"/>
      <c r="Q12" s="9"/>
      <c r="R12" s="9"/>
      <c r="AE12" s="1">
        <v>1896</v>
      </c>
    </row>
    <row r="13" spans="1:32" x14ac:dyDescent="0.25">
      <c r="A13"/>
      <c r="B13"/>
      <c r="C13"/>
      <c r="D13" s="1">
        <f>+D12+1</f>
        <v>8</v>
      </c>
      <c r="E13" s="5" t="s">
        <v>37</v>
      </c>
      <c r="F13" s="1" t="s">
        <v>38</v>
      </c>
      <c r="G13" s="7">
        <v>67.23</v>
      </c>
      <c r="H13" s="6">
        <f>+G13*L13*2</f>
        <v>209757.6</v>
      </c>
      <c r="I13" s="6">
        <f>+[8]Main!$K$5-[8]Main!$K$6</f>
        <v>-26324</v>
      </c>
      <c r="J13" s="6">
        <f>H13-I13</f>
        <v>236081.6</v>
      </c>
      <c r="K13" s="3" t="s">
        <v>1074</v>
      </c>
      <c r="L13" s="6">
        <f>+[8]Main!$K$3</f>
        <v>1560</v>
      </c>
      <c r="M13" s="9">
        <v>45608</v>
      </c>
    </row>
    <row r="14" spans="1:32" x14ac:dyDescent="0.25">
      <c r="A14"/>
      <c r="B14"/>
      <c r="C14"/>
      <c r="D14" s="1">
        <f>+D13</f>
        <v>8</v>
      </c>
      <c r="E14" s="5" t="s">
        <v>37</v>
      </c>
      <c r="F14" s="1" t="s">
        <v>417</v>
      </c>
      <c r="G14" s="16">
        <v>9900</v>
      </c>
      <c r="H14" s="6">
        <f>+G14*L14/100*GBP</f>
        <v>200772</v>
      </c>
      <c r="I14" s="6">
        <f>+[8]Main!$K$5-[8]Main!$K$6</f>
        <v>-26324</v>
      </c>
      <c r="J14" s="6">
        <f>H14-I14</f>
        <v>227096</v>
      </c>
      <c r="K14" s="3" t="str">
        <f>+K13</f>
        <v>Q224</v>
      </c>
      <c r="L14" s="6">
        <f>+[8]Main!$K$3</f>
        <v>1560</v>
      </c>
      <c r="M14" s="9">
        <v>45608</v>
      </c>
    </row>
    <row r="15" spans="1:32" x14ac:dyDescent="0.25">
      <c r="A15"/>
      <c r="B15"/>
      <c r="C15"/>
      <c r="D15" s="1">
        <f>+D14+1</f>
        <v>9</v>
      </c>
      <c r="E15" s="40" t="s">
        <v>33</v>
      </c>
      <c r="F15" s="1" t="s">
        <v>34</v>
      </c>
      <c r="G15" s="7">
        <v>220</v>
      </c>
      <c r="H15" s="6">
        <f>+G15*L15</f>
        <v>118580</v>
      </c>
      <c r="I15" s="6">
        <f>[9]Main!$J$5-[9]Main!$J$6</f>
        <v>-53344</v>
      </c>
      <c r="J15" s="6">
        <f t="shared" si="1"/>
        <v>171924</v>
      </c>
      <c r="K15" s="3" t="s">
        <v>1074</v>
      </c>
      <c r="L15" s="6">
        <f>+[10]Main!$J$3</f>
        <v>539</v>
      </c>
      <c r="M15" s="9">
        <v>45581</v>
      </c>
      <c r="AE15" s="1">
        <v>1980</v>
      </c>
    </row>
    <row r="16" spans="1:32" x14ac:dyDescent="0.25">
      <c r="A16"/>
      <c r="B16"/>
      <c r="C16"/>
      <c r="D16" s="1">
        <f>+D15+1</f>
        <v>10</v>
      </c>
      <c r="E16" s="5" t="s">
        <v>23</v>
      </c>
      <c r="F16" s="1" t="s">
        <v>24</v>
      </c>
      <c r="G16" s="7">
        <v>25.79</v>
      </c>
      <c r="H16" s="6">
        <f>+L16*G16</f>
        <v>146144.06404999999</v>
      </c>
      <c r="I16" s="6">
        <f>+[11]Main!$K$5-[11]Main!$K$6</f>
        <v>-51202</v>
      </c>
      <c r="J16" s="6">
        <f>H16-I16</f>
        <v>197346.06404999999</v>
      </c>
      <c r="K16" s="3" t="s">
        <v>1074</v>
      </c>
      <c r="L16" s="6">
        <f>+[11]Main!$K$3</f>
        <v>5666.6949999999997</v>
      </c>
      <c r="M16" s="9">
        <v>45618</v>
      </c>
      <c r="N16" s="9"/>
      <c r="O16" s="9"/>
      <c r="P16" s="9"/>
      <c r="Q16" s="9"/>
      <c r="R16" s="9"/>
    </row>
    <row r="17" spans="1:31" x14ac:dyDescent="0.25">
      <c r="A17"/>
      <c r="B17"/>
      <c r="C17"/>
      <c r="D17" s="1">
        <f>+D16+1</f>
        <v>11</v>
      </c>
      <c r="E17" s="5" t="s">
        <v>35</v>
      </c>
      <c r="F17" s="1" t="s">
        <v>1116</v>
      </c>
      <c r="G17" s="15">
        <v>91.82</v>
      </c>
      <c r="H17" s="6">
        <f>G17*[12]Main!$K$3*EUR</f>
        <v>127502.17020000001</v>
      </c>
      <c r="I17" s="6">
        <f>([13]Main!$K$5-[13]Main!$K$6)*EUR</f>
        <v>-12746.130000000001</v>
      </c>
      <c r="J17" s="6">
        <f>H17-I17</f>
        <v>140248.3002</v>
      </c>
      <c r="K17" s="3" t="s">
        <v>1074</v>
      </c>
      <c r="L17" s="6">
        <f>+[12]Main!$K$3</f>
        <v>1251</v>
      </c>
      <c r="M17" s="9">
        <v>45530</v>
      </c>
    </row>
    <row r="18" spans="1:31" x14ac:dyDescent="0.25">
      <c r="A18"/>
      <c r="B18"/>
      <c r="C18"/>
      <c r="D18">
        <f>+D17</f>
        <v>11</v>
      </c>
      <c r="E18" s="5" t="s">
        <v>35</v>
      </c>
      <c r="F18" t="s">
        <v>36</v>
      </c>
      <c r="G18" s="7">
        <v>48.5</v>
      </c>
      <c r="H18" s="6">
        <f>+G18*L18*2</f>
        <v>121347</v>
      </c>
      <c r="I18" s="6">
        <f>([13]Main!$K$5-[13]Main!$K$6)*EUR</f>
        <v>-12746.130000000001</v>
      </c>
      <c r="J18" s="6">
        <f>H18-I18</f>
        <v>134093.13</v>
      </c>
      <c r="K18" s="3" t="str">
        <f>+K17</f>
        <v>Q224</v>
      </c>
      <c r="L18" s="6">
        <f>+L17</f>
        <v>1251</v>
      </c>
      <c r="M18" s="9">
        <f>+M17</f>
        <v>45530</v>
      </c>
    </row>
    <row r="19" spans="1:31" x14ac:dyDescent="0.25">
      <c r="A19"/>
      <c r="B19"/>
      <c r="C19"/>
      <c r="D19" s="1">
        <f>+D18+1</f>
        <v>12</v>
      </c>
      <c r="E19" s="5" t="s">
        <v>31</v>
      </c>
      <c r="F19" s="1" t="s">
        <v>32</v>
      </c>
      <c r="G19" s="3">
        <v>59.22</v>
      </c>
      <c r="H19" s="6">
        <f>+G19*L19</f>
        <v>120062.34244116</v>
      </c>
      <c r="I19" s="6">
        <f>+[14]Main!$K$5-[14]Main!$K$6</f>
        <v>-45379</v>
      </c>
      <c r="J19" s="6">
        <f t="shared" si="0"/>
        <v>165441.34244116</v>
      </c>
      <c r="K19" s="3" t="s">
        <v>1074</v>
      </c>
      <c r="L19" s="6">
        <f>+[14]Main!$K$3</f>
        <v>2027.395178</v>
      </c>
      <c r="M19" s="9">
        <v>45578</v>
      </c>
    </row>
    <row r="20" spans="1:31" x14ac:dyDescent="0.25">
      <c r="A20"/>
      <c r="B20"/>
      <c r="C20"/>
      <c r="D20" s="1">
        <f>+D25+1</f>
        <v>14</v>
      </c>
      <c r="E20" s="5" t="s">
        <v>45</v>
      </c>
      <c r="F20" s="1" t="s">
        <v>46</v>
      </c>
      <c r="G20" s="7">
        <v>92.59</v>
      </c>
      <c r="H20" s="6">
        <f>+G20*L20</f>
        <v>115273.81677979001</v>
      </c>
      <c r="I20" s="6">
        <f>+[15]Main!$J$5-[15]Main!$J$6</f>
        <v>-20578</v>
      </c>
      <c r="J20" s="6">
        <f t="shared" ref="J20:J26" si="2">H20-I20</f>
        <v>135851.81677979001</v>
      </c>
      <c r="K20" s="3" t="s">
        <v>1074</v>
      </c>
      <c r="L20" s="6">
        <f>+[15]Main!$J$3</f>
        <v>1244.9920810000001</v>
      </c>
      <c r="M20" s="9">
        <v>45593</v>
      </c>
    </row>
    <row r="21" spans="1:31" x14ac:dyDescent="0.25">
      <c r="A21"/>
      <c r="B21"/>
      <c r="C21"/>
      <c r="D21" s="1">
        <f>+D20+1</f>
        <v>15</v>
      </c>
      <c r="E21" s="5" t="s">
        <v>47</v>
      </c>
      <c r="F21" s="1" t="s">
        <v>48</v>
      </c>
      <c r="G21" s="7">
        <v>464</v>
      </c>
      <c r="H21" s="6">
        <f>+G21*[16]Main!$M$3</f>
        <v>119759.42219199998</v>
      </c>
      <c r="I21" s="6">
        <f>+[16]Main!$M$5-[16]Main!$M$6</f>
        <v>10188.6</v>
      </c>
      <c r="J21" s="6">
        <f t="shared" si="2"/>
        <v>109570.82219199998</v>
      </c>
      <c r="K21" s="3" t="s">
        <v>1074</v>
      </c>
      <c r="L21" s="6">
        <f>+[16]Main!$M$3</f>
        <v>258.10220299999997</v>
      </c>
      <c r="M21" s="9">
        <v>45540</v>
      </c>
    </row>
    <row r="22" spans="1:31" x14ac:dyDescent="0.25">
      <c r="A22"/>
      <c r="B22"/>
      <c r="C22"/>
      <c r="D22" s="1">
        <f>+D21+1</f>
        <v>16</v>
      </c>
      <c r="E22" s="5" t="s">
        <v>44</v>
      </c>
      <c r="F22" s="1" t="s">
        <v>421</v>
      </c>
      <c r="G22" s="58">
        <v>307</v>
      </c>
      <c r="H22" s="6">
        <f>+G22*L22*AUD</f>
        <v>99800.645456829996</v>
      </c>
      <c r="I22" s="6">
        <f>[17]Main!$J$5-[17]Main!$J$6</f>
        <v>-10363</v>
      </c>
      <c r="J22" s="6">
        <f t="shared" si="2"/>
        <v>110163.64545683</v>
      </c>
      <c r="K22" s="3" t="s">
        <v>1074</v>
      </c>
      <c r="L22" s="6">
        <f>+[17]Main!$J$3</f>
        <v>485.19930699999998</v>
      </c>
      <c r="M22" s="9">
        <v>45535</v>
      </c>
    </row>
    <row r="23" spans="1:31" x14ac:dyDescent="0.25">
      <c r="A23"/>
      <c r="B23"/>
      <c r="C23"/>
      <c r="D23" s="1">
        <f>+D22+1</f>
        <v>17</v>
      </c>
      <c r="E23" s="5" t="s">
        <v>39</v>
      </c>
      <c r="F23" s="1" t="s">
        <v>40</v>
      </c>
      <c r="G23" s="7">
        <v>34.380000000000003</v>
      </c>
      <c r="H23" s="6">
        <f>+G23*L23/2</f>
        <v>70118.010000000009</v>
      </c>
      <c r="I23" s="6">
        <f>([18]Main!$J$6-[18]Main!$J$7)*GBP</f>
        <v>-16541.2</v>
      </c>
      <c r="J23" s="6">
        <f t="shared" si="2"/>
        <v>86659.21</v>
      </c>
      <c r="K23" s="3" t="s">
        <v>1074</v>
      </c>
      <c r="L23" s="6">
        <f>+[18]Main!$J$4</f>
        <v>4079</v>
      </c>
      <c r="M23" s="9">
        <v>45532</v>
      </c>
    </row>
    <row r="24" spans="1:31" x14ac:dyDescent="0.25">
      <c r="A24"/>
      <c r="B24"/>
      <c r="C24"/>
      <c r="D24" s="1">
        <f>+D23</f>
        <v>17</v>
      </c>
      <c r="E24" s="5" t="s">
        <v>39</v>
      </c>
      <c r="F24" s="1" t="s">
        <v>41</v>
      </c>
      <c r="G24" s="16">
        <v>1598</v>
      </c>
      <c r="H24" s="6">
        <f>+G24*L24/100*GBP</f>
        <v>84737.145999999993</v>
      </c>
      <c r="I24" s="6">
        <f>([18]Main!$J$6-[18]Main!$J$7)*GBP</f>
        <v>-16541.2</v>
      </c>
      <c r="J24" s="6">
        <f t="shared" si="2"/>
        <v>101278.34599999999</v>
      </c>
      <c r="K24" s="3" t="s">
        <v>1074</v>
      </c>
      <c r="L24" s="6">
        <f>+L23</f>
        <v>4079</v>
      </c>
      <c r="M24" s="9">
        <f>+M23</f>
        <v>45532</v>
      </c>
    </row>
    <row r="25" spans="1:31" x14ac:dyDescent="0.25">
      <c r="A25"/>
      <c r="B25"/>
      <c r="C25"/>
      <c r="D25" s="1">
        <f>+D19+1</f>
        <v>13</v>
      </c>
      <c r="E25" s="5" t="s">
        <v>51</v>
      </c>
      <c r="F25" s="1" t="s">
        <v>52</v>
      </c>
      <c r="G25" s="7">
        <v>756</v>
      </c>
      <c r="H25" s="6">
        <f>+G25*L25</f>
        <v>87242.400000000009</v>
      </c>
      <c r="I25" s="6">
        <f>+[19]Main!$J$5-[19]Main!$J$6</f>
        <v>15547</v>
      </c>
      <c r="J25" s="6">
        <f t="shared" si="2"/>
        <v>71695.400000000009</v>
      </c>
      <c r="K25" s="3" t="s">
        <v>1074</v>
      </c>
      <c r="L25" s="6">
        <f>+[19]Main!$J$3</f>
        <v>115.4</v>
      </c>
      <c r="M25" s="9">
        <v>45530</v>
      </c>
      <c r="AE25" s="1">
        <v>1988</v>
      </c>
    </row>
    <row r="26" spans="1:31" x14ac:dyDescent="0.25">
      <c r="A26"/>
      <c r="B26"/>
      <c r="C26"/>
      <c r="D26" s="1">
        <f>+D24+1</f>
        <v>18</v>
      </c>
      <c r="E26" s="5" t="s">
        <v>42</v>
      </c>
      <c r="F26" s="1" t="s">
        <v>43</v>
      </c>
      <c r="G26" s="15">
        <v>171.8</v>
      </c>
      <c r="H26" s="6">
        <f>+G26*L26</f>
        <v>74733</v>
      </c>
      <c r="I26" s="6">
        <f>([20]Main!$J$5-[20]Main!$J$6)*EUR</f>
        <v>-8824.5</v>
      </c>
      <c r="J26" s="6">
        <f t="shared" si="2"/>
        <v>83557.5</v>
      </c>
      <c r="K26" s="3" t="s">
        <v>1074</v>
      </c>
      <c r="L26" s="3">
        <v>435</v>
      </c>
      <c r="M26" s="9">
        <v>45532</v>
      </c>
    </row>
    <row r="27" spans="1:31" x14ac:dyDescent="0.25">
      <c r="A27"/>
      <c r="B27"/>
      <c r="C27"/>
      <c r="D27" s="1">
        <f>+D26+1</f>
        <v>19</v>
      </c>
      <c r="E27" s="5" t="s">
        <v>61</v>
      </c>
      <c r="F27" s="1" t="s">
        <v>62</v>
      </c>
      <c r="G27" s="3">
        <v>13.59</v>
      </c>
      <c r="H27" s="6">
        <f>+G27*2*L27</f>
        <v>42645.42</v>
      </c>
      <c r="I27" s="6">
        <f>([21]Main!$K$6-[21]Main!$K$7)/JPY</f>
        <v>-28167.297762478487</v>
      </c>
      <c r="J27" s="6">
        <f t="shared" ref="J27:J33" si="3">+H27-I27</f>
        <v>70812.717762478482</v>
      </c>
      <c r="K27" s="3" t="s">
        <v>1074</v>
      </c>
      <c r="L27" s="6">
        <f>+[21]Main!$K$4</f>
        <v>1569</v>
      </c>
      <c r="M27" s="9">
        <v>45535</v>
      </c>
    </row>
    <row r="28" spans="1:31" x14ac:dyDescent="0.25">
      <c r="A28"/>
      <c r="B28"/>
      <c r="C28"/>
      <c r="D28" s="1">
        <f>+D27</f>
        <v>19</v>
      </c>
      <c r="E28" s="5" t="s">
        <v>61</v>
      </c>
      <c r="F28" s="1" t="s">
        <v>335</v>
      </c>
      <c r="G28" s="17">
        <v>4333</v>
      </c>
      <c r="H28" s="6">
        <f>+G28*L28/JPY</f>
        <v>46805.349397590362</v>
      </c>
      <c r="I28" s="6">
        <f>([21]Main!$K$6-[21]Main!$K$7)/JPY</f>
        <v>-28167.297762478487</v>
      </c>
      <c r="J28" s="6">
        <f t="shared" si="3"/>
        <v>74972.647160068853</v>
      </c>
      <c r="K28" s="3" t="s">
        <v>1074</v>
      </c>
      <c r="L28" s="6">
        <f>+[21]Main!$K$4</f>
        <v>1569</v>
      </c>
      <c r="M28" s="9">
        <v>45535</v>
      </c>
    </row>
    <row r="29" spans="1:31" x14ac:dyDescent="0.25">
      <c r="D29" s="1">
        <f t="shared" ref="D29:D55" si="4">+D28+1</f>
        <v>20</v>
      </c>
      <c r="E29" s="5" t="s">
        <v>83</v>
      </c>
      <c r="F29" s="1" t="s">
        <v>84</v>
      </c>
      <c r="G29" s="17">
        <v>6108</v>
      </c>
      <c r="H29" s="6">
        <f>+G29*L29/JPY</f>
        <v>80502.0876194148</v>
      </c>
      <c r="I29" s="6">
        <f>([22]Main!$M$5-[22]Main!$M$6)*1000/JPY</f>
        <v>6914.7607573149744</v>
      </c>
      <c r="J29" s="6">
        <f t="shared" si="3"/>
        <v>73587.326862099828</v>
      </c>
      <c r="K29" s="3" t="s">
        <v>1074</v>
      </c>
      <c r="L29" s="6">
        <f>+[22]Main!$M$3</f>
        <v>1914.36284</v>
      </c>
      <c r="M29" s="9">
        <v>45535</v>
      </c>
    </row>
    <row r="30" spans="1:31" x14ac:dyDescent="0.25">
      <c r="A30"/>
      <c r="B30"/>
      <c r="C30"/>
      <c r="D30" s="1">
        <f t="shared" si="4"/>
        <v>21</v>
      </c>
      <c r="E30" s="14" t="s">
        <v>55</v>
      </c>
      <c r="F30" s="1" t="s">
        <v>56</v>
      </c>
      <c r="G30" s="17">
        <v>6936</v>
      </c>
      <c r="H30" s="6">
        <f>+G30*L30/JPY</f>
        <v>78571.038418120486</v>
      </c>
      <c r="I30" s="6">
        <f>([23]Main!$J$5-[23]Main!$J$6)/JPY</f>
        <v>5615.545611015491</v>
      </c>
      <c r="J30" s="6">
        <f>+H30-I30</f>
        <v>72955.492807104994</v>
      </c>
      <c r="K30" s="3" t="s">
        <v>1074</v>
      </c>
      <c r="L30" s="6">
        <f>+[23]Main!$J$3</f>
        <v>1645.3926369999999</v>
      </c>
      <c r="M30" s="9">
        <v>45537</v>
      </c>
      <c r="AE30" s="1">
        <v>1925</v>
      </c>
    </row>
    <row r="31" spans="1:31" x14ac:dyDescent="0.25">
      <c r="A31"/>
      <c r="B31"/>
      <c r="C31"/>
      <c r="D31" s="1">
        <f t="shared" si="4"/>
        <v>22</v>
      </c>
      <c r="E31" s="5" t="s">
        <v>255</v>
      </c>
      <c r="F31" t="s">
        <v>256</v>
      </c>
      <c r="G31" s="15">
        <v>26</v>
      </c>
      <c r="H31" s="6">
        <f>+G31*L31*EUR</f>
        <v>28352.641200000002</v>
      </c>
      <c r="I31" s="6">
        <f>([24]Main!$J$5-[24]Main!$J$6)</f>
        <v>-36760</v>
      </c>
      <c r="J31" s="6">
        <f t="shared" si="3"/>
        <v>65112.641199999998</v>
      </c>
      <c r="K31" s="3" t="s">
        <v>1074</v>
      </c>
      <c r="L31" s="6">
        <f>+[24]Main!$J$3</f>
        <v>982.42</v>
      </c>
      <c r="M31" s="9">
        <v>45534</v>
      </c>
    </row>
    <row r="32" spans="1:31" x14ac:dyDescent="0.25">
      <c r="A32"/>
      <c r="B32"/>
      <c r="C32"/>
      <c r="D32" s="1">
        <f t="shared" si="4"/>
        <v>23</v>
      </c>
      <c r="E32" s="5" t="s">
        <v>265</v>
      </c>
      <c r="F32" t="s">
        <v>266</v>
      </c>
      <c r="G32" s="18">
        <v>1815</v>
      </c>
      <c r="H32" s="6" cm="1">
        <f t="array" ref="H32">+G32*L32/INR</f>
        <v>52746.032707450031</v>
      </c>
      <c r="I32" s="6">
        <f>([25]Main!$J$5-[25]Main!$J$6)/INR</f>
        <v>361.34100545124147</v>
      </c>
      <c r="J32" s="6">
        <f>H32-I32</f>
        <v>52384.691701998789</v>
      </c>
      <c r="K32" s="3" t="s">
        <v>1074</v>
      </c>
      <c r="L32" s="6">
        <f>+[25]Main!$J$3</f>
        <v>2399</v>
      </c>
      <c r="M32" s="9">
        <v>45537</v>
      </c>
      <c r="AE32" s="1">
        <v>1983</v>
      </c>
    </row>
    <row r="33" spans="1:32" x14ac:dyDescent="0.25">
      <c r="A33"/>
      <c r="B33"/>
      <c r="C33"/>
      <c r="D33" s="1">
        <f t="shared" si="4"/>
        <v>24</v>
      </c>
      <c r="E33" s="5" t="s">
        <v>257</v>
      </c>
      <c r="F33" t="s">
        <v>258</v>
      </c>
      <c r="G33" s="20">
        <v>980000</v>
      </c>
      <c r="H33" s="6">
        <f>+G33*L33/KRW</f>
        <v>48674.47313328681</v>
      </c>
      <c r="I33" s="6">
        <f>([26]Main!$M$5-[26]Main!$M$6)/KRW*1000</f>
        <v>439.56163852058603</v>
      </c>
      <c r="J33" s="6">
        <f t="shared" si="3"/>
        <v>48234.911494766224</v>
      </c>
      <c r="K33" s="3" t="s">
        <v>1044</v>
      </c>
      <c r="L33" s="6">
        <f>+[26]Main!$M$3</f>
        <v>71.174000000000007</v>
      </c>
      <c r="M33" s="9">
        <v>45536</v>
      </c>
    </row>
    <row r="34" spans="1:32" x14ac:dyDescent="0.25">
      <c r="D34" s="1">
        <f t="shared" si="4"/>
        <v>25</v>
      </c>
      <c r="E34" s="5" t="s">
        <v>271</v>
      </c>
      <c r="F34" t="s">
        <v>271</v>
      </c>
      <c r="G34" s="15">
        <v>164.2</v>
      </c>
      <c r="H34" s="6">
        <f>+G34*L34*EUR</f>
        <v>34629.78</v>
      </c>
      <c r="I34" s="6">
        <f>([27]Main!$J$5-[27]Main!$J$6)*EUR</f>
        <v>-2901.5400000000004</v>
      </c>
      <c r="J34" s="6">
        <f>H34-I34</f>
        <v>37531.32</v>
      </c>
      <c r="K34" s="3" t="s">
        <v>1074</v>
      </c>
      <c r="L34" s="6">
        <f>+[27]Main!$J$3</f>
        <v>190</v>
      </c>
      <c r="M34" s="9">
        <v>45537</v>
      </c>
    </row>
    <row r="35" spans="1:32" x14ac:dyDescent="0.25">
      <c r="D35" s="1">
        <f t="shared" si="4"/>
        <v>26</v>
      </c>
      <c r="E35" s="5" t="s">
        <v>95</v>
      </c>
      <c r="F35" s="1" t="s">
        <v>96</v>
      </c>
      <c r="G35" s="3">
        <v>17.97</v>
      </c>
      <c r="H35" s="6">
        <f>+G35*L35</f>
        <v>20360.009999999998</v>
      </c>
      <c r="I35" s="6">
        <f>+[28]Sheet1!$M$5-[28]Sheet1!$M$6</f>
        <v>-16382</v>
      </c>
      <c r="J35" s="6">
        <f>+H35-I35</f>
        <v>36742.009999999995</v>
      </c>
      <c r="K35" s="3" t="s">
        <v>1074</v>
      </c>
      <c r="L35" s="6">
        <f>+[28]Sheet1!$M$3</f>
        <v>1133</v>
      </c>
      <c r="M35" s="9">
        <v>45542</v>
      </c>
    </row>
    <row r="36" spans="1:32" x14ac:dyDescent="0.25">
      <c r="A36"/>
      <c r="B36"/>
      <c r="C36"/>
      <c r="D36" s="1">
        <f t="shared" si="4"/>
        <v>27</v>
      </c>
      <c r="E36" s="5" t="s">
        <v>57</v>
      </c>
      <c r="F36" s="1" t="s">
        <v>58</v>
      </c>
      <c r="G36" s="7">
        <v>252</v>
      </c>
      <c r="H36" s="6">
        <f>+G36*L36</f>
        <v>32351.889276000002</v>
      </c>
      <c r="I36" s="6">
        <f>+[29]Main!$L$5-[29]Main!$L$6</f>
        <v>246.8090000000002</v>
      </c>
      <c r="J36" s="6">
        <f>H36-I36</f>
        <v>32105.080276000001</v>
      </c>
      <c r="K36" s="3" t="s">
        <v>1074</v>
      </c>
      <c r="L36" s="6">
        <f>+[29]Main!$L$3</f>
        <v>128.38051300000001</v>
      </c>
      <c r="M36" s="9">
        <v>45537</v>
      </c>
      <c r="AE36" s="1">
        <v>2002</v>
      </c>
      <c r="AF36" s="1" t="s">
        <v>609</v>
      </c>
    </row>
    <row r="37" spans="1:32" x14ac:dyDescent="0.25">
      <c r="D37" s="1">
        <f t="shared" si="4"/>
        <v>28</v>
      </c>
      <c r="E37" s="5" t="s">
        <v>75</v>
      </c>
      <c r="F37" s="1" t="s">
        <v>76</v>
      </c>
      <c r="G37" s="7">
        <v>12.08</v>
      </c>
      <c r="H37" s="6">
        <f>G37*[30]Main!$M$3</f>
        <v>14417.72719304</v>
      </c>
      <c r="I37" s="6">
        <f>[30]Main!$M$5-[30]Main!$M$6</f>
        <v>-16182</v>
      </c>
      <c r="J37" s="6">
        <f>H37-I37</f>
        <v>30599.727193040002</v>
      </c>
      <c r="K37" s="3" t="s">
        <v>1074</v>
      </c>
      <c r="L37" s="6">
        <f>+[30]Main!$M$3</f>
        <v>1193.5204630000001</v>
      </c>
      <c r="M37" s="9">
        <v>45537</v>
      </c>
      <c r="AE37" s="1">
        <v>1961</v>
      </c>
    </row>
    <row r="38" spans="1:32" x14ac:dyDescent="0.25">
      <c r="A38"/>
      <c r="B38"/>
      <c r="C38"/>
      <c r="D38" s="1">
        <f t="shared" si="4"/>
        <v>29</v>
      </c>
      <c r="E38" s="5" t="s">
        <v>65</v>
      </c>
      <c r="F38" s="1" t="s">
        <v>66</v>
      </c>
      <c r="G38" s="3">
        <v>37.94</v>
      </c>
      <c r="H38" s="6">
        <f>+G38*L38</f>
        <v>19349.399999999998</v>
      </c>
      <c r="I38" s="6">
        <f>+[31]Main!$K$5-[31]Main!$K$6</f>
        <v>-10809</v>
      </c>
      <c r="J38" s="6">
        <f>+H38-I38</f>
        <v>30158.399999999998</v>
      </c>
      <c r="K38" s="3" t="s">
        <v>1074</v>
      </c>
      <c r="L38" s="6">
        <f>+[31]Main!$K$3</f>
        <v>510</v>
      </c>
      <c r="M38" s="9">
        <v>45536</v>
      </c>
      <c r="AE38" s="1">
        <v>1931</v>
      </c>
    </row>
    <row r="39" spans="1:32" x14ac:dyDescent="0.25">
      <c r="A39"/>
      <c r="B39"/>
      <c r="C39"/>
      <c r="D39" s="1">
        <f t="shared" si="4"/>
        <v>30</v>
      </c>
      <c r="E39" s="5" t="s">
        <v>263</v>
      </c>
      <c r="F39" t="s">
        <v>264</v>
      </c>
      <c r="G39" s="7">
        <v>204.76</v>
      </c>
      <c r="H39" s="6">
        <f>+G39*L39</f>
        <v>29690.199999999997</v>
      </c>
      <c r="I39" s="6">
        <f>+[32]Main!$J$5-[32]Main!$J$6</f>
        <v>1117</v>
      </c>
      <c r="J39" s="6">
        <f>+H39-I39</f>
        <v>28573.199999999997</v>
      </c>
      <c r="K39" s="3" t="s">
        <v>1074</v>
      </c>
      <c r="L39" s="6">
        <f>+[32]Main!$J$3</f>
        <v>145</v>
      </c>
      <c r="M39" s="9">
        <v>45536</v>
      </c>
      <c r="AE39" s="1">
        <v>1978</v>
      </c>
      <c r="AF39" s="1" t="s">
        <v>609</v>
      </c>
    </row>
    <row r="40" spans="1:32" x14ac:dyDescent="0.25">
      <c r="A40"/>
      <c r="B40"/>
      <c r="C40"/>
      <c r="D40" s="1">
        <f t="shared" si="4"/>
        <v>31</v>
      </c>
      <c r="E40" s="5" t="s">
        <v>63</v>
      </c>
      <c r="F40" s="1" t="s">
        <v>64</v>
      </c>
      <c r="G40" s="7">
        <v>517.32000000000005</v>
      </c>
      <c r="H40" s="6">
        <f>+G40*L40</f>
        <v>30728.920258440001</v>
      </c>
      <c r="I40" s="6">
        <f>+[33]Main!$K$5-[33]Main!$K$6</f>
        <v>3102.3469999999998</v>
      </c>
      <c r="J40" s="6">
        <f>H40-I40</f>
        <v>27626.573258440003</v>
      </c>
      <c r="K40" s="3" t="s">
        <v>1074</v>
      </c>
      <c r="L40" s="6">
        <f>+[33]Main!$K$3</f>
        <v>59.400216999999998</v>
      </c>
      <c r="M40" s="9">
        <v>45537</v>
      </c>
      <c r="AE40">
        <v>2008</v>
      </c>
    </row>
    <row r="41" spans="1:32" x14ac:dyDescent="0.25">
      <c r="D41" s="1">
        <f t="shared" si="4"/>
        <v>32</v>
      </c>
      <c r="E41" s="5" t="s">
        <v>81</v>
      </c>
      <c r="F41" s="1" t="s">
        <v>82</v>
      </c>
      <c r="G41" s="17">
        <v>1792</v>
      </c>
      <c r="H41" s="6">
        <f>+G41*L41/JPY</f>
        <v>22486.213397590363</v>
      </c>
      <c r="I41" s="6">
        <f>([34]Main!$K$5-[34]Main!$K$6)/JPY</f>
        <v>-5033.4526678141137</v>
      </c>
      <c r="J41" s="6">
        <f>+H41-I41</f>
        <v>27519.666065404475</v>
      </c>
      <c r="K41" s="3" t="s">
        <v>1074</v>
      </c>
      <c r="L41" s="6">
        <f>+[34]Main!$K$3</f>
        <v>1822.6130000000001</v>
      </c>
      <c r="M41" s="9">
        <v>45537</v>
      </c>
      <c r="AE41">
        <v>1940</v>
      </c>
    </row>
    <row r="42" spans="1:32" x14ac:dyDescent="0.25">
      <c r="A42"/>
      <c r="B42"/>
      <c r="C42"/>
      <c r="D42" s="1">
        <f t="shared" si="4"/>
        <v>33</v>
      </c>
      <c r="E42" s="5" t="s">
        <v>67</v>
      </c>
      <c r="F42" s="1" t="s">
        <v>68</v>
      </c>
      <c r="G42" s="17">
        <v>8383</v>
      </c>
      <c r="H42" s="6">
        <f>+G42*L42/JPY</f>
        <v>31323.027557142854</v>
      </c>
      <c r="I42" s="6">
        <f>([35]Main!$L$5-[35]Main!$L$6)/JPY</f>
        <v>6437.1703958691915</v>
      </c>
      <c r="J42" s="6">
        <f>H42-I42</f>
        <v>24885.857161273663</v>
      </c>
      <c r="K42" s="3" t="s">
        <v>1074</v>
      </c>
      <c r="L42" s="6">
        <f>+[35]Main!$L$3</f>
        <v>542.72572500000001</v>
      </c>
      <c r="M42" s="9">
        <v>45539</v>
      </c>
    </row>
    <row r="43" spans="1:32" x14ac:dyDescent="0.25">
      <c r="A43"/>
      <c r="B43"/>
      <c r="C43"/>
      <c r="D43" s="1">
        <f t="shared" si="4"/>
        <v>34</v>
      </c>
      <c r="E43" s="5" t="s">
        <v>77</v>
      </c>
      <c r="F43" s="1" t="s">
        <v>78</v>
      </c>
      <c r="G43" s="7">
        <v>29.37</v>
      </c>
      <c r="H43" s="6">
        <f>+G43*L43</f>
        <v>17429.895176760001</v>
      </c>
      <c r="I43" s="6">
        <f>+[36]Main!$L$5-[36]Main!$L$6</f>
        <v>-4677.3590000000004</v>
      </c>
      <c r="J43" s="6">
        <f>+H43-I43</f>
        <v>22107.254176760001</v>
      </c>
      <c r="K43" s="3" t="s">
        <v>1074</v>
      </c>
      <c r="L43" s="6">
        <f>+[36]Main!$L$3</f>
        <v>593.45914800000003</v>
      </c>
      <c r="M43" s="9">
        <v>45537</v>
      </c>
      <c r="AE43" s="1">
        <v>1996</v>
      </c>
    </row>
    <row r="44" spans="1:32" x14ac:dyDescent="0.25">
      <c r="A44"/>
      <c r="B44"/>
      <c r="C44"/>
      <c r="D44" s="1">
        <f t="shared" si="4"/>
        <v>35</v>
      </c>
      <c r="E44" s="5" t="s">
        <v>353</v>
      </c>
      <c r="F44" t="s">
        <v>354</v>
      </c>
      <c r="G44" s="20">
        <v>198500</v>
      </c>
      <c r="H44" s="6">
        <f>+G44*L44/KRW</f>
        <v>19737.396199930219</v>
      </c>
      <c r="I44" s="6">
        <f>([37]Main!$J$5-[37]Main!$J$6)/KRW</f>
        <v>-768.78087927424986</v>
      </c>
      <c r="J44" s="6">
        <f>H44-I44</f>
        <v>20506.17707920447</v>
      </c>
      <c r="K44" s="3" t="s">
        <v>1074</v>
      </c>
      <c r="L44" s="6">
        <f>+[37]Main!$J$3</f>
        <v>142.48709700000001</v>
      </c>
      <c r="M44" s="9">
        <v>45537</v>
      </c>
    </row>
    <row r="45" spans="1:32" x14ac:dyDescent="0.25">
      <c r="D45" s="1">
        <f t="shared" si="4"/>
        <v>36</v>
      </c>
      <c r="E45" s="5" t="s">
        <v>79</v>
      </c>
      <c r="F45" s="1" t="s">
        <v>80</v>
      </c>
      <c r="G45" s="7">
        <v>190</v>
      </c>
      <c r="H45" s="6">
        <f>+G45*L45</f>
        <v>19892.745209999997</v>
      </c>
      <c r="I45" s="6">
        <f>[38]Main!$L$5-[38]Main!$L$6</f>
        <v>1581.0029999999999</v>
      </c>
      <c r="J45" s="6">
        <f>H45-I45</f>
        <v>18311.742209999997</v>
      </c>
      <c r="K45" s="3" t="s">
        <v>1074</v>
      </c>
      <c r="L45" s="6">
        <f>+[38]Main!$L$3</f>
        <v>104.69865899999999</v>
      </c>
      <c r="M45" s="9">
        <v>45537</v>
      </c>
    </row>
    <row r="46" spans="1:32" x14ac:dyDescent="0.25">
      <c r="A46"/>
      <c r="B46"/>
      <c r="C46"/>
      <c r="D46" s="1">
        <f t="shared" si="4"/>
        <v>37</v>
      </c>
      <c r="E46" s="5" t="s">
        <v>69</v>
      </c>
      <c r="F46" s="1" t="s">
        <v>70</v>
      </c>
      <c r="G46" s="7">
        <v>91.21</v>
      </c>
      <c r="H46" s="6">
        <f>+G46*L46</f>
        <v>17364.817194619998</v>
      </c>
      <c r="I46" s="6">
        <f>+[39]Main!$L$5-[39]Main!$L$6</f>
        <v>692.48099999999977</v>
      </c>
      <c r="J46" s="6">
        <f t="shared" ref="J46" si="5">H46-I46</f>
        <v>16672.336194619998</v>
      </c>
      <c r="K46" s="3" t="s">
        <v>1074</v>
      </c>
      <c r="L46" s="6">
        <f>+[39]Main!$L$3</f>
        <v>190.382822</v>
      </c>
      <c r="M46" s="9">
        <v>45537</v>
      </c>
      <c r="AE46">
        <v>1997</v>
      </c>
      <c r="AF46" s="1" t="s">
        <v>1128</v>
      </c>
    </row>
    <row r="47" spans="1:32" x14ac:dyDescent="0.25">
      <c r="A47"/>
      <c r="B47"/>
      <c r="C47"/>
      <c r="D47" s="1">
        <f t="shared" si="4"/>
        <v>38</v>
      </c>
      <c r="E47" s="5" t="s">
        <v>59</v>
      </c>
      <c r="F47" s="1" t="s">
        <v>60</v>
      </c>
      <c r="G47" s="3">
        <v>27.44</v>
      </c>
      <c r="H47" s="6">
        <f>+G47*L47*10</f>
        <v>18147.967829600002</v>
      </c>
      <c r="I47" s="6">
        <f>([40]Main!$K$7-[40]Main!$K$8)/DKK</f>
        <v>2257.1914411222897</v>
      </c>
      <c r="J47" s="6">
        <f>H47-I47</f>
        <v>15890.776388477712</v>
      </c>
      <c r="K47" s="3" t="s">
        <v>1074</v>
      </c>
      <c r="L47" s="6">
        <f>+[40]Main!$K$4</f>
        <v>66.136909000000003</v>
      </c>
      <c r="M47" s="9">
        <v>45537</v>
      </c>
      <c r="AE47" s="1">
        <v>1999</v>
      </c>
      <c r="AF47" s="1" t="s">
        <v>1129</v>
      </c>
    </row>
    <row r="48" spans="1:32" x14ac:dyDescent="0.25">
      <c r="A48"/>
      <c r="B48"/>
      <c r="C48"/>
      <c r="D48" s="1">
        <f t="shared" si="4"/>
        <v>39</v>
      </c>
      <c r="E48" s="5" t="s">
        <v>59</v>
      </c>
      <c r="F48" t="s">
        <v>514</v>
      </c>
      <c r="G48" s="6">
        <v>1869.5</v>
      </c>
      <c r="H48" s="6">
        <f>+G48*L48/DKK</f>
        <v>17520.610936020974</v>
      </c>
      <c r="I48" s="6">
        <f>([40]Main!$K$7-[40]Main!$K$8)/DKK</f>
        <v>2257.1914411222897</v>
      </c>
      <c r="J48" s="6">
        <f>H48-I48</f>
        <v>15263.419494898684</v>
      </c>
      <c r="K48" s="3" t="s">
        <v>1074</v>
      </c>
      <c r="L48" s="6">
        <f>+[40]Main!$K$4</f>
        <v>66.136909000000003</v>
      </c>
      <c r="M48" s="9">
        <v>45537</v>
      </c>
      <c r="AE48" s="1">
        <v>1999</v>
      </c>
      <c r="AF48" s="1" t="s">
        <v>1129</v>
      </c>
    </row>
    <row r="49" spans="1:31" x14ac:dyDescent="0.25">
      <c r="A49"/>
      <c r="B49"/>
      <c r="C49"/>
      <c r="D49" s="1">
        <f t="shared" si="4"/>
        <v>40</v>
      </c>
      <c r="E49" s="5" t="s">
        <v>85</v>
      </c>
      <c r="F49" s="1" t="s">
        <v>86</v>
      </c>
      <c r="G49" s="7">
        <v>9</v>
      </c>
      <c r="H49" s="6">
        <f>+G49*L49</f>
        <v>6187.9941720000006</v>
      </c>
      <c r="I49" s="6">
        <f>([41]Main!$L$5-[41]Main!$L$6)*EUR</f>
        <v>-9434.5526700000009</v>
      </c>
      <c r="J49" s="6">
        <f>H49-I49</f>
        <v>15622.546842000002</v>
      </c>
      <c r="K49" s="3" t="s">
        <v>1074</v>
      </c>
      <c r="L49" s="6">
        <f>+[41]Main!$L$3</f>
        <v>687.55490800000007</v>
      </c>
      <c r="M49" s="9">
        <v>45537</v>
      </c>
    </row>
    <row r="50" spans="1:31" x14ac:dyDescent="0.25">
      <c r="A50"/>
      <c r="B50"/>
      <c r="C50"/>
      <c r="D50" s="1">
        <f t="shared" si="4"/>
        <v>41</v>
      </c>
      <c r="E50" s="5" t="s">
        <v>409</v>
      </c>
      <c r="F50" t="s">
        <v>410</v>
      </c>
      <c r="G50" s="19">
        <v>19.739999999999998</v>
      </c>
      <c r="H50" s="6">
        <f>+G50*L50/CNY</f>
        <v>16519.651675853314</v>
      </c>
      <c r="I50" s="6">
        <f>([42]Main!$J$5-[42]Main!$J$6)/CNY</f>
        <v>3006.8781382228485</v>
      </c>
      <c r="J50" s="6">
        <f>H50-I50</f>
        <v>13512.773537630466</v>
      </c>
      <c r="K50" s="3" t="s">
        <v>1117</v>
      </c>
      <c r="L50" s="6">
        <f>+[42]Main!$J$3</f>
        <v>5933.3500700000004</v>
      </c>
      <c r="M50" s="9">
        <v>45539</v>
      </c>
      <c r="AE50" s="1">
        <v>1995</v>
      </c>
    </row>
    <row r="51" spans="1:31" x14ac:dyDescent="0.25">
      <c r="D51" s="1">
        <f t="shared" si="4"/>
        <v>42</v>
      </c>
      <c r="E51" s="5" t="s">
        <v>127</v>
      </c>
      <c r="F51" s="1" t="s">
        <v>128</v>
      </c>
      <c r="G51" s="7">
        <v>138.38999999999999</v>
      </c>
      <c r="H51" s="6">
        <f>+G51*L51</f>
        <v>13197.746962259998</v>
      </c>
      <c r="I51" s="6">
        <f>+[43]Main!$L$5-[43]Main!$L$6</f>
        <v>234.15900000000011</v>
      </c>
      <c r="J51" s="6">
        <f>+H51-I51</f>
        <v>12963.587962259999</v>
      </c>
      <c r="K51" s="3" t="s">
        <v>1074</v>
      </c>
      <c r="L51" s="6">
        <f>+[43]Main!$L$3</f>
        <v>95.366333999999995</v>
      </c>
      <c r="M51" s="9">
        <v>45537</v>
      </c>
    </row>
    <row r="52" spans="1:31" x14ac:dyDescent="0.25">
      <c r="A52"/>
      <c r="B52"/>
      <c r="C52"/>
      <c r="D52" s="1">
        <f t="shared" si="4"/>
        <v>43</v>
      </c>
      <c r="E52" s="5" t="s">
        <v>89</v>
      </c>
      <c r="F52" s="1" t="s">
        <v>90</v>
      </c>
      <c r="G52" s="7">
        <v>363.55</v>
      </c>
      <c r="H52" s="6">
        <f>+G52*L52</f>
        <v>16174.767034800001</v>
      </c>
      <c r="I52" s="6">
        <f>[44]Main!$K$5-[44]Main!$K$6</f>
        <v>3801.8999999999996</v>
      </c>
      <c r="J52" s="6">
        <f>H52-I52</f>
        <v>12372.867034800001</v>
      </c>
      <c r="K52" s="3" t="s">
        <v>1074</v>
      </c>
      <c r="L52" s="6">
        <f>+[44]Main!$K$3</f>
        <v>44.491176000000003</v>
      </c>
      <c r="M52" s="9">
        <v>45537</v>
      </c>
    </row>
    <row r="53" spans="1:31" x14ac:dyDescent="0.25">
      <c r="A53" t="s">
        <v>334</v>
      </c>
      <c r="B53"/>
      <c r="C53"/>
      <c r="D53" s="1">
        <f t="shared" si="4"/>
        <v>44</v>
      </c>
      <c r="E53" s="5" t="s">
        <v>708</v>
      </c>
      <c r="F53" t="s">
        <v>709</v>
      </c>
      <c r="G53" s="7">
        <v>17.95</v>
      </c>
      <c r="H53" s="6">
        <f>+G53*L53</f>
        <v>13005.45263045</v>
      </c>
      <c r="I53" s="6">
        <f>+[45]Main!$K$5-[45]Main!$K$6</f>
        <v>225.46900000000005</v>
      </c>
      <c r="J53" s="6">
        <f>H53-I53</f>
        <v>12779.983630449999</v>
      </c>
      <c r="K53" s="3" t="s">
        <v>1074</v>
      </c>
      <c r="L53" s="6">
        <f>+[45]Main!$K$3</f>
        <v>724.53775099999996</v>
      </c>
      <c r="M53" s="9">
        <v>45544</v>
      </c>
    </row>
    <row r="54" spans="1:31" x14ac:dyDescent="0.25">
      <c r="A54"/>
      <c r="B54"/>
      <c r="C54"/>
      <c r="D54" s="1">
        <f t="shared" si="4"/>
        <v>45</v>
      </c>
      <c r="E54" s="5" t="s">
        <v>114</v>
      </c>
      <c r="F54" s="1" t="s">
        <v>115</v>
      </c>
      <c r="G54" s="3">
        <v>19.079999999999998</v>
      </c>
      <c r="H54" s="6">
        <f>+G54*L54</f>
        <v>4912.5939411599993</v>
      </c>
      <c r="I54" s="6">
        <f>[46]Main!$L$5-[46]Main!$L$6</f>
        <v>-7952</v>
      </c>
      <c r="J54" s="6">
        <f>+H54-I54</f>
        <v>12864.593941159999</v>
      </c>
      <c r="K54" s="3" t="s">
        <v>1074</v>
      </c>
      <c r="L54" s="6">
        <f>+[46]Main!$L$3</f>
        <v>257.473477</v>
      </c>
      <c r="M54" s="9">
        <v>45562</v>
      </c>
    </row>
    <row r="55" spans="1:31" customFormat="1" x14ac:dyDescent="0.25">
      <c r="D55" s="1">
        <f t="shared" si="4"/>
        <v>46</v>
      </c>
      <c r="E55" s="5" t="s">
        <v>381</v>
      </c>
      <c r="F55" t="s">
        <v>382</v>
      </c>
      <c r="G55" s="47">
        <v>22.51</v>
      </c>
      <c r="H55" s="31">
        <f>+G55*L55/CNY</f>
        <v>8484.5832136262343</v>
      </c>
      <c r="I55" s="6">
        <f>([47]Main!$K$6-[47]Main!$K$7)/CNY</f>
        <v>-2662.9055007052189</v>
      </c>
      <c r="J55" s="6">
        <f>+H55-I55</f>
        <v>11147.488714331454</v>
      </c>
      <c r="K55" s="3" t="s">
        <v>1117</v>
      </c>
      <c r="L55" s="6">
        <f>+[47]Main!$K$4</f>
        <v>2672.3987109999998</v>
      </c>
      <c r="M55" s="9">
        <v>45542</v>
      </c>
    </row>
    <row r="56" spans="1:31" x14ac:dyDescent="0.25">
      <c r="A56"/>
      <c r="B56"/>
      <c r="C56"/>
      <c r="D56" s="1">
        <f>+D55</f>
        <v>46</v>
      </c>
      <c r="E56" s="5" t="s">
        <v>381</v>
      </c>
      <c r="F56" t="s">
        <v>383</v>
      </c>
      <c r="G56" s="3">
        <v>12.12</v>
      </c>
      <c r="H56" s="6">
        <f>+G56*L56/HKD</f>
        <v>4152.4964586307688</v>
      </c>
      <c r="I56" s="6">
        <f>([47]Main!$K$6-[47]Main!$K$7)/CNY</f>
        <v>-2662.9055007052189</v>
      </c>
      <c r="J56" s="6">
        <f>+H56-I56</f>
        <v>6815.4019593359881</v>
      </c>
      <c r="K56" s="3" t="s">
        <v>1117</v>
      </c>
      <c r="L56" s="6">
        <f>+[47]Main!$K$4</f>
        <v>2672.3987109999998</v>
      </c>
      <c r="M56" s="9">
        <v>45542</v>
      </c>
    </row>
    <row r="57" spans="1:31" x14ac:dyDescent="0.25">
      <c r="A57" t="s">
        <v>334</v>
      </c>
      <c r="B57"/>
      <c r="C57"/>
      <c r="D57" s="1">
        <f>+D56+1</f>
        <v>47</v>
      </c>
      <c r="E57" s="5" t="s">
        <v>175</v>
      </c>
      <c r="F57" s="1" t="s">
        <v>176</v>
      </c>
      <c r="G57" s="7">
        <v>74</v>
      </c>
      <c r="H57" s="6">
        <f>+G57*L57</f>
        <v>12716.833622000002</v>
      </c>
      <c r="I57" s="6">
        <f>+[48]Main!$L$5-[48]Main!$L$6</f>
        <v>299.97399999999993</v>
      </c>
      <c r="J57" s="6">
        <f>+H57-I57</f>
        <v>12416.859622000002</v>
      </c>
      <c r="K57" s="3" t="s">
        <v>1074</v>
      </c>
      <c r="L57" s="6">
        <f>+[48]Main!$L$3</f>
        <v>171.84910300000001</v>
      </c>
      <c r="M57" s="9">
        <v>45583</v>
      </c>
      <c r="AE57" s="1">
        <v>1999</v>
      </c>
    </row>
    <row r="58" spans="1:31" x14ac:dyDescent="0.25">
      <c r="D58" s="1">
        <f>+D57+1</f>
        <v>48</v>
      </c>
      <c r="E58" s="5" t="s">
        <v>49</v>
      </c>
      <c r="F58" s="1" t="s">
        <v>50</v>
      </c>
      <c r="G58" s="7">
        <v>65.72</v>
      </c>
      <c r="H58" s="6">
        <f>+G58*L58</f>
        <v>12657.542334440001</v>
      </c>
      <c r="I58" s="6">
        <f>+[49]Main!$K$5-[49]Main!$K$6</f>
        <v>1549.0429999999999</v>
      </c>
      <c r="J58" s="6">
        <f>H58-I58</f>
        <v>11108.499334440001</v>
      </c>
      <c r="K58" s="3" t="s">
        <v>1074</v>
      </c>
      <c r="L58" s="6">
        <f>+[49]Main!$K$3</f>
        <v>192.598027</v>
      </c>
      <c r="M58" s="9">
        <v>45537</v>
      </c>
    </row>
    <row r="59" spans="1:31" x14ac:dyDescent="0.25">
      <c r="A59"/>
      <c r="B59"/>
      <c r="C59"/>
      <c r="D59" s="1">
        <f>+D58+1</f>
        <v>49</v>
      </c>
      <c r="E59" s="5" t="s">
        <v>274</v>
      </c>
      <c r="F59" t="s">
        <v>275</v>
      </c>
      <c r="G59" s="17">
        <v>6022</v>
      </c>
      <c r="H59" s="6">
        <f>+G59*L59/JPY</f>
        <v>11871.835559820998</v>
      </c>
      <c r="I59" s="6">
        <f>+([50]Main!$K$5-[50]Main!$K$6)/JPY</f>
        <v>861.49397590361446</v>
      </c>
      <c r="J59" s="6">
        <f>H59-I59</f>
        <v>11010.341583917383</v>
      </c>
      <c r="K59" s="3" t="s">
        <v>1074</v>
      </c>
      <c r="L59" s="6">
        <f>+[50]Main!$K$3</f>
        <v>286.34741200000002</v>
      </c>
      <c r="M59" s="9">
        <v>45537</v>
      </c>
    </row>
    <row r="60" spans="1:31" x14ac:dyDescent="0.25">
      <c r="A60"/>
      <c r="B60"/>
      <c r="C60"/>
      <c r="D60" s="1">
        <f t="shared" ref="D60:D89" si="6">+D59+1</f>
        <v>50</v>
      </c>
      <c r="E60" s="5" t="s">
        <v>93</v>
      </c>
      <c r="F60" s="1" t="s">
        <v>94</v>
      </c>
      <c r="G60" s="7">
        <v>115</v>
      </c>
      <c r="H60" s="6">
        <f>+G60*L60</f>
        <v>7101.6536500000002</v>
      </c>
      <c r="I60" s="6">
        <f>+[51]Main!$K$5-[51]Main!$K$6</f>
        <v>-3725.9790000000003</v>
      </c>
      <c r="J60" s="6">
        <f>+H60-I60</f>
        <v>10827.63265</v>
      </c>
      <c r="K60" s="3" t="s">
        <v>1074</v>
      </c>
      <c r="L60" s="6">
        <f>+[51]Main!$K$3</f>
        <v>61.753509999999999</v>
      </c>
      <c r="M60" s="9">
        <v>45537</v>
      </c>
      <c r="N60" s="7">
        <f>+[51]Model!$AP$31</f>
        <v>0.94</v>
      </c>
      <c r="O60" s="10">
        <f>+N60/G60-1</f>
        <v>-0.99182608695652175</v>
      </c>
      <c r="P60" s="10">
        <f>+[51]Model!$AP$28</f>
        <v>0</v>
      </c>
      <c r="Q60" s="10">
        <f>+[51]Model!$AP$27</f>
        <v>67.853000000000009</v>
      </c>
      <c r="R60" s="10">
        <f>+[51]Model!$AP$29</f>
        <v>-0.32933821939538621</v>
      </c>
    </row>
    <row r="61" spans="1:31" x14ac:dyDescent="0.25">
      <c r="A61"/>
      <c r="B61"/>
      <c r="C61"/>
      <c r="D61" s="1">
        <f t="shared" si="6"/>
        <v>51</v>
      </c>
      <c r="E61" s="5" t="s">
        <v>1122</v>
      </c>
      <c r="F61" t="s">
        <v>1123</v>
      </c>
      <c r="G61" s="7">
        <v>113</v>
      </c>
      <c r="H61" s="6">
        <f>+G61*L61</f>
        <v>12611.892823</v>
      </c>
      <c r="I61" s="6">
        <f>+[52]Main!$L$5-[52]Main!$L$6</f>
        <v>1853.0430000000001</v>
      </c>
      <c r="J61" s="6">
        <f t="shared" ref="J61" si="7">+H61-I61</f>
        <v>10758.849823</v>
      </c>
      <c r="K61" s="3" t="s">
        <v>1074</v>
      </c>
      <c r="L61" s="6">
        <f>+[52]Main!$L$3</f>
        <v>111.60967100000001</v>
      </c>
      <c r="M61" s="9">
        <v>45544</v>
      </c>
      <c r="AE61" s="1">
        <v>2013</v>
      </c>
    </row>
    <row r="62" spans="1:31" x14ac:dyDescent="0.25">
      <c r="D62" s="1">
        <f t="shared" si="6"/>
        <v>52</v>
      </c>
      <c r="E62" s="5" t="s">
        <v>366</v>
      </c>
      <c r="F62" t="s">
        <v>367</v>
      </c>
      <c r="G62" s="15">
        <v>111.5</v>
      </c>
      <c r="H62" s="6">
        <f>+G62*L62*EUR</f>
        <v>10373.304810390002</v>
      </c>
      <c r="I62" s="6">
        <f>([53]Main!$L$5-[53]Main!$L$6)*EUR</f>
        <v>7.548</v>
      </c>
      <c r="J62" s="6">
        <f>+H62-I62</f>
        <v>10365.756810390001</v>
      </c>
      <c r="K62" s="3" t="s">
        <v>1074</v>
      </c>
      <c r="L62" s="6">
        <f>+[53]Main!$L$3</f>
        <v>83.814526000000001</v>
      </c>
      <c r="M62" s="9">
        <v>45563</v>
      </c>
    </row>
    <row r="63" spans="1:31" x14ac:dyDescent="0.25">
      <c r="D63" s="1">
        <f t="shared" si="6"/>
        <v>53</v>
      </c>
      <c r="E63" s="5" t="s">
        <v>364</v>
      </c>
      <c r="F63" t="s">
        <v>365</v>
      </c>
      <c r="G63" s="15">
        <v>38.75</v>
      </c>
      <c r="H63" s="24">
        <f>G63*L63</f>
        <v>7994.0924500000001</v>
      </c>
      <c r="I63" s="6">
        <f>([54]Main!$M$5-[54]Main!$M$6)*EUR</f>
        <v>-1631.0340000000003</v>
      </c>
      <c r="J63" s="6">
        <f>+H63-I63</f>
        <v>9625.1264499999997</v>
      </c>
      <c r="K63" s="3" t="s">
        <v>1074</v>
      </c>
      <c r="L63" s="6">
        <f>[54]Main!$M$3</f>
        <v>206.29916</v>
      </c>
      <c r="M63" s="9">
        <v>45540</v>
      </c>
      <c r="AE63" s="1">
        <v>1926</v>
      </c>
    </row>
    <row r="64" spans="1:31" x14ac:dyDescent="0.25">
      <c r="D64" s="1">
        <f t="shared" si="6"/>
        <v>54</v>
      </c>
      <c r="E64" s="5" t="s">
        <v>91</v>
      </c>
      <c r="F64" s="1" t="s">
        <v>92</v>
      </c>
      <c r="G64" s="7">
        <v>113</v>
      </c>
      <c r="H64" s="6">
        <f>+G64*L64</f>
        <v>11410.316137</v>
      </c>
      <c r="I64" s="6">
        <f>+[55]Main!$L$5-[55]Main!$L$6</f>
        <v>1820.3</v>
      </c>
      <c r="J64" s="6">
        <f>H64-I64</f>
        <v>9590.0161370000005</v>
      </c>
      <c r="K64" s="3" t="s">
        <v>1074</v>
      </c>
      <c r="L64" s="6">
        <f>+[55]Main!$L$3</f>
        <v>100.976249</v>
      </c>
      <c r="M64" s="9">
        <v>45572</v>
      </c>
    </row>
    <row r="65" spans="1:32" x14ac:dyDescent="0.25">
      <c r="A65"/>
      <c r="B65"/>
      <c r="C65"/>
      <c r="D65" s="1">
        <f t="shared" si="6"/>
        <v>55</v>
      </c>
      <c r="E65" s="5" t="s">
        <v>99</v>
      </c>
      <c r="F65" s="1" t="s">
        <v>100</v>
      </c>
      <c r="G65" s="7">
        <v>64</v>
      </c>
      <c r="H65" s="6">
        <f>+G65*L65</f>
        <v>8107.3919999999998</v>
      </c>
      <c r="I65" s="6">
        <f>+[56]Main!$M$5-[56]Main!$M$6</f>
        <v>-973.48500000000013</v>
      </c>
      <c r="J65" s="6">
        <f>+H65-I65</f>
        <v>9080.8770000000004</v>
      </c>
      <c r="K65" s="3" t="s">
        <v>1074</v>
      </c>
      <c r="L65" s="6">
        <f>+[56]Main!$M$3</f>
        <v>126.678</v>
      </c>
      <c r="M65" s="9">
        <v>45538</v>
      </c>
    </row>
    <row r="66" spans="1:32" x14ac:dyDescent="0.25">
      <c r="D66" s="1">
        <f t="shared" si="6"/>
        <v>56</v>
      </c>
      <c r="E66" s="5" t="s">
        <v>118</v>
      </c>
      <c r="F66" s="1" t="s">
        <v>119</v>
      </c>
      <c r="G66" s="7">
        <v>48.59</v>
      </c>
      <c r="H66" s="6">
        <f>+G66*L66</f>
        <v>8872.6349214300008</v>
      </c>
      <c r="I66" s="6">
        <f>+[57]Main!$K$5-[57]Main!$K$6</f>
        <v>1008.441</v>
      </c>
      <c r="J66" s="6">
        <f>+H66-I66</f>
        <v>7864.193921430001</v>
      </c>
      <c r="K66" s="3" t="s">
        <v>1074</v>
      </c>
      <c r="L66" s="6">
        <f>+[57]Main!$K$3</f>
        <v>182.60207700000001</v>
      </c>
      <c r="M66" s="9">
        <v>45574</v>
      </c>
    </row>
    <row r="67" spans="1:32" x14ac:dyDescent="0.25">
      <c r="A67"/>
      <c r="B67"/>
      <c r="C67"/>
      <c r="D67" s="1">
        <f t="shared" si="6"/>
        <v>57</v>
      </c>
      <c r="E67" s="5" t="s">
        <v>139</v>
      </c>
      <c r="F67" s="1" t="s">
        <v>140</v>
      </c>
      <c r="G67" s="3">
        <v>116.81</v>
      </c>
      <c r="H67" s="6">
        <f>+G67*L67</f>
        <v>8110.1932920200006</v>
      </c>
      <c r="I67" s="6">
        <f>+[58]Main!$K$5-[58]Main!$K$6</f>
        <v>310.25300000000004</v>
      </c>
      <c r="J67" s="6">
        <f>+H67-I67</f>
        <v>7799.9402920200009</v>
      </c>
      <c r="K67" s="3" t="s">
        <v>1074</v>
      </c>
      <c r="L67" s="6">
        <f>+[58]Main!$K$3</f>
        <v>69.430642000000006</v>
      </c>
      <c r="M67" s="9">
        <v>45586</v>
      </c>
    </row>
    <row r="68" spans="1:32" x14ac:dyDescent="0.25">
      <c r="A68"/>
      <c r="B68"/>
      <c r="C68"/>
      <c r="D68" s="1">
        <f t="shared" si="6"/>
        <v>58</v>
      </c>
      <c r="E68" s="5" t="s">
        <v>372</v>
      </c>
      <c r="F68" t="s">
        <v>373</v>
      </c>
      <c r="G68" s="3">
        <v>49.22</v>
      </c>
      <c r="H68" s="6">
        <f>+G68*L68*EUR</f>
        <v>7710.7431827999999</v>
      </c>
      <c r="I68" s="6">
        <f>([59]Main!$L$5-[59]Main!$L$6)*EUR</f>
        <v>-123.432</v>
      </c>
      <c r="J68" s="6">
        <f>+H68-I68</f>
        <v>7834.1751827999997</v>
      </c>
      <c r="K68" s="3" t="s">
        <v>1074</v>
      </c>
      <c r="L68" s="6">
        <f>+[59]Main!$L$3</f>
        <v>141.13399999999999</v>
      </c>
      <c r="M68" s="9">
        <v>45566</v>
      </c>
    </row>
    <row r="69" spans="1:32" x14ac:dyDescent="0.25">
      <c r="D69" s="1">
        <f t="shared" si="6"/>
        <v>59</v>
      </c>
      <c r="E69" s="5" t="s">
        <v>137</v>
      </c>
      <c r="F69" s="1" t="s">
        <v>138</v>
      </c>
      <c r="G69" s="7">
        <v>126</v>
      </c>
      <c r="H69" s="6">
        <f>G69*L69</f>
        <v>7337.1059999999998</v>
      </c>
      <c r="I69" s="6">
        <f>[60]Main!$K$5-[60]Main!$K$6</f>
        <v>-413.63900000000001</v>
      </c>
      <c r="J69" s="6">
        <f>H69-I69</f>
        <v>7750.7449999999999</v>
      </c>
      <c r="K69" s="3" t="s">
        <v>1074</v>
      </c>
      <c r="L69" s="6">
        <f>[60]Main!$K$3</f>
        <v>58.231000000000002</v>
      </c>
      <c r="M69" s="9">
        <v>45539</v>
      </c>
      <c r="AE69" s="1">
        <v>2007</v>
      </c>
      <c r="AF69" s="1" t="s">
        <v>1145</v>
      </c>
    </row>
    <row r="70" spans="1:32" s="25" customFormat="1" ht="13" x14ac:dyDescent="0.3">
      <c r="D70" s="25">
        <f t="shared" si="6"/>
        <v>60</v>
      </c>
      <c r="E70" s="44" t="s">
        <v>1062</v>
      </c>
      <c r="F70" s="25" t="s">
        <v>1063</v>
      </c>
      <c r="G70" s="48">
        <v>78</v>
      </c>
      <c r="H70" s="27">
        <f>+G70*L70</f>
        <v>8112</v>
      </c>
      <c r="I70" s="26">
        <f>+[61]Main!$K$5-[61]Main!$K$6</f>
        <v>711</v>
      </c>
      <c r="J70" s="27">
        <f t="shared" ref="J70" si="8">+H70-I70</f>
        <v>7401</v>
      </c>
      <c r="K70" s="26" t="s">
        <v>1117</v>
      </c>
      <c r="L70" s="26">
        <f>+[61]Main!$K$3</f>
        <v>104</v>
      </c>
      <c r="M70" s="45">
        <v>45541</v>
      </c>
      <c r="N70" s="26"/>
      <c r="O70" s="26"/>
      <c r="P70" s="26"/>
      <c r="Q70" s="26"/>
      <c r="R70" s="2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</row>
    <row r="71" spans="1:32" ht="13" x14ac:dyDescent="0.3">
      <c r="A71"/>
      <c r="B71"/>
      <c r="C71"/>
      <c r="D71" s="25">
        <f t="shared" si="6"/>
        <v>61</v>
      </c>
      <c r="E71" s="14" t="s">
        <v>53</v>
      </c>
      <c r="F71" s="1" t="s">
        <v>54</v>
      </c>
      <c r="G71" s="7">
        <v>42.66</v>
      </c>
      <c r="H71" s="6">
        <f>+G71*L71</f>
        <v>16416.32781726</v>
      </c>
      <c r="I71" s="6">
        <f>+[62]Main!$K$5-[62]Main!$K$6</f>
        <v>9202</v>
      </c>
      <c r="J71" s="6">
        <f>H71-I71</f>
        <v>7214.3278172600003</v>
      </c>
      <c r="K71" s="3" t="s">
        <v>1280</v>
      </c>
      <c r="L71" s="6">
        <f>+[62]Main!$K$3</f>
        <v>384.81781100000001</v>
      </c>
      <c r="M71" s="9">
        <v>45631</v>
      </c>
      <c r="AF71" s="1" t="s">
        <v>609</v>
      </c>
    </row>
    <row r="72" spans="1:32" x14ac:dyDescent="0.25">
      <c r="D72">
        <f t="shared" si="6"/>
        <v>62</v>
      </c>
      <c r="E72" s="5" t="s">
        <v>101</v>
      </c>
      <c r="F72" s="1" t="s">
        <v>102</v>
      </c>
      <c r="G72" s="3">
        <v>49.82</v>
      </c>
      <c r="H72" s="6">
        <f>+G72*L72</f>
        <v>7284.2365536200004</v>
      </c>
      <c r="I72" s="6">
        <f>+[63]Main!$L$5-[63]Main!$L$6</f>
        <v>309.9079999999999</v>
      </c>
      <c r="J72" s="6">
        <f>+H72-I72</f>
        <v>6974.3285536200001</v>
      </c>
      <c r="K72" s="9" t="s">
        <v>1074</v>
      </c>
      <c r="L72" s="6">
        <f>+[63]Main!$L$3</f>
        <v>146.21109100000001</v>
      </c>
      <c r="M72" s="9">
        <v>45539</v>
      </c>
      <c r="AE72" s="1">
        <v>1989</v>
      </c>
    </row>
    <row r="73" spans="1:32" x14ac:dyDescent="0.25">
      <c r="D73" s="1">
        <f t="shared" si="6"/>
        <v>63</v>
      </c>
      <c r="E73" s="5" t="s">
        <v>296</v>
      </c>
      <c r="F73" t="s">
        <v>297</v>
      </c>
      <c r="G73" s="22">
        <v>1992</v>
      </c>
      <c r="H73" s="6">
        <f>+G73*L73/100*GBP</f>
        <v>5742.3752022000008</v>
      </c>
      <c r="I73" s="6">
        <f>+[64]Main!$K$5-[64]Main!$K$6</f>
        <v>-1276</v>
      </c>
      <c r="J73" s="6">
        <f t="shared" ref="J73:J99" si="9">+H73-I73</f>
        <v>7018.3752022000008</v>
      </c>
      <c r="K73" s="3" t="s">
        <v>1074</v>
      </c>
      <c r="L73" s="6">
        <f>+[64]Main!$K$3</f>
        <v>221.74757500000001</v>
      </c>
      <c r="M73" s="9">
        <v>45541</v>
      </c>
    </row>
    <row r="74" spans="1:32" x14ac:dyDescent="0.25">
      <c r="D74" s="1">
        <f t="shared" si="6"/>
        <v>64</v>
      </c>
      <c r="E74" s="5" t="s">
        <v>276</v>
      </c>
      <c r="F74" t="s">
        <v>277</v>
      </c>
      <c r="G74" s="3">
        <v>2587.5</v>
      </c>
      <c r="H74" s="6">
        <f>+G74*L74/JPY</f>
        <v>9510.5627333907069</v>
      </c>
      <c r="I74" s="6">
        <f>([65]Main!$L$5-[65]Main!$L$6)/JPY</f>
        <v>2512.9707401032701</v>
      </c>
      <c r="J74" s="6">
        <f>+H74-I74</f>
        <v>6997.5919932874367</v>
      </c>
      <c r="K74" s="3" t="s">
        <v>1074</v>
      </c>
      <c r="L74" s="6">
        <f>+[65]Main!$L$3</f>
        <v>533.87796600000001</v>
      </c>
      <c r="M74" s="9">
        <v>45567</v>
      </c>
    </row>
    <row r="75" spans="1:32" x14ac:dyDescent="0.25">
      <c r="A75" t="s">
        <v>334</v>
      </c>
      <c r="B75"/>
      <c r="C75"/>
      <c r="D75" s="1">
        <f t="shared" si="6"/>
        <v>65</v>
      </c>
      <c r="E75" s="5" t="s">
        <v>131</v>
      </c>
      <c r="F75" s="1" t="s">
        <v>132</v>
      </c>
      <c r="G75" s="3">
        <v>25.49</v>
      </c>
      <c r="H75" s="6">
        <f t="shared" ref="H75:H80" si="10">+G75*L75</f>
        <v>3477.2290048199993</v>
      </c>
      <c r="I75" s="6">
        <f>+[66]Main!$N$5-[66]Main!$N$6</f>
        <v>-3514.8</v>
      </c>
      <c r="J75" s="6">
        <f>+H75-I75</f>
        <v>6992.0290048199995</v>
      </c>
      <c r="K75" s="3" t="s">
        <v>1074</v>
      </c>
      <c r="L75" s="6">
        <f>+[66]Main!$N$3</f>
        <v>136.41541799999999</v>
      </c>
      <c r="M75" s="9">
        <v>45566</v>
      </c>
    </row>
    <row r="76" spans="1:32" x14ac:dyDescent="0.25">
      <c r="A76" t="s">
        <v>334</v>
      </c>
      <c r="B76"/>
      <c r="C76"/>
      <c r="D76" s="1">
        <f t="shared" si="6"/>
        <v>66</v>
      </c>
      <c r="E76" s="5" t="s">
        <v>129</v>
      </c>
      <c r="F76" s="1" t="s">
        <v>130</v>
      </c>
      <c r="G76" s="3">
        <v>72.11</v>
      </c>
      <c r="H76" s="6">
        <f t="shared" si="10"/>
        <v>7619.6419617500005</v>
      </c>
      <c r="I76" s="6">
        <f>+[67]Main!$L$5-[67]Main!$L$6</f>
        <v>1024.6570000000002</v>
      </c>
      <c r="J76" s="6">
        <f>+H76-I76</f>
        <v>6594.9849617500004</v>
      </c>
      <c r="K76" s="3" t="s">
        <v>1074</v>
      </c>
      <c r="L76" s="6">
        <f>+[67]Main!$L$3</f>
        <v>105.66692500000001</v>
      </c>
      <c r="M76" s="9">
        <v>45545</v>
      </c>
    </row>
    <row r="77" spans="1:32" x14ac:dyDescent="0.25">
      <c r="D77" s="1">
        <f t="shared" si="6"/>
        <v>67</v>
      </c>
      <c r="E77" s="5" t="s">
        <v>686</v>
      </c>
      <c r="F77" t="s">
        <v>687</v>
      </c>
      <c r="G77" s="7">
        <v>56.68</v>
      </c>
      <c r="H77" s="6">
        <f t="shared" si="10"/>
        <v>6668.9448810399999</v>
      </c>
      <c r="I77" s="6">
        <f>+[68]Main!$K$5-[68]Main!$K$6</f>
        <v>707.18499999999995</v>
      </c>
      <c r="J77" s="6">
        <f>+H77-I77</f>
        <v>5961.7598810399995</v>
      </c>
      <c r="K77" s="3" t="s">
        <v>1074</v>
      </c>
      <c r="L77" s="6">
        <f>+[68]Main!$K$3</f>
        <v>117.659578</v>
      </c>
      <c r="M77" s="9">
        <v>45570</v>
      </c>
    </row>
    <row r="78" spans="1:32" x14ac:dyDescent="0.25">
      <c r="D78" s="1">
        <f t="shared" si="6"/>
        <v>68</v>
      </c>
      <c r="E78" s="5" t="s">
        <v>122</v>
      </c>
      <c r="F78" s="1" t="s">
        <v>123</v>
      </c>
      <c r="G78" s="3">
        <v>25.59</v>
      </c>
      <c r="H78" s="6">
        <f t="shared" si="10"/>
        <v>7299.5916427500006</v>
      </c>
      <c r="I78" s="6">
        <f>+[69]Main!$M$5-[69]Main!$M$6</f>
        <v>1434.3040000000001</v>
      </c>
      <c r="J78" s="6">
        <f t="shared" si="9"/>
        <v>5865.2876427500005</v>
      </c>
      <c r="K78" s="3" t="s">
        <v>1074</v>
      </c>
      <c r="L78" s="6">
        <f>+[69]Main!$M$3</f>
        <v>285.25172500000002</v>
      </c>
      <c r="M78" s="9">
        <v>45540</v>
      </c>
    </row>
    <row r="79" spans="1:32" x14ac:dyDescent="0.25">
      <c r="D79" s="1">
        <f t="shared" si="6"/>
        <v>69</v>
      </c>
      <c r="E79" s="5" t="s">
        <v>698</v>
      </c>
      <c r="F79" t="s">
        <v>699</v>
      </c>
      <c r="G79" s="55">
        <v>25</v>
      </c>
      <c r="H79" s="30">
        <f>+G79*L79</f>
        <v>4689.6500000000005</v>
      </c>
      <c r="I79" s="30">
        <f>+[70]Main!$N$5-[70]Main!$N$6</f>
        <v>-1130.3990000000001</v>
      </c>
      <c r="J79" s="30">
        <f t="shared" ref="J79:J85" si="11">+H79-I79</f>
        <v>5820.0490000000009</v>
      </c>
      <c r="K79" s="28" t="s">
        <v>1074</v>
      </c>
      <c r="L79" s="30">
        <f>+[70]Main!$N$3</f>
        <v>187.58600000000001</v>
      </c>
      <c r="M79" s="38">
        <v>45579</v>
      </c>
    </row>
    <row r="80" spans="1:32" x14ac:dyDescent="0.25">
      <c r="A80"/>
      <c r="B80"/>
      <c r="C80"/>
      <c r="D80" s="1">
        <f>+D79+1</f>
        <v>70</v>
      </c>
      <c r="E80" s="5" t="s">
        <v>152</v>
      </c>
      <c r="F80" s="1" t="s">
        <v>153</v>
      </c>
      <c r="G80" s="3">
        <v>86.43</v>
      </c>
      <c r="H80" s="6">
        <f t="shared" si="10"/>
        <v>5432.4712200000004</v>
      </c>
      <c r="I80" s="6">
        <f>+[71]Main!$K$5-[71]Main!$K$6</f>
        <v>481.55700000000002</v>
      </c>
      <c r="J80" s="6">
        <f t="shared" si="11"/>
        <v>4950.9142200000006</v>
      </c>
      <c r="K80" s="3" t="s">
        <v>1074</v>
      </c>
      <c r="L80" s="6">
        <f>+[71]Main!$K$3</f>
        <v>62.853999999999999</v>
      </c>
      <c r="M80" s="9">
        <v>45549</v>
      </c>
    </row>
    <row r="81" spans="1:32" x14ac:dyDescent="0.25">
      <c r="A81"/>
      <c r="B81"/>
      <c r="C81"/>
      <c r="D81" s="1">
        <f t="shared" si="6"/>
        <v>71</v>
      </c>
      <c r="E81" s="5" t="s">
        <v>681</v>
      </c>
      <c r="F81" t="s">
        <v>999</v>
      </c>
      <c r="G81" s="3">
        <v>35.46</v>
      </c>
      <c r="H81" s="6">
        <f>+G81*L81/DKK</f>
        <v>4983.0922488309479</v>
      </c>
      <c r="I81" s="6">
        <f>([72]Main!$K$5-[72]Main!$K$6)/DKK</f>
        <v>356.95054555760237</v>
      </c>
      <c r="J81" s="6">
        <f t="shared" si="11"/>
        <v>4626.1417032733452</v>
      </c>
      <c r="K81" s="3" t="s">
        <v>1074</v>
      </c>
      <c r="L81" s="6">
        <f>+[72]Main!$K$3</f>
        <v>991.7</v>
      </c>
      <c r="M81" s="9">
        <v>45581</v>
      </c>
    </row>
    <row r="82" spans="1:32" x14ac:dyDescent="0.25">
      <c r="A82" s="1" t="s">
        <v>334</v>
      </c>
      <c r="D82" s="1">
        <f t="shared" si="6"/>
        <v>72</v>
      </c>
      <c r="E82" s="5" t="s">
        <v>806</v>
      </c>
      <c r="F82" t="s">
        <v>807</v>
      </c>
      <c r="G82" s="3">
        <v>19.79</v>
      </c>
      <c r="H82" s="6">
        <f>+G82*L82</f>
        <v>4789.1799999999994</v>
      </c>
      <c r="I82" s="6">
        <f>+[73]Main!$L$5-[73]Main!$L$6</f>
        <v>-43</v>
      </c>
      <c r="J82" s="6">
        <f t="shared" si="11"/>
        <v>4832.1799999999994</v>
      </c>
      <c r="K82" s="3" t="s">
        <v>1074</v>
      </c>
      <c r="L82" s="6">
        <f>+[73]Main!$L$3</f>
        <v>242</v>
      </c>
      <c r="M82" s="9">
        <v>45566</v>
      </c>
    </row>
    <row r="83" spans="1:32" x14ac:dyDescent="0.25">
      <c r="A83"/>
      <c r="B83"/>
      <c r="C83"/>
      <c r="D83" s="1">
        <f t="shared" si="6"/>
        <v>73</v>
      </c>
      <c r="E83" s="5" t="s">
        <v>198</v>
      </c>
      <c r="F83" s="1" t="s">
        <v>199</v>
      </c>
      <c r="G83" s="7">
        <v>184</v>
      </c>
      <c r="H83" s="6">
        <f>+G83*L83</f>
        <v>5291.9408320000002</v>
      </c>
      <c r="I83" s="6">
        <f>+[74]Main!$K$5-[74]Main!$K$6</f>
        <v>694.2120000000001</v>
      </c>
      <c r="J83" s="6">
        <f>+H83-I83</f>
        <v>4597.7288319999998</v>
      </c>
      <c r="K83" s="3" t="s">
        <v>1280</v>
      </c>
      <c r="L83" s="6">
        <f>+[74]Main!$K$3</f>
        <v>28.760548</v>
      </c>
      <c r="M83" s="9">
        <v>45631</v>
      </c>
    </row>
    <row r="84" spans="1:32" x14ac:dyDescent="0.25">
      <c r="A84" t="s">
        <v>334</v>
      </c>
      <c r="B84"/>
      <c r="C84"/>
      <c r="D84" s="1">
        <f t="shared" si="6"/>
        <v>74</v>
      </c>
      <c r="E84" s="5" t="s">
        <v>87</v>
      </c>
      <c r="F84" s="1" t="s">
        <v>88</v>
      </c>
      <c r="G84" s="7">
        <v>52</v>
      </c>
      <c r="H84" s="6">
        <f>+G84*L84</f>
        <v>4916.1971560000002</v>
      </c>
      <c r="I84" s="6">
        <f>+[75]Main!$L$5-[75]Main!$L$6</f>
        <v>436.94799999999998</v>
      </c>
      <c r="J84" s="6">
        <f t="shared" si="11"/>
        <v>4479.2491559999999</v>
      </c>
      <c r="K84" s="3" t="s">
        <v>1074</v>
      </c>
      <c r="L84" s="6">
        <f>+[75]Main!$L$3</f>
        <v>94.542253000000002</v>
      </c>
      <c r="M84" s="9">
        <v>45583</v>
      </c>
    </row>
    <row r="85" spans="1:32" x14ac:dyDescent="0.25">
      <c r="A85"/>
      <c r="B85"/>
      <c r="C85"/>
      <c r="D85" s="1">
        <f t="shared" si="6"/>
        <v>75</v>
      </c>
      <c r="E85" s="5" t="s">
        <v>679</v>
      </c>
      <c r="F85" t="s">
        <v>680</v>
      </c>
      <c r="G85" s="7">
        <v>245</v>
      </c>
      <c r="H85" s="6">
        <f>+G85*L85</f>
        <v>5319.6058649999995</v>
      </c>
      <c r="I85" s="6">
        <f>+[76]Main!$M$5-[76]Main!$M$6</f>
        <v>946.1869999999999</v>
      </c>
      <c r="J85" s="6">
        <f t="shared" si="11"/>
        <v>4373.4188649999996</v>
      </c>
      <c r="K85" s="3" t="s">
        <v>1074</v>
      </c>
      <c r="L85" s="6">
        <f>+[76]Main!$M$3</f>
        <v>21.712676999999999</v>
      </c>
      <c r="M85" s="9">
        <v>45556</v>
      </c>
    </row>
    <row r="86" spans="1:32" x14ac:dyDescent="0.25">
      <c r="A86" t="s">
        <v>334</v>
      </c>
      <c r="B86"/>
      <c r="C86"/>
      <c r="D86" s="1">
        <f t="shared" si="6"/>
        <v>76</v>
      </c>
      <c r="E86" s="5" t="s">
        <v>431</v>
      </c>
      <c r="F86" t="s">
        <v>432</v>
      </c>
      <c r="G86" s="7">
        <v>97</v>
      </c>
      <c r="H86" s="6">
        <f>+G86*L86</f>
        <v>4698.3024759999998</v>
      </c>
      <c r="I86" s="6">
        <f>+[77]Main!$L$5-[77]Main!$L$6</f>
        <v>206.86999999999998</v>
      </c>
      <c r="J86" s="6">
        <f t="shared" si="9"/>
        <v>4491.432476</v>
      </c>
      <c r="K86" s="3" t="s">
        <v>1074</v>
      </c>
      <c r="L86" s="6">
        <f>+[77]Main!$L$3</f>
        <v>48.436107999999997</v>
      </c>
      <c r="M86" s="9">
        <v>45540</v>
      </c>
    </row>
    <row r="87" spans="1:32" x14ac:dyDescent="0.25">
      <c r="A87" t="s">
        <v>334</v>
      </c>
      <c r="B87"/>
      <c r="C87"/>
      <c r="D87" s="1">
        <f t="shared" si="6"/>
        <v>77</v>
      </c>
      <c r="E87" s="5" t="s">
        <v>135</v>
      </c>
      <c r="F87" s="1" t="s">
        <v>136</v>
      </c>
      <c r="G87" s="3">
        <v>28.45</v>
      </c>
      <c r="H87" s="6">
        <f>+L87*G87</f>
        <v>4684.8139600499999</v>
      </c>
      <c r="I87" s="6">
        <f>+[78]Main!$L$5-[78]Main!$L$6</f>
        <v>673.06</v>
      </c>
      <c r="J87" s="6">
        <f>+H87-I87</f>
        <v>4011.7539600499999</v>
      </c>
      <c r="K87" s="3" t="s">
        <v>1074</v>
      </c>
      <c r="L87" s="6">
        <f>+[78]Main!$L$3</f>
        <v>164.668329</v>
      </c>
      <c r="M87" s="9">
        <v>45540</v>
      </c>
    </row>
    <row r="88" spans="1:32" ht="13" x14ac:dyDescent="0.3">
      <c r="D88" s="1">
        <f t="shared" si="6"/>
        <v>78</v>
      </c>
      <c r="E88" s="44" t="s">
        <v>336</v>
      </c>
      <c r="F88" s="25" t="s">
        <v>337</v>
      </c>
      <c r="G88" s="48">
        <v>85</v>
      </c>
      <c r="H88" s="27">
        <f>+G88*L88</f>
        <v>4569.2327150000001</v>
      </c>
      <c r="I88" s="27">
        <f>+[79]Main!$K$5-[79]Main!$K$6</f>
        <v>649.44200000000001</v>
      </c>
      <c r="J88" s="27">
        <f>+H88-I88</f>
        <v>3919.7907150000001</v>
      </c>
      <c r="K88" s="26" t="s">
        <v>1074</v>
      </c>
      <c r="L88" s="27">
        <f>+[79]Main!$K$3</f>
        <v>53.755679000000001</v>
      </c>
      <c r="M88" s="45">
        <v>45591</v>
      </c>
    </row>
    <row r="89" spans="1:32" x14ac:dyDescent="0.25">
      <c r="A89" s="1" t="s">
        <v>334</v>
      </c>
      <c r="D89" s="1">
        <f t="shared" si="6"/>
        <v>79</v>
      </c>
      <c r="E89" s="5" t="s">
        <v>506</v>
      </c>
      <c r="F89" t="s">
        <v>507</v>
      </c>
      <c r="G89" s="7">
        <v>24</v>
      </c>
      <c r="H89" s="6">
        <f>+G89*L89</f>
        <v>3715.7552880000003</v>
      </c>
      <c r="I89" s="6">
        <f>+[80]Main!$J$5-[80]Main!$J$6</f>
        <v>115.66200000000001</v>
      </c>
      <c r="J89" s="6">
        <f>+H89-I89</f>
        <v>3600.0932880000005</v>
      </c>
      <c r="K89" s="3" t="s">
        <v>1074</v>
      </c>
      <c r="L89" s="6">
        <f>+[80]Main!$J$3</f>
        <v>154.823137</v>
      </c>
      <c r="M89" s="9">
        <v>45580</v>
      </c>
    </row>
    <row r="90" spans="1:32" x14ac:dyDescent="0.25">
      <c r="D90" s="1">
        <f t="shared" ref="D90:D134" si="12">+D89+1</f>
        <v>80</v>
      </c>
      <c r="E90" s="5" t="s">
        <v>789</v>
      </c>
      <c r="F90" t="s">
        <v>1177</v>
      </c>
      <c r="G90" s="7">
        <v>44</v>
      </c>
      <c r="H90" s="6">
        <f>+G90*L90</f>
        <v>5153.3414680000005</v>
      </c>
      <c r="I90" s="6">
        <f>+[81]Main!$L$5-[81]Main!$L$6</f>
        <v>1590.0459999999998</v>
      </c>
      <c r="J90" s="6">
        <f>+H90-I90</f>
        <v>3563.2954680000007</v>
      </c>
      <c r="K90" s="3" t="s">
        <v>1074</v>
      </c>
      <c r="L90" s="6">
        <f>+[81]Main!$L$3</f>
        <v>117.121397</v>
      </c>
      <c r="M90" s="9">
        <v>45558</v>
      </c>
    </row>
    <row r="91" spans="1:32" x14ac:dyDescent="0.25">
      <c r="A91" t="s">
        <v>334</v>
      </c>
      <c r="B91"/>
      <c r="C91"/>
      <c r="D91" s="1">
        <f t="shared" si="12"/>
        <v>81</v>
      </c>
      <c r="E91" s="5" t="s">
        <v>133</v>
      </c>
      <c r="F91" s="1" t="s">
        <v>134</v>
      </c>
      <c r="G91" s="7">
        <v>26.99</v>
      </c>
      <c r="H91" s="6">
        <f>G91*L91</f>
        <v>3286.47319272</v>
      </c>
      <c r="I91" s="6">
        <f>+[82]Main!$L$5-[82]Main!$L$6</f>
        <v>-96.746999999999957</v>
      </c>
      <c r="J91" s="6">
        <f>+H91-I91</f>
        <v>3383.2201927199999</v>
      </c>
      <c r="K91" s="3" t="s">
        <v>1074</v>
      </c>
      <c r="L91" s="6">
        <f>[82]Main!$L$3</f>
        <v>121.766328</v>
      </c>
      <c r="M91" s="9">
        <v>45540</v>
      </c>
      <c r="AE91" s="1">
        <v>2009</v>
      </c>
      <c r="AF91" s="1" t="s">
        <v>997</v>
      </c>
    </row>
    <row r="92" spans="1:32" x14ac:dyDescent="0.25">
      <c r="A92"/>
      <c r="B92"/>
      <c r="C92"/>
      <c r="D92" s="1">
        <f t="shared" si="12"/>
        <v>82</v>
      </c>
      <c r="E92" s="5" t="s">
        <v>407</v>
      </c>
      <c r="F92" t="s">
        <v>408</v>
      </c>
      <c r="G92" s="19">
        <v>3.14</v>
      </c>
      <c r="H92" s="6">
        <f>+G92*L92/HKD</f>
        <v>7410.5214572128207</v>
      </c>
      <c r="I92" s="6">
        <f>([83]Main!$K$5-[83]Main!$K$6)/HKD</f>
        <v>3986.4565384615375</v>
      </c>
      <c r="J92" s="6">
        <f t="shared" ref="J92" si="13">H92-I92</f>
        <v>3424.0649187512831</v>
      </c>
      <c r="K92" s="3" t="s">
        <v>1074</v>
      </c>
      <c r="L92" s="6">
        <f>+[83]Main!$K$3</f>
        <v>18408.301708999999</v>
      </c>
      <c r="M92" s="9">
        <v>45539</v>
      </c>
    </row>
    <row r="93" spans="1:32" x14ac:dyDescent="0.25">
      <c r="A93" t="s">
        <v>334</v>
      </c>
      <c r="B93"/>
      <c r="C93"/>
      <c r="D93" s="1">
        <f t="shared" si="12"/>
        <v>83</v>
      </c>
      <c r="E93" s="5" t="s">
        <v>164</v>
      </c>
      <c r="F93" s="1" t="s">
        <v>165</v>
      </c>
      <c r="G93" s="7">
        <v>10.43</v>
      </c>
      <c r="H93" s="6">
        <f>+G93*L93</f>
        <v>3093.44341033</v>
      </c>
      <c r="I93" s="6">
        <f>+[84]Main!$M$5-[84]Main!$M$6</f>
        <v>-128.87700000000001</v>
      </c>
      <c r="J93" s="6">
        <f t="shared" ref="J93:J98" si="14">+H93-I93</f>
        <v>3222.32041033</v>
      </c>
      <c r="K93" s="3" t="s">
        <v>1074</v>
      </c>
      <c r="L93" s="6">
        <f>+[84]Main!$M$3</f>
        <v>296.59093100000001</v>
      </c>
      <c r="M93" s="9">
        <v>45580</v>
      </c>
    </row>
    <row r="94" spans="1:32" x14ac:dyDescent="0.25">
      <c r="A94"/>
      <c r="B94"/>
      <c r="C94"/>
      <c r="D94" s="1">
        <f t="shared" si="12"/>
        <v>84</v>
      </c>
      <c r="E94" s="5" t="s">
        <v>350</v>
      </c>
      <c r="F94" t="s">
        <v>691</v>
      </c>
      <c r="G94" s="3">
        <v>12.01</v>
      </c>
      <c r="H94" s="6">
        <f>+G94*L94</f>
        <v>8881.6571062399998</v>
      </c>
      <c r="I94" s="6">
        <f>+[85]Main!$K$5-[85]Main!$K$6</f>
        <v>5617.777</v>
      </c>
      <c r="J94" s="6">
        <f t="shared" si="14"/>
        <v>3263.8801062399998</v>
      </c>
      <c r="K94" s="3" t="s">
        <v>1074</v>
      </c>
      <c r="L94" s="6">
        <f>+[85]Main!$K$3</f>
        <v>739.52182400000004</v>
      </c>
      <c r="M94" s="9">
        <v>45540</v>
      </c>
    </row>
    <row r="95" spans="1:32" x14ac:dyDescent="0.25">
      <c r="A95" t="s">
        <v>334</v>
      </c>
      <c r="B95"/>
      <c r="C95"/>
      <c r="D95" s="1">
        <f t="shared" si="12"/>
        <v>85</v>
      </c>
      <c r="E95" s="5" t="s">
        <v>684</v>
      </c>
      <c r="F95" t="s">
        <v>685</v>
      </c>
      <c r="G95" s="3">
        <v>25.25</v>
      </c>
      <c r="H95" s="6">
        <f>G95*L95</f>
        <v>4272.5860572500005</v>
      </c>
      <c r="I95" s="6">
        <f>[86]Main!$K$5-[86]Main!$K$6</f>
        <v>1347.038</v>
      </c>
      <c r="J95" s="6">
        <f t="shared" si="14"/>
        <v>2925.5480572500005</v>
      </c>
      <c r="K95" s="3" t="s">
        <v>1074</v>
      </c>
      <c r="L95" s="6">
        <f>[86]Main!$K$3</f>
        <v>169.21132900000001</v>
      </c>
      <c r="M95" s="9">
        <v>45545</v>
      </c>
    </row>
    <row r="96" spans="1:32" x14ac:dyDescent="0.25">
      <c r="A96" s="1" t="s">
        <v>334</v>
      </c>
      <c r="D96" s="1">
        <f t="shared" si="12"/>
        <v>86</v>
      </c>
      <c r="E96" s="5" t="s">
        <v>148</v>
      </c>
      <c r="F96" s="1" t="s">
        <v>149</v>
      </c>
      <c r="G96" s="3">
        <v>53.29</v>
      </c>
      <c r="H96" s="6">
        <v>3560</v>
      </c>
      <c r="I96" s="6">
        <f>+[87]Main!$L$5-[87]Main!$L$6</f>
        <v>568.66099999999994</v>
      </c>
      <c r="J96" s="6">
        <f t="shared" si="14"/>
        <v>2991.3389999999999</v>
      </c>
      <c r="K96" s="3" t="s">
        <v>1044</v>
      </c>
      <c r="L96" s="6">
        <f>[87]Main!$L$3</f>
        <v>83.133341000000001</v>
      </c>
      <c r="M96" s="9">
        <v>45571</v>
      </c>
    </row>
    <row r="97" spans="1:31" x14ac:dyDescent="0.25">
      <c r="A97" t="s">
        <v>334</v>
      </c>
      <c r="B97"/>
      <c r="C97"/>
      <c r="D97" s="1">
        <f t="shared" si="12"/>
        <v>87</v>
      </c>
      <c r="E97" s="5" t="s">
        <v>212</v>
      </c>
      <c r="F97" s="1" t="s">
        <v>213</v>
      </c>
      <c r="G97" s="7">
        <v>3.52</v>
      </c>
      <c r="H97" s="6">
        <f t="shared" ref="H97:H102" si="15">+G97*L97</f>
        <v>2451.7976313599997</v>
      </c>
      <c r="I97" s="6">
        <f>+[88]Main!$J$5-[88]Main!$J$6</f>
        <v>-474.93899999999996</v>
      </c>
      <c r="J97" s="6">
        <f t="shared" si="14"/>
        <v>2926.7366313599996</v>
      </c>
      <c r="K97" s="3" t="s">
        <v>1074</v>
      </c>
      <c r="L97" s="6">
        <f>+[88]Main!$J$3</f>
        <v>696.53341799999998</v>
      </c>
      <c r="M97" s="9">
        <v>45572</v>
      </c>
    </row>
    <row r="98" spans="1:31" x14ac:dyDescent="0.25">
      <c r="A98" s="1" t="s">
        <v>334</v>
      </c>
      <c r="D98" s="1">
        <f t="shared" si="12"/>
        <v>88</v>
      </c>
      <c r="E98" s="5" t="s">
        <v>214</v>
      </c>
      <c r="F98" s="1" t="s">
        <v>215</v>
      </c>
      <c r="G98" s="3">
        <v>9.35</v>
      </c>
      <c r="H98" s="6">
        <f t="shared" si="15"/>
        <v>2837.8547031999997</v>
      </c>
      <c r="I98" s="6">
        <f>+[89]Main!$I$5-[89]Main!$I$6</f>
        <v>417.97200000000004</v>
      </c>
      <c r="J98" s="6">
        <f t="shared" si="14"/>
        <v>2419.8827031999995</v>
      </c>
      <c r="K98" s="3" t="s">
        <v>1074</v>
      </c>
      <c r="L98" s="6">
        <f>+[89]Main!$I$3</f>
        <v>303.51387199999999</v>
      </c>
      <c r="M98" s="9">
        <v>45525</v>
      </c>
    </row>
    <row r="99" spans="1:31" x14ac:dyDescent="0.25">
      <c r="A99"/>
      <c r="B99"/>
      <c r="C99"/>
      <c r="D99" s="1">
        <f t="shared" si="12"/>
        <v>89</v>
      </c>
      <c r="E99" s="5" t="s">
        <v>73</v>
      </c>
      <c r="F99" s="1" t="s">
        <v>74</v>
      </c>
      <c r="G99" s="7">
        <v>87</v>
      </c>
      <c r="H99" s="6">
        <f t="shared" si="15"/>
        <v>21113.629887000003</v>
      </c>
      <c r="I99" s="6">
        <f>+[90]Main!$K$5-[90]Main!$K$6</f>
        <v>18458.399999999998</v>
      </c>
      <c r="J99" s="6">
        <f t="shared" si="9"/>
        <v>2655.229887000005</v>
      </c>
      <c r="K99" s="3" t="s">
        <v>1074</v>
      </c>
      <c r="L99" s="6">
        <f>+[90]Main!$K$3</f>
        <v>242.68540100000001</v>
      </c>
      <c r="M99" s="9">
        <v>45537</v>
      </c>
      <c r="AE99" s="1">
        <v>2008</v>
      </c>
    </row>
    <row r="100" spans="1:31" x14ac:dyDescent="0.25">
      <c r="A100"/>
      <c r="B100"/>
      <c r="C100"/>
      <c r="D100" s="1">
        <f t="shared" si="12"/>
        <v>90</v>
      </c>
      <c r="E100" s="5" t="s">
        <v>1294</v>
      </c>
      <c r="F100" t="s">
        <v>1295</v>
      </c>
      <c r="G100" s="7">
        <v>35</v>
      </c>
      <c r="H100" s="6">
        <f t="shared" si="15"/>
        <v>2801.12</v>
      </c>
      <c r="I100" s="6">
        <f>+[91]Main!$K$5-[91]Main!$K$6</f>
        <v>140.42099999999999</v>
      </c>
      <c r="J100" s="6">
        <f>+H100-I100</f>
        <v>2660.6990000000001</v>
      </c>
      <c r="K100" s="3" t="s">
        <v>1074</v>
      </c>
      <c r="L100" s="6">
        <f>+[91]Main!$K$3</f>
        <v>80.031999999999996</v>
      </c>
      <c r="M100" s="9">
        <v>45572</v>
      </c>
    </row>
    <row r="101" spans="1:31" x14ac:dyDescent="0.25">
      <c r="A101" t="s">
        <v>334</v>
      </c>
      <c r="B101"/>
      <c r="C101"/>
      <c r="D101" s="1">
        <f t="shared" si="12"/>
        <v>91</v>
      </c>
      <c r="E101" s="5" t="s">
        <v>204</v>
      </c>
      <c r="F101" s="1" t="s">
        <v>205</v>
      </c>
      <c r="G101" s="3">
        <v>46.29</v>
      </c>
      <c r="H101" s="6">
        <f t="shared" si="15"/>
        <v>2253.2038003799998</v>
      </c>
      <c r="I101" s="6">
        <f>+[92]Main!$L$5-[92]Main!$L$6</f>
        <v>-356.94799999999998</v>
      </c>
      <c r="J101" s="6">
        <f>+H101-I101</f>
        <v>2610.1518003799997</v>
      </c>
      <c r="K101" s="3" t="s">
        <v>1074</v>
      </c>
      <c r="L101" s="6">
        <f>+[92]Main!$L$3</f>
        <v>48.675821999999997</v>
      </c>
      <c r="M101" s="9">
        <v>45576</v>
      </c>
    </row>
    <row r="102" spans="1:31" x14ac:dyDescent="0.25">
      <c r="A102" t="s">
        <v>334</v>
      </c>
      <c r="B102"/>
      <c r="C102"/>
      <c r="D102" s="1">
        <f t="shared" si="12"/>
        <v>92</v>
      </c>
      <c r="E102" s="5" t="s">
        <v>850</v>
      </c>
      <c r="F102" t="s">
        <v>851</v>
      </c>
      <c r="G102" s="3">
        <v>29.07</v>
      </c>
      <c r="H102" s="6">
        <f t="shared" si="15"/>
        <v>2725.96041216</v>
      </c>
      <c r="I102" s="6">
        <f>+[93]Main!$J$5-[93]Main!$J$6</f>
        <v>511.75100000000003</v>
      </c>
      <c r="J102" s="6">
        <f>+H102-I102</f>
        <v>2214.2094121599998</v>
      </c>
      <c r="K102" s="3" t="s">
        <v>1074</v>
      </c>
      <c r="L102" s="6">
        <f>+[93]Main!$J$3</f>
        <v>93.772288000000003</v>
      </c>
      <c r="M102" s="9">
        <v>45554</v>
      </c>
    </row>
    <row r="103" spans="1:31" x14ac:dyDescent="0.25">
      <c r="A103"/>
      <c r="B103"/>
      <c r="C103"/>
      <c r="D103" s="1">
        <f t="shared" si="12"/>
        <v>93</v>
      </c>
      <c r="E103" s="5" t="s">
        <v>120</v>
      </c>
      <c r="F103" s="1" t="s">
        <v>121</v>
      </c>
      <c r="G103" s="7">
        <v>47</v>
      </c>
      <c r="H103" s="6">
        <f>G103*L103</f>
        <v>4002.9034260000003</v>
      </c>
      <c r="I103" s="6">
        <f>[94]Main!$L$5-[94]Main!$L$6</f>
        <v>2012.8349999999998</v>
      </c>
      <c r="J103" s="6">
        <f>+H103-I103</f>
        <v>1990.0684260000005</v>
      </c>
      <c r="K103" s="3" t="s">
        <v>1074</v>
      </c>
      <c r="L103" s="6">
        <f>[94]Main!$L$3</f>
        <v>85.168158000000005</v>
      </c>
      <c r="M103" s="9">
        <v>45565</v>
      </c>
    </row>
    <row r="104" spans="1:31" x14ac:dyDescent="0.25">
      <c r="A104" t="s">
        <v>334</v>
      </c>
      <c r="B104"/>
      <c r="C104"/>
      <c r="D104" s="1">
        <f t="shared" si="12"/>
        <v>94</v>
      </c>
      <c r="E104" s="5" t="s">
        <v>712</v>
      </c>
      <c r="F104" t="s">
        <v>713</v>
      </c>
      <c r="G104" s="3">
        <v>45.02</v>
      </c>
      <c r="H104" s="6">
        <f>+G104*L104</f>
        <v>2651.8844167000002</v>
      </c>
      <c r="I104" s="6">
        <f>+[95]Main!$L$5-[95]Main!$L$6</f>
        <v>595.44399999999996</v>
      </c>
      <c r="J104" s="6">
        <f>+H104-I104</f>
        <v>2056.4404167000002</v>
      </c>
      <c r="K104" s="3" t="s">
        <v>1074</v>
      </c>
      <c r="L104" s="6">
        <f>+[95]Main!$L$3</f>
        <v>58.904584999999997</v>
      </c>
      <c r="M104" s="9">
        <v>45553</v>
      </c>
    </row>
    <row r="105" spans="1:31" x14ac:dyDescent="0.25">
      <c r="A105" t="s">
        <v>334</v>
      </c>
      <c r="B105"/>
      <c r="C105"/>
      <c r="D105" s="1">
        <f t="shared" si="12"/>
        <v>95</v>
      </c>
      <c r="E105" s="5" t="s">
        <v>125</v>
      </c>
      <c r="F105" s="1" t="s">
        <v>126</v>
      </c>
      <c r="G105" s="3">
        <v>16.22</v>
      </c>
      <c r="H105" s="6">
        <f>+G105*L105</f>
        <v>2695.3422799999998</v>
      </c>
      <c r="I105" s="6">
        <f>+[96]Main!$K$5-[96]Main!$K$6</f>
        <v>501</v>
      </c>
      <c r="J105" s="6">
        <f t="shared" ref="J105:J117" si="16">+H105-I105</f>
        <v>2194.3422799999998</v>
      </c>
      <c r="K105" s="3" t="s">
        <v>1074</v>
      </c>
      <c r="L105" s="6">
        <f>+[96]Main!$K$3</f>
        <v>166.17400000000001</v>
      </c>
      <c r="M105" s="9">
        <v>45541</v>
      </c>
    </row>
    <row r="106" spans="1:31" x14ac:dyDescent="0.25">
      <c r="A106" t="s">
        <v>334</v>
      </c>
      <c r="B106"/>
      <c r="C106"/>
      <c r="D106" s="1">
        <f t="shared" si="12"/>
        <v>96</v>
      </c>
      <c r="E106" s="5" t="s">
        <v>112</v>
      </c>
      <c r="F106" s="1" t="s">
        <v>113</v>
      </c>
      <c r="G106" s="3">
        <v>19.670000000000002</v>
      </c>
      <c r="H106" s="6">
        <f>+G106*L106</f>
        <v>2445.2814395800001</v>
      </c>
      <c r="I106" s="6">
        <f>+[97]Main!$L$5-[97]Main!$L$6</f>
        <v>436.77100000000002</v>
      </c>
      <c r="J106" s="6">
        <f>+H106-I106</f>
        <v>2008.5104395800001</v>
      </c>
      <c r="K106" s="3" t="s">
        <v>1074</v>
      </c>
      <c r="L106" s="6">
        <f>+[97]Main!$L$3</f>
        <v>124.315274</v>
      </c>
      <c r="M106" s="9">
        <v>45562</v>
      </c>
    </row>
    <row r="107" spans="1:31" x14ac:dyDescent="0.25">
      <c r="A107" t="s">
        <v>334</v>
      </c>
      <c r="B107"/>
      <c r="C107"/>
      <c r="D107" s="1">
        <f t="shared" si="12"/>
        <v>97</v>
      </c>
      <c r="E107" s="5" t="s">
        <v>368</v>
      </c>
      <c r="F107" t="s">
        <v>369</v>
      </c>
      <c r="G107" s="43">
        <v>51800</v>
      </c>
      <c r="H107" s="6">
        <f>+G107*L107/KRW</f>
        <v>2777.1378925331474</v>
      </c>
      <c r="I107" s="6">
        <f>([98]Main!$L$5-[98]Main!$L$6)/KRW</f>
        <v>792.45638520586181</v>
      </c>
      <c r="J107" s="6">
        <f t="shared" si="16"/>
        <v>1984.6815073272855</v>
      </c>
      <c r="K107" s="3" t="s">
        <v>1074</v>
      </c>
      <c r="L107" s="6">
        <f>+[98]Main!$L$3</f>
        <v>76.826999999999998</v>
      </c>
      <c r="M107" s="9">
        <v>45542</v>
      </c>
    </row>
    <row r="108" spans="1:31" x14ac:dyDescent="0.25">
      <c r="D108" s="1">
        <f t="shared" si="12"/>
        <v>98</v>
      </c>
      <c r="E108" s="5" t="s">
        <v>1299</v>
      </c>
      <c r="F108" t="s">
        <v>1300</v>
      </c>
      <c r="G108" s="7">
        <v>10</v>
      </c>
      <c r="H108" s="6">
        <f>+G108*[99]Main!$K$3</f>
        <v>1589.8400000000001</v>
      </c>
      <c r="I108" s="6">
        <f>+[99]Main!$K$5-[99]Main!$K$6</f>
        <v>371.63900000000001</v>
      </c>
      <c r="J108" s="6">
        <f>+H108-I108</f>
        <v>1218.201</v>
      </c>
      <c r="K108" s="3" t="s">
        <v>1074</v>
      </c>
      <c r="L108" s="6">
        <f>+[99]Main!$K$3</f>
        <v>158.98400000000001</v>
      </c>
      <c r="M108" s="9">
        <v>45600</v>
      </c>
    </row>
    <row r="109" spans="1:31" x14ac:dyDescent="0.25">
      <c r="D109" s="1">
        <f t="shared" si="12"/>
        <v>99</v>
      </c>
      <c r="E109" s="41" t="s">
        <v>1165</v>
      </c>
      <c r="F109" t="s">
        <v>1166</v>
      </c>
      <c r="G109" s="3">
        <v>49.43</v>
      </c>
      <c r="H109" s="6">
        <f>+G109*L109</f>
        <v>1921.42289142</v>
      </c>
      <c r="I109" s="6">
        <f>+[100]Main!$J$5-[100]Main!$J$6</f>
        <v>294.60500000000002</v>
      </c>
      <c r="J109" s="6">
        <f t="shared" si="16"/>
        <v>1626.81789142</v>
      </c>
      <c r="K109" s="3" t="s">
        <v>1074</v>
      </c>
      <c r="L109" s="6">
        <f>+[100]Main!$J$3</f>
        <v>38.871594000000002</v>
      </c>
      <c r="M109" s="9">
        <v>45546</v>
      </c>
      <c r="AE109" s="1">
        <v>1999</v>
      </c>
    </row>
    <row r="110" spans="1:31" x14ac:dyDescent="0.25">
      <c r="A110" t="s">
        <v>334</v>
      </c>
      <c r="B110"/>
      <c r="C110"/>
      <c r="D110" s="1">
        <f t="shared" si="12"/>
        <v>100</v>
      </c>
      <c r="E110" s="5" t="s">
        <v>848</v>
      </c>
      <c r="F110" t="s">
        <v>849</v>
      </c>
      <c r="G110" s="7">
        <v>41</v>
      </c>
      <c r="H110" s="6">
        <f>+G110*L110</f>
        <v>2151.7628199999999</v>
      </c>
      <c r="I110" s="6">
        <f>+[101]Main!$L$5-[101]Main!$L$6</f>
        <v>658</v>
      </c>
      <c r="J110" s="6">
        <f>+H110-I110</f>
        <v>1493.7628199999999</v>
      </c>
      <c r="K110" s="3" t="s">
        <v>1280</v>
      </c>
      <c r="L110" s="6">
        <f>+[101]Main!$L$3</f>
        <v>52.482019999999999</v>
      </c>
      <c r="M110" s="9">
        <v>45628</v>
      </c>
      <c r="AE110" s="1">
        <v>2017</v>
      </c>
    </row>
    <row r="111" spans="1:31" s="25" customFormat="1" ht="13" x14ac:dyDescent="0.3">
      <c r="A111" s="25" t="s">
        <v>334</v>
      </c>
      <c r="D111" s="1">
        <f t="shared" si="12"/>
        <v>101</v>
      </c>
      <c r="E111" s="44" t="s">
        <v>663</v>
      </c>
      <c r="F111" s="25" t="s">
        <v>664</v>
      </c>
      <c r="G111" s="55">
        <v>42</v>
      </c>
      <c r="H111" s="30">
        <f>+G111*L111</f>
        <v>2402.253854</v>
      </c>
      <c r="I111" s="30">
        <f>+[102]Main!$N$5-[102]Main!$N$6</f>
        <v>927.11899999999991</v>
      </c>
      <c r="J111" s="30">
        <f>+H111-I111</f>
        <v>1475.1348540000001</v>
      </c>
      <c r="K111" s="28" t="s">
        <v>1074</v>
      </c>
      <c r="L111" s="30">
        <f>+[102]Main!$N$3</f>
        <v>57.196520333333332</v>
      </c>
      <c r="M111" s="38">
        <v>45572</v>
      </c>
      <c r="N111" s="26"/>
      <c r="O111" s="26"/>
      <c r="P111" s="26"/>
      <c r="Q111" s="26"/>
      <c r="R111" s="2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</row>
    <row r="112" spans="1:31" x14ac:dyDescent="0.25">
      <c r="A112" t="s">
        <v>334</v>
      </c>
      <c r="B112"/>
      <c r="C112"/>
      <c r="D112" s="1">
        <f t="shared" si="12"/>
        <v>102</v>
      </c>
      <c r="E112" s="5" t="s">
        <v>293</v>
      </c>
      <c r="F112" s="1" t="s">
        <v>185</v>
      </c>
      <c r="G112" s="7">
        <v>7</v>
      </c>
      <c r="H112" s="6">
        <f>+G112*L112</f>
        <v>1444.6396159999999</v>
      </c>
      <c r="I112" s="6">
        <f>+[103]Main!$M$5-[103]Main!$M$6</f>
        <v>28.069999999999993</v>
      </c>
      <c r="J112" s="6">
        <f>+H112-I112</f>
        <v>1416.569616</v>
      </c>
      <c r="K112" s="3" t="s">
        <v>1044</v>
      </c>
      <c r="L112" s="6">
        <f>+[103]Main!$M$3</f>
        <v>206.37708799999999</v>
      </c>
      <c r="M112" s="9">
        <v>45567</v>
      </c>
    </row>
    <row r="113" spans="1:32" x14ac:dyDescent="0.25">
      <c r="A113" t="s">
        <v>334</v>
      </c>
      <c r="B113"/>
      <c r="C113"/>
      <c r="D113" s="1">
        <f t="shared" si="12"/>
        <v>103</v>
      </c>
      <c r="E113" s="5" t="s">
        <v>206</v>
      </c>
      <c r="F113" s="1" t="s">
        <v>207</v>
      </c>
      <c r="G113" s="7">
        <v>6.14</v>
      </c>
      <c r="H113" s="6">
        <f>G113*L113</f>
        <v>1759.9747146199998</v>
      </c>
      <c r="I113" s="6">
        <f>[104]Main!$K$5-[104]Main!$K$6</f>
        <v>398.91800000000001</v>
      </c>
      <c r="J113" s="6">
        <f>H113-I113</f>
        <v>1361.0567146199996</v>
      </c>
      <c r="K113" s="3" t="s">
        <v>1074</v>
      </c>
      <c r="L113" s="6">
        <f>[104]Main!$K$3</f>
        <v>286.64083299999999</v>
      </c>
      <c r="M113" s="9">
        <v>45572</v>
      </c>
    </row>
    <row r="114" spans="1:32" x14ac:dyDescent="0.25">
      <c r="A114" t="s">
        <v>334</v>
      </c>
      <c r="B114"/>
      <c r="C114"/>
      <c r="D114" s="1">
        <f t="shared" si="12"/>
        <v>104</v>
      </c>
      <c r="E114" s="5" t="s">
        <v>97</v>
      </c>
      <c r="F114" s="1" t="s">
        <v>98</v>
      </c>
      <c r="G114" s="3">
        <v>17.149999999999999</v>
      </c>
      <c r="H114" s="6">
        <f>+G114*L114</f>
        <v>1559.8953999999999</v>
      </c>
      <c r="I114" s="6">
        <f>+[105]Main!$K$5-[105]Main!$K$6</f>
        <v>278.82499999999999</v>
      </c>
      <c r="J114" s="6">
        <f>+H114-I114</f>
        <v>1281.0703999999998</v>
      </c>
      <c r="K114" s="3" t="s">
        <v>1074</v>
      </c>
      <c r="L114" s="6">
        <f>+[105]Main!$K$3</f>
        <v>90.956000000000003</v>
      </c>
      <c r="M114" s="9">
        <v>45573</v>
      </c>
    </row>
    <row r="115" spans="1:32" x14ac:dyDescent="0.25">
      <c r="A115" t="s">
        <v>334</v>
      </c>
      <c r="B115"/>
      <c r="C115"/>
      <c r="D115" s="1">
        <f t="shared" si="12"/>
        <v>105</v>
      </c>
      <c r="E115" s="5" t="s">
        <v>158</v>
      </c>
      <c r="F115" s="1" t="s">
        <v>159</v>
      </c>
      <c r="G115" s="7">
        <v>24.5</v>
      </c>
      <c r="H115" s="6">
        <f>+G115*L115</f>
        <v>2019.1826655000002</v>
      </c>
      <c r="I115" s="6">
        <f>+[106]Main!$K$5-[106]Main!$K$6</f>
        <v>1008.165</v>
      </c>
      <c r="J115" s="6">
        <f>+H115-I115</f>
        <v>1011.0176655000002</v>
      </c>
      <c r="K115" s="3" t="s">
        <v>1074</v>
      </c>
      <c r="L115" s="6">
        <f>+[106]Main!$K$3</f>
        <v>82.415619000000007</v>
      </c>
      <c r="M115" s="9">
        <v>45565</v>
      </c>
    </row>
    <row r="116" spans="1:32" x14ac:dyDescent="0.25">
      <c r="A116" t="s">
        <v>334</v>
      </c>
      <c r="B116"/>
      <c r="C116"/>
      <c r="D116" s="1">
        <f t="shared" si="12"/>
        <v>106</v>
      </c>
      <c r="E116" s="5" t="s">
        <v>145</v>
      </c>
      <c r="F116" s="1" t="s">
        <v>146</v>
      </c>
      <c r="G116" s="7">
        <v>20</v>
      </c>
      <c r="H116" s="6">
        <f>+G116*L116</f>
        <v>1929.5</v>
      </c>
      <c r="I116" s="6">
        <f>+[107]Main!$J$5-[107]Main!$J$6</f>
        <v>939.9</v>
      </c>
      <c r="J116" s="6">
        <f t="shared" ref="J116" si="17">+H116-I116</f>
        <v>989.6</v>
      </c>
      <c r="K116" s="3" t="s">
        <v>1044</v>
      </c>
      <c r="L116" s="6">
        <f>+[107]Main!$J$3</f>
        <v>96.474999999999994</v>
      </c>
      <c r="M116" s="9">
        <v>45565</v>
      </c>
    </row>
    <row r="117" spans="1:32" x14ac:dyDescent="0.25">
      <c r="A117" t="s">
        <v>334</v>
      </c>
      <c r="B117"/>
      <c r="C117"/>
      <c r="D117" s="1">
        <f t="shared" si="12"/>
        <v>107</v>
      </c>
      <c r="E117" s="5" t="s">
        <v>370</v>
      </c>
      <c r="F117" t="s">
        <v>371</v>
      </c>
      <c r="G117" s="19">
        <v>10.7</v>
      </c>
      <c r="H117" s="6">
        <f>+G117*L117/HKD</f>
        <v>1352.1643102179487</v>
      </c>
      <c r="I117" s="6">
        <f>([108]Main!$J$6-[108]Main!$J$7)/HKD</f>
        <v>376.08884615384613</v>
      </c>
      <c r="J117" s="6">
        <f t="shared" si="16"/>
        <v>976.07546406410256</v>
      </c>
      <c r="K117" s="3" t="s">
        <v>1117</v>
      </c>
      <c r="L117" s="6">
        <f>+[108]Main!$J$4</f>
        <v>985.68987100000004</v>
      </c>
      <c r="M117" s="9">
        <v>45543</v>
      </c>
      <c r="AF117" s="1">
        <v>2012</v>
      </c>
    </row>
    <row r="118" spans="1:32" x14ac:dyDescent="0.25">
      <c r="A118"/>
      <c r="B118"/>
      <c r="C118"/>
      <c r="D118" s="1">
        <f>+D117</f>
        <v>107</v>
      </c>
      <c r="E118" s="5" t="s">
        <v>370</v>
      </c>
      <c r="F118" t="s">
        <v>1187</v>
      </c>
      <c r="G118" s="7">
        <v>27.72</v>
      </c>
      <c r="H118" s="6"/>
      <c r="K118" s="3" t="str">
        <f>+K117</f>
        <v>Q423</v>
      </c>
      <c r="L118" s="6"/>
      <c r="M118" s="9">
        <f>+M117</f>
        <v>45543</v>
      </c>
    </row>
    <row r="119" spans="1:32" x14ac:dyDescent="0.25">
      <c r="A119" s="1" t="s">
        <v>334</v>
      </c>
      <c r="D119" s="1">
        <f t="shared" si="12"/>
        <v>108</v>
      </c>
      <c r="E119" s="5" t="s">
        <v>110</v>
      </c>
      <c r="F119" s="1" t="s">
        <v>111</v>
      </c>
      <c r="G119" s="7">
        <v>20.25</v>
      </c>
      <c r="H119" s="6">
        <f>+G119*L119</f>
        <v>1252.1289825000001</v>
      </c>
      <c r="I119" s="6">
        <f>+[109]Main!$O$5-[109]Main!$O$6</f>
        <v>637.79299999999989</v>
      </c>
      <c r="J119" s="6">
        <f>+H119-I119</f>
        <v>614.33598250000023</v>
      </c>
      <c r="K119" s="3" t="s">
        <v>1074</v>
      </c>
      <c r="L119" s="6">
        <f>+[109]Main!$O$3</f>
        <v>61.833530000000003</v>
      </c>
      <c r="M119" s="9">
        <v>45563</v>
      </c>
    </row>
    <row r="120" spans="1:32" x14ac:dyDescent="0.25">
      <c r="D120" s="1">
        <f t="shared" si="12"/>
        <v>109</v>
      </c>
      <c r="E120" s="5" t="s">
        <v>739</v>
      </c>
      <c r="F120" t="s">
        <v>740</v>
      </c>
      <c r="G120" s="3">
        <v>4.13</v>
      </c>
      <c r="H120" s="6">
        <f>+G120*L120</f>
        <v>918.92499999999995</v>
      </c>
      <c r="I120" s="6">
        <f>+[110]Main!$I$5-[110]Main!$I$6</f>
        <v>251.643</v>
      </c>
      <c r="J120" s="6">
        <f>+H120-I120</f>
        <v>667.28199999999993</v>
      </c>
      <c r="K120" s="3" t="s">
        <v>1074</v>
      </c>
      <c r="L120" s="6">
        <f>+[110]Main!$I$3</f>
        <v>222.5</v>
      </c>
      <c r="M120" s="9">
        <v>45593</v>
      </c>
    </row>
    <row r="121" spans="1:32" x14ac:dyDescent="0.25">
      <c r="A121" t="s">
        <v>334</v>
      </c>
      <c r="B121"/>
      <c r="C121"/>
      <c r="D121" s="1">
        <f>+D114+1</f>
        <v>105</v>
      </c>
      <c r="E121" s="5" t="s">
        <v>763</v>
      </c>
      <c r="F121" t="s">
        <v>764</v>
      </c>
      <c r="G121" s="7">
        <v>11.13</v>
      </c>
      <c r="H121" s="6">
        <f>+G121*L121</f>
        <v>760.17899999999997</v>
      </c>
      <c r="I121" s="6">
        <f>+[111]Main!$K$5-[111]Main!$K$6</f>
        <v>423.93200000000002</v>
      </c>
      <c r="J121" s="6">
        <f>+H121-I121</f>
        <v>336.24699999999996</v>
      </c>
      <c r="K121" s="3" t="s">
        <v>1074</v>
      </c>
      <c r="L121" s="6">
        <v>68.3</v>
      </c>
      <c r="M121" s="9">
        <v>45565</v>
      </c>
      <c r="AE121" s="1">
        <v>2015</v>
      </c>
    </row>
    <row r="122" spans="1:32" x14ac:dyDescent="0.25">
      <c r="A122"/>
      <c r="B122"/>
      <c r="C122"/>
      <c r="D122" s="1">
        <f t="shared" si="12"/>
        <v>106</v>
      </c>
      <c r="E122" s="5" t="s">
        <v>1161</v>
      </c>
      <c r="F122" t="s">
        <v>1162</v>
      </c>
      <c r="G122" s="3">
        <v>3.04</v>
      </c>
      <c r="H122" s="6">
        <f>+G122*L122</f>
        <v>757.70519216000002</v>
      </c>
      <c r="I122" s="6">
        <f>+[112]Main!$K$5-[112]Main!$K$6</f>
        <v>565.53499999999997</v>
      </c>
      <c r="J122" s="6">
        <f>+H122-I122</f>
        <v>192.17019216000006</v>
      </c>
      <c r="K122" s="3" t="s">
        <v>1074</v>
      </c>
      <c r="L122" s="6">
        <f>+[112]Main!$K$3</f>
        <v>249.24512899999999</v>
      </c>
      <c r="M122" s="9">
        <v>45505</v>
      </c>
      <c r="AE122" s="1">
        <v>2018</v>
      </c>
    </row>
    <row r="123" spans="1:32" x14ac:dyDescent="0.25">
      <c r="A123" t="s">
        <v>334</v>
      </c>
      <c r="B123"/>
      <c r="C123"/>
      <c r="D123" s="1">
        <f t="shared" si="12"/>
        <v>107</v>
      </c>
      <c r="E123" s="5" t="s">
        <v>156</v>
      </c>
      <c r="F123" s="1" t="s">
        <v>157</v>
      </c>
      <c r="G123" s="3">
        <v>2.38</v>
      </c>
      <c r="H123" s="6">
        <f>+G123*L123</f>
        <v>701.30396615999996</v>
      </c>
      <c r="I123" s="6">
        <f>+[113]Main!$L$5-[113]Main!$L$6</f>
        <v>851.52300000000002</v>
      </c>
      <c r="J123" s="6">
        <f>+H123-I123</f>
        <v>-150.21903384000007</v>
      </c>
      <c r="K123" s="3" t="s">
        <v>1074</v>
      </c>
      <c r="L123" s="6">
        <f>+[113]Main!$L$3</f>
        <v>294.66553199999998</v>
      </c>
      <c r="M123" s="9">
        <v>45536</v>
      </c>
    </row>
    <row r="124" spans="1:32" x14ac:dyDescent="0.25">
      <c r="D124" s="1">
        <f t="shared" si="12"/>
        <v>108</v>
      </c>
      <c r="E124" t="s">
        <v>731</v>
      </c>
      <c r="F124" t="s">
        <v>732</v>
      </c>
      <c r="G124" s="3">
        <v>50.49</v>
      </c>
      <c r="H124" s="6">
        <v>4000</v>
      </c>
    </row>
    <row r="125" spans="1:32" x14ac:dyDescent="0.25">
      <c r="D125" s="1">
        <f t="shared" si="12"/>
        <v>109</v>
      </c>
      <c r="E125" s="1" t="s">
        <v>498</v>
      </c>
      <c r="F125" s="1" t="s">
        <v>499</v>
      </c>
      <c r="G125" s="3">
        <v>12.37</v>
      </c>
      <c r="H125" s="6">
        <v>3700</v>
      </c>
    </row>
    <row r="126" spans="1:32" x14ac:dyDescent="0.25">
      <c r="A126" t="s">
        <v>334</v>
      </c>
      <c r="B126"/>
      <c r="C126"/>
      <c r="D126" s="1">
        <f t="shared" si="12"/>
        <v>110</v>
      </c>
      <c r="E126" s="1" t="s">
        <v>166</v>
      </c>
      <c r="F126" s="1" t="s">
        <v>167</v>
      </c>
      <c r="G126" s="3">
        <v>55.33</v>
      </c>
      <c r="H126" s="6">
        <v>3280</v>
      </c>
    </row>
    <row r="127" spans="1:32" x14ac:dyDescent="0.25">
      <c r="A127" t="s">
        <v>334</v>
      </c>
      <c r="B127"/>
      <c r="C127"/>
      <c r="D127" s="1">
        <f t="shared" si="12"/>
        <v>111</v>
      </c>
      <c r="E127" s="1" t="s">
        <v>154</v>
      </c>
      <c r="F127" s="1" t="s">
        <v>155</v>
      </c>
      <c r="G127" s="3">
        <v>29.49</v>
      </c>
      <c r="H127" s="6">
        <v>2880</v>
      </c>
    </row>
    <row r="128" spans="1:32" x14ac:dyDescent="0.25">
      <c r="A128" t="s">
        <v>334</v>
      </c>
      <c r="B128"/>
      <c r="C128"/>
      <c r="D128" s="1">
        <f t="shared" si="12"/>
        <v>112</v>
      </c>
      <c r="E128" s="5" t="s">
        <v>162</v>
      </c>
      <c r="F128" s="1" t="s">
        <v>163</v>
      </c>
      <c r="G128" s="7">
        <v>8.08</v>
      </c>
      <c r="H128" s="6">
        <v>2230</v>
      </c>
    </row>
    <row r="129" spans="1:8" x14ac:dyDescent="0.25">
      <c r="A129"/>
      <c r="B129"/>
      <c r="C129"/>
      <c r="D129" s="1">
        <f t="shared" si="12"/>
        <v>113</v>
      </c>
      <c r="E129" s="1" t="s">
        <v>522</v>
      </c>
      <c r="F129" t="s">
        <v>124</v>
      </c>
      <c r="G129" s="3">
        <v>18.91</v>
      </c>
      <c r="H129" s="6"/>
    </row>
    <row r="130" spans="1:8" x14ac:dyDescent="0.25">
      <c r="A130" t="s">
        <v>334</v>
      </c>
      <c r="B130"/>
      <c r="C130"/>
      <c r="D130" s="1">
        <f t="shared" si="12"/>
        <v>114</v>
      </c>
      <c r="E130" t="s">
        <v>716</v>
      </c>
      <c r="F130" t="s">
        <v>717</v>
      </c>
      <c r="G130" s="3">
        <v>4.0599999999999996</v>
      </c>
      <c r="H130" s="6">
        <v>2400</v>
      </c>
    </row>
    <row r="131" spans="1:8" x14ac:dyDescent="0.25">
      <c r="A131" t="s">
        <v>334</v>
      </c>
      <c r="B131"/>
      <c r="C131"/>
      <c r="D131" s="1">
        <f t="shared" si="12"/>
        <v>115</v>
      </c>
      <c r="E131" s="1" t="s">
        <v>173</v>
      </c>
      <c r="F131" s="1" t="s">
        <v>174</v>
      </c>
      <c r="G131" s="7">
        <v>20.010000000000002</v>
      </c>
      <c r="H131" s="6">
        <v>2150</v>
      </c>
    </row>
    <row r="132" spans="1:8" x14ac:dyDescent="0.25">
      <c r="A132" t="s">
        <v>334</v>
      </c>
      <c r="B132"/>
      <c r="C132"/>
      <c r="D132" s="1">
        <f t="shared" si="12"/>
        <v>116</v>
      </c>
      <c r="E132" s="1" t="s">
        <v>202</v>
      </c>
      <c r="F132" s="1" t="s">
        <v>203</v>
      </c>
      <c r="G132" s="7">
        <v>57.1</v>
      </c>
      <c r="H132" s="6">
        <v>2590</v>
      </c>
    </row>
    <row r="133" spans="1:8" x14ac:dyDescent="0.25">
      <c r="A133" t="s">
        <v>334</v>
      </c>
      <c r="B133"/>
      <c r="C133"/>
      <c r="D133" s="1">
        <f t="shared" si="12"/>
        <v>117</v>
      </c>
      <c r="E133" s="1" t="s">
        <v>179</v>
      </c>
      <c r="F133" s="1" t="s">
        <v>180</v>
      </c>
      <c r="G133" s="3">
        <v>48.73</v>
      </c>
      <c r="H133" s="6">
        <v>2540</v>
      </c>
    </row>
    <row r="134" spans="1:8" x14ac:dyDescent="0.25">
      <c r="A134" t="s">
        <v>334</v>
      </c>
      <c r="B134"/>
      <c r="C134"/>
      <c r="D134" s="1">
        <f t="shared" si="12"/>
        <v>118</v>
      </c>
      <c r="E134" s="1" t="s">
        <v>190</v>
      </c>
      <c r="F134" s="1" t="s">
        <v>191</v>
      </c>
      <c r="G134" s="3">
        <v>37.96</v>
      </c>
      <c r="H134" s="6">
        <v>2360</v>
      </c>
    </row>
    <row r="135" spans="1:8" x14ac:dyDescent="0.25">
      <c r="A135" t="s">
        <v>334</v>
      </c>
      <c r="B135"/>
      <c r="C135"/>
      <c r="D135" s="1">
        <f t="shared" ref="D135:D137" si="18">+D134+1</f>
        <v>119</v>
      </c>
      <c r="E135" s="1" t="s">
        <v>210</v>
      </c>
      <c r="F135" s="1" t="s">
        <v>211</v>
      </c>
      <c r="G135" s="3">
        <v>36.86</v>
      </c>
      <c r="H135" s="6">
        <v>1990</v>
      </c>
    </row>
    <row r="136" spans="1:8" x14ac:dyDescent="0.25">
      <c r="A136"/>
      <c r="B136"/>
      <c r="C136"/>
      <c r="D136" s="1">
        <f t="shared" si="18"/>
        <v>120</v>
      </c>
      <c r="E136" t="s">
        <v>358</v>
      </c>
      <c r="F136" t="s">
        <v>359</v>
      </c>
    </row>
    <row r="137" spans="1:8" x14ac:dyDescent="0.25">
      <c r="A137"/>
      <c r="B137"/>
      <c r="C137"/>
      <c r="D137" s="1">
        <f t="shared" si="18"/>
        <v>121</v>
      </c>
      <c r="E137" t="s">
        <v>356</v>
      </c>
      <c r="F137" t="s">
        <v>357</v>
      </c>
    </row>
    <row r="138" spans="1:8" x14ac:dyDescent="0.25">
      <c r="D138" s="1">
        <f t="shared" ref="D138:D201" si="19">+D137+1</f>
        <v>122</v>
      </c>
      <c r="E138" t="s">
        <v>272</v>
      </c>
      <c r="F138" t="s">
        <v>273</v>
      </c>
    </row>
    <row r="139" spans="1:8" x14ac:dyDescent="0.25">
      <c r="D139" s="1">
        <f t="shared" si="19"/>
        <v>123</v>
      </c>
      <c r="E139" t="s">
        <v>1426</v>
      </c>
      <c r="F139" t="s">
        <v>1427</v>
      </c>
      <c r="G139" s="7">
        <v>2.1</v>
      </c>
    </row>
    <row r="140" spans="1:8" x14ac:dyDescent="0.25">
      <c r="D140" s="1">
        <f t="shared" si="19"/>
        <v>124</v>
      </c>
      <c r="E140" t="s">
        <v>1428</v>
      </c>
      <c r="F140" t="s">
        <v>1429</v>
      </c>
      <c r="G140" s="7"/>
    </row>
    <row r="141" spans="1:8" x14ac:dyDescent="0.25">
      <c r="D141" s="1">
        <f t="shared" si="19"/>
        <v>125</v>
      </c>
      <c r="E141" t="s">
        <v>269</v>
      </c>
      <c r="F141" t="s">
        <v>270</v>
      </c>
    </row>
    <row r="142" spans="1:8" x14ac:dyDescent="0.25">
      <c r="D142" s="1">
        <f t="shared" si="19"/>
        <v>126</v>
      </c>
      <c r="E142" s="5" t="s">
        <v>1430</v>
      </c>
      <c r="F142" t="s">
        <v>1431</v>
      </c>
      <c r="G142" s="7">
        <v>2.06</v>
      </c>
    </row>
    <row r="143" spans="1:8" x14ac:dyDescent="0.25">
      <c r="D143" s="1">
        <f>+D141+1</f>
        <v>126</v>
      </c>
      <c r="E143" t="s">
        <v>362</v>
      </c>
      <c r="F143" t="s">
        <v>363</v>
      </c>
    </row>
    <row r="144" spans="1:8" x14ac:dyDescent="0.25">
      <c r="A144"/>
      <c r="B144"/>
      <c r="C144"/>
      <c r="D144" s="1">
        <f t="shared" si="19"/>
        <v>127</v>
      </c>
      <c r="E144" t="s">
        <v>1060</v>
      </c>
      <c r="F144" t="s">
        <v>1061</v>
      </c>
    </row>
    <row r="145" spans="1:31" x14ac:dyDescent="0.25">
      <c r="A145"/>
      <c r="B145"/>
      <c r="C145"/>
      <c r="D145" s="1">
        <f t="shared" si="19"/>
        <v>128</v>
      </c>
      <c r="E145" t="s">
        <v>1058</v>
      </c>
      <c r="F145" t="s">
        <v>1059</v>
      </c>
      <c r="G145" s="7"/>
    </row>
    <row r="146" spans="1:31" x14ac:dyDescent="0.25">
      <c r="A146"/>
      <c r="B146"/>
      <c r="C146"/>
      <c r="D146" s="1">
        <f t="shared" si="19"/>
        <v>129</v>
      </c>
      <c r="E146" t="s">
        <v>1432</v>
      </c>
      <c r="F146"/>
      <c r="G146" s="7"/>
    </row>
    <row r="147" spans="1:31" x14ac:dyDescent="0.25">
      <c r="A147"/>
      <c r="B147"/>
      <c r="C147"/>
      <c r="D147" s="1">
        <f t="shared" si="19"/>
        <v>130</v>
      </c>
      <c r="E147" t="s">
        <v>597</v>
      </c>
      <c r="F147" t="s">
        <v>598</v>
      </c>
    </row>
    <row r="148" spans="1:31" x14ac:dyDescent="0.25">
      <c r="D148" s="1">
        <f t="shared" si="19"/>
        <v>131</v>
      </c>
      <c r="E148" s="1" t="s">
        <v>116</v>
      </c>
      <c r="F148" s="1" t="s">
        <v>117</v>
      </c>
      <c r="G148" s="3">
        <v>83.97</v>
      </c>
    </row>
    <row r="149" spans="1:31" x14ac:dyDescent="0.25">
      <c r="A149"/>
      <c r="B149"/>
      <c r="C149"/>
      <c r="D149" s="1">
        <f t="shared" si="19"/>
        <v>132</v>
      </c>
      <c r="E149" t="s">
        <v>1064</v>
      </c>
      <c r="F149" t="s">
        <v>1065</v>
      </c>
      <c r="H149" s="6"/>
    </row>
    <row r="150" spans="1:31" x14ac:dyDescent="0.25">
      <c r="A150"/>
      <c r="B150"/>
      <c r="C150"/>
      <c r="D150" s="1">
        <f t="shared" si="19"/>
        <v>133</v>
      </c>
      <c r="E150" t="s">
        <v>1120</v>
      </c>
      <c r="F150" t="s">
        <v>1121</v>
      </c>
      <c r="H150" s="6"/>
    </row>
    <row r="151" spans="1:31" x14ac:dyDescent="0.25">
      <c r="A151"/>
      <c r="B151"/>
      <c r="C151"/>
      <c r="D151" s="1">
        <f t="shared" si="19"/>
        <v>134</v>
      </c>
      <c r="E151" t="s">
        <v>1069</v>
      </c>
      <c r="H151" s="6"/>
    </row>
    <row r="152" spans="1:31" x14ac:dyDescent="0.25">
      <c r="A152"/>
      <c r="B152"/>
      <c r="C152"/>
      <c r="D152" s="1">
        <f t="shared" si="19"/>
        <v>135</v>
      </c>
      <c r="E152" t="s">
        <v>1070</v>
      </c>
      <c r="H152" s="6"/>
    </row>
    <row r="153" spans="1:31" x14ac:dyDescent="0.25">
      <c r="A153"/>
      <c r="B153"/>
      <c r="C153"/>
      <c r="D153" s="1">
        <f t="shared" si="19"/>
        <v>136</v>
      </c>
      <c r="E153" t="s">
        <v>336</v>
      </c>
      <c r="F153" t="s">
        <v>337</v>
      </c>
      <c r="H153" s="6"/>
    </row>
    <row r="154" spans="1:31" x14ac:dyDescent="0.25">
      <c r="A154"/>
      <c r="B154"/>
      <c r="C154"/>
      <c r="D154" s="1">
        <f t="shared" si="19"/>
        <v>137</v>
      </c>
      <c r="E154" t="s">
        <v>1068</v>
      </c>
      <c r="H154" s="6"/>
    </row>
    <row r="155" spans="1:31" x14ac:dyDescent="0.25">
      <c r="A155"/>
      <c r="B155"/>
      <c r="C155"/>
      <c r="D155" s="1">
        <f t="shared" si="19"/>
        <v>138</v>
      </c>
      <c r="E155" t="s">
        <v>1150</v>
      </c>
      <c r="F155" s="1" t="s">
        <v>1151</v>
      </c>
      <c r="H155" s="6"/>
    </row>
    <row r="156" spans="1:31" x14ac:dyDescent="0.25">
      <c r="A156" t="s">
        <v>334</v>
      </c>
      <c r="B156"/>
      <c r="C156"/>
      <c r="D156" s="1">
        <f t="shared" si="19"/>
        <v>139</v>
      </c>
      <c r="E156" t="s">
        <v>682</v>
      </c>
      <c r="F156" t="s">
        <v>683</v>
      </c>
    </row>
    <row r="157" spans="1:31" x14ac:dyDescent="0.25">
      <c r="A157"/>
      <c r="B157"/>
      <c r="C157"/>
      <c r="D157" s="1">
        <f t="shared" si="19"/>
        <v>140</v>
      </c>
      <c r="E157" t="s">
        <v>307</v>
      </c>
      <c r="F157" t="s">
        <v>308</v>
      </c>
      <c r="G157" s="3">
        <v>4.26</v>
      </c>
      <c r="H157" s="6"/>
      <c r="AE157" s="1">
        <v>2011</v>
      </c>
    </row>
    <row r="158" spans="1:31" x14ac:dyDescent="0.25">
      <c r="A158" t="s">
        <v>334</v>
      </c>
      <c r="B158"/>
      <c r="C158"/>
      <c r="D158" s="1">
        <f t="shared" si="19"/>
        <v>141</v>
      </c>
      <c r="E158" s="5" t="s">
        <v>375</v>
      </c>
      <c r="F158" t="s">
        <v>376</v>
      </c>
      <c r="G158" s="3">
        <v>32.26</v>
      </c>
      <c r="H158" s="6">
        <f>+G158*L158</f>
        <v>1873.2795513199999</v>
      </c>
      <c r="I158" s="6">
        <f>+[114]Main!$J$5-[114]Main!$J$6</f>
        <v>566.44900000000007</v>
      </c>
      <c r="J158" s="6">
        <f t="shared" ref="J158:J160" si="20">+H158-I158</f>
        <v>1306.8305513199998</v>
      </c>
      <c r="K158" s="3" t="s">
        <v>301</v>
      </c>
      <c r="L158" s="6">
        <f>+[114]Main!$J$3</f>
        <v>58.068182</v>
      </c>
      <c r="M158" s="9">
        <v>44824</v>
      </c>
    </row>
    <row r="159" spans="1:31" x14ac:dyDescent="0.25">
      <c r="A159" t="s">
        <v>334</v>
      </c>
      <c r="B159"/>
      <c r="C159"/>
      <c r="D159" s="1">
        <f t="shared" si="19"/>
        <v>142</v>
      </c>
      <c r="E159" s="5" t="s">
        <v>512</v>
      </c>
      <c r="F159" t="s">
        <v>513</v>
      </c>
      <c r="G159" s="3">
        <v>12.41</v>
      </c>
      <c r="H159" s="6">
        <f>G159*L159</f>
        <v>686.11028007999994</v>
      </c>
      <c r="I159" s="6">
        <f>[115]Main!$L$5-[115]Main!$L$6</f>
        <v>578</v>
      </c>
      <c r="J159" s="6">
        <f t="shared" si="20"/>
        <v>108.11028007999994</v>
      </c>
      <c r="K159" s="3" t="s">
        <v>649</v>
      </c>
      <c r="L159" s="6">
        <f>[115]Main!$L$3</f>
        <v>55.286887999999998</v>
      </c>
      <c r="M159" s="9">
        <v>45064</v>
      </c>
    </row>
    <row r="160" spans="1:31" x14ac:dyDescent="0.25">
      <c r="A160" t="s">
        <v>334</v>
      </c>
      <c r="B160"/>
      <c r="C160"/>
      <c r="D160" s="1">
        <f t="shared" si="19"/>
        <v>143</v>
      </c>
      <c r="E160" s="5" t="s">
        <v>782</v>
      </c>
      <c r="F160" t="s">
        <v>783</v>
      </c>
      <c r="G160" s="7">
        <v>3.06</v>
      </c>
      <c r="H160" s="6">
        <f>G160*L160</f>
        <v>205.55876502000001</v>
      </c>
      <c r="I160" s="6">
        <f>[116]Main!$O$5-[116]Main!$O$6</f>
        <v>345.67399999999998</v>
      </c>
      <c r="J160" s="6">
        <f t="shared" si="20"/>
        <v>-140.11523497999997</v>
      </c>
      <c r="K160" s="3" t="s">
        <v>649</v>
      </c>
      <c r="L160" s="6">
        <f>[116]Main!$O$3</f>
        <v>67.176067000000003</v>
      </c>
      <c r="M160" s="9">
        <v>45067</v>
      </c>
    </row>
    <row r="161" spans="1:13" x14ac:dyDescent="0.25">
      <c r="A161" t="s">
        <v>334</v>
      </c>
      <c r="B161"/>
      <c r="C161"/>
      <c r="D161" s="1">
        <f t="shared" si="19"/>
        <v>144</v>
      </c>
      <c r="E161" s="5" t="s">
        <v>181</v>
      </c>
      <c r="F161" s="1" t="s">
        <v>182</v>
      </c>
      <c r="G161" s="7">
        <v>7.28</v>
      </c>
      <c r="H161" s="6">
        <f>G161*L161</f>
        <v>434.74418623999998</v>
      </c>
      <c r="I161" s="6">
        <f>[117]Main!$K$5-[117]Main!$K$6</f>
        <v>1272.4940000000001</v>
      </c>
      <c r="J161" s="6">
        <f>H161-I161</f>
        <v>-837.74981376000017</v>
      </c>
      <c r="K161" s="3" t="s">
        <v>517</v>
      </c>
      <c r="L161" s="6">
        <f>[117]Main!$K$3</f>
        <v>59.717607999999998</v>
      </c>
      <c r="M161" s="9">
        <v>44999</v>
      </c>
    </row>
    <row r="162" spans="1:13" x14ac:dyDescent="0.25">
      <c r="A162"/>
      <c r="B162"/>
      <c r="C162"/>
      <c r="D162" s="1">
        <f t="shared" si="19"/>
        <v>145</v>
      </c>
      <c r="E162" s="5" t="s">
        <v>141</v>
      </c>
      <c r="F162" t="s">
        <v>1180</v>
      </c>
      <c r="G162" s="7">
        <v>5.91</v>
      </c>
      <c r="H162" s="6"/>
    </row>
    <row r="163" spans="1:13" x14ac:dyDescent="0.25">
      <c r="A163"/>
      <c r="B163"/>
      <c r="C163"/>
      <c r="D163" s="1">
        <f t="shared" si="19"/>
        <v>146</v>
      </c>
      <c r="E163" s="5" t="s">
        <v>141</v>
      </c>
      <c r="F163" t="s">
        <v>142</v>
      </c>
      <c r="G163" s="7">
        <v>3.32</v>
      </c>
      <c r="H163" s="6"/>
    </row>
    <row r="164" spans="1:13" x14ac:dyDescent="0.25">
      <c r="A164"/>
      <c r="B164"/>
      <c r="C164"/>
      <c r="D164" s="1">
        <f t="shared" si="19"/>
        <v>147</v>
      </c>
      <c r="E164" s="1" t="s">
        <v>216</v>
      </c>
      <c r="F164" s="1" t="s">
        <v>217</v>
      </c>
      <c r="G164" s="3">
        <v>18.309999999999999</v>
      </c>
      <c r="H164" s="6">
        <v>1930</v>
      </c>
    </row>
    <row r="165" spans="1:13" x14ac:dyDescent="0.25">
      <c r="A165"/>
      <c r="B165"/>
      <c r="C165"/>
      <c r="D165" s="1">
        <f t="shared" si="19"/>
        <v>148</v>
      </c>
      <c r="E165" t="s">
        <v>1182</v>
      </c>
      <c r="F165" t="s">
        <v>1183</v>
      </c>
      <c r="H165" s="6"/>
    </row>
    <row r="166" spans="1:13" x14ac:dyDescent="0.25">
      <c r="A166"/>
      <c r="B166"/>
      <c r="C166"/>
      <c r="D166" s="1">
        <f t="shared" si="19"/>
        <v>149</v>
      </c>
      <c r="E166" t="s">
        <v>1124</v>
      </c>
      <c r="F166" t="s">
        <v>1125</v>
      </c>
      <c r="H166" s="6"/>
    </row>
    <row r="167" spans="1:13" x14ac:dyDescent="0.25">
      <c r="D167" s="1">
        <f t="shared" si="19"/>
        <v>150</v>
      </c>
      <c r="E167" t="s">
        <v>1126</v>
      </c>
      <c r="F167" t="s">
        <v>1127</v>
      </c>
    </row>
    <row r="168" spans="1:13" x14ac:dyDescent="0.25">
      <c r="A168" t="s">
        <v>334</v>
      </c>
      <c r="B168"/>
      <c r="C168"/>
      <c r="D168" s="1">
        <f t="shared" si="19"/>
        <v>151</v>
      </c>
      <c r="E168" t="s">
        <v>694</v>
      </c>
      <c r="F168" t="s">
        <v>695</v>
      </c>
      <c r="H168" s="6"/>
    </row>
    <row r="169" spans="1:13" x14ac:dyDescent="0.25">
      <c r="A169" t="s">
        <v>334</v>
      </c>
      <c r="B169"/>
      <c r="C169"/>
      <c r="D169" s="1">
        <f t="shared" si="19"/>
        <v>152</v>
      </c>
      <c r="E169" s="1" t="s">
        <v>187</v>
      </c>
      <c r="F169" s="1" t="s">
        <v>188</v>
      </c>
      <c r="G169" s="7">
        <v>10.1</v>
      </c>
      <c r="H169" s="6">
        <v>1880</v>
      </c>
    </row>
    <row r="170" spans="1:13" x14ac:dyDescent="0.25">
      <c r="A170" t="s">
        <v>334</v>
      </c>
      <c r="B170"/>
      <c r="C170"/>
      <c r="D170" s="1">
        <f t="shared" si="19"/>
        <v>153</v>
      </c>
      <c r="E170" s="1" t="s">
        <v>784</v>
      </c>
      <c r="F170" s="1" t="s">
        <v>170</v>
      </c>
      <c r="G170" s="3">
        <v>38.67</v>
      </c>
      <c r="H170" s="6">
        <v>1770</v>
      </c>
    </row>
    <row r="171" spans="1:13" x14ac:dyDescent="0.25">
      <c r="A171" t="s">
        <v>334</v>
      </c>
      <c r="B171"/>
      <c r="C171"/>
      <c r="D171" s="1">
        <f t="shared" si="19"/>
        <v>154</v>
      </c>
      <c r="E171" t="s">
        <v>377</v>
      </c>
      <c r="F171" t="s">
        <v>378</v>
      </c>
      <c r="G171" s="7">
        <v>43.5</v>
      </c>
    </row>
    <row r="172" spans="1:13" x14ac:dyDescent="0.25">
      <c r="A172" t="s">
        <v>334</v>
      </c>
      <c r="B172"/>
      <c r="C172"/>
      <c r="D172" s="1">
        <f t="shared" si="19"/>
        <v>155</v>
      </c>
      <c r="E172" t="s">
        <v>692</v>
      </c>
      <c r="F172" t="s">
        <v>693</v>
      </c>
      <c r="G172" s="7"/>
    </row>
    <row r="173" spans="1:13" x14ac:dyDescent="0.25">
      <c r="A173"/>
      <c r="B173"/>
      <c r="C173"/>
      <c r="D173" s="1">
        <f t="shared" si="19"/>
        <v>156</v>
      </c>
      <c r="E173" s="5" t="s">
        <v>1072</v>
      </c>
      <c r="F173" t="s">
        <v>1073</v>
      </c>
      <c r="G173" s="7">
        <v>17</v>
      </c>
      <c r="H173" s="6"/>
    </row>
    <row r="174" spans="1:13" x14ac:dyDescent="0.25">
      <c r="A174" t="s">
        <v>334</v>
      </c>
      <c r="B174"/>
      <c r="C174"/>
      <c r="D174" s="1">
        <f t="shared" si="19"/>
        <v>157</v>
      </c>
      <c r="E174" t="s">
        <v>726</v>
      </c>
      <c r="H174" s="6"/>
    </row>
    <row r="175" spans="1:13" x14ac:dyDescent="0.25">
      <c r="A175" t="s">
        <v>334</v>
      </c>
      <c r="B175"/>
      <c r="C175"/>
      <c r="D175" s="1">
        <f t="shared" si="19"/>
        <v>158</v>
      </c>
      <c r="E175" s="1" t="s">
        <v>183</v>
      </c>
      <c r="F175" s="1" t="s">
        <v>184</v>
      </c>
      <c r="G175" s="3">
        <v>41.59</v>
      </c>
      <c r="H175" s="6">
        <v>1730</v>
      </c>
    </row>
    <row r="176" spans="1:13" x14ac:dyDescent="0.25">
      <c r="A176" t="s">
        <v>334</v>
      </c>
      <c r="B176"/>
      <c r="C176"/>
      <c r="D176" s="1">
        <f t="shared" si="19"/>
        <v>159</v>
      </c>
      <c r="E176" s="1" t="s">
        <v>177</v>
      </c>
      <c r="F176" s="1" t="s">
        <v>178</v>
      </c>
      <c r="G176" s="3">
        <v>22.22</v>
      </c>
      <c r="H176" s="6">
        <v>1720</v>
      </c>
    </row>
    <row r="177" spans="1:8" ht="13" x14ac:dyDescent="0.3">
      <c r="A177" s="1" t="s">
        <v>334</v>
      </c>
      <c r="D177" s="1">
        <f t="shared" si="19"/>
        <v>160</v>
      </c>
      <c r="E177" s="25" t="s">
        <v>623</v>
      </c>
      <c r="F177" s="25" t="s">
        <v>624</v>
      </c>
      <c r="G177" s="26">
        <v>20.66</v>
      </c>
      <c r="H177" s="27">
        <v>1400</v>
      </c>
    </row>
    <row r="178" spans="1:8" x14ac:dyDescent="0.25">
      <c r="A178" t="s">
        <v>334</v>
      </c>
      <c r="B178"/>
      <c r="C178"/>
      <c r="D178" s="1">
        <f t="shared" si="19"/>
        <v>161</v>
      </c>
      <c r="E178" t="s">
        <v>765</v>
      </c>
      <c r="F178" t="s">
        <v>766</v>
      </c>
      <c r="G178" s="7"/>
      <c r="H178" s="6"/>
    </row>
    <row r="179" spans="1:8" x14ac:dyDescent="0.25">
      <c r="A179"/>
      <c r="B179"/>
      <c r="C179"/>
      <c r="D179" s="1">
        <f t="shared" si="19"/>
        <v>162</v>
      </c>
      <c r="E179" t="s">
        <v>780</v>
      </c>
      <c r="F179" t="s">
        <v>781</v>
      </c>
      <c r="G179" s="7"/>
      <c r="H179" s="6"/>
    </row>
    <row r="180" spans="1:8" x14ac:dyDescent="0.25">
      <c r="A180" t="s">
        <v>334</v>
      </c>
      <c r="B180"/>
      <c r="C180"/>
      <c r="D180" s="1">
        <f t="shared" si="19"/>
        <v>163</v>
      </c>
      <c r="E180" t="s">
        <v>779</v>
      </c>
      <c r="F180"/>
      <c r="G180" s="7"/>
      <c r="H180" s="6"/>
    </row>
    <row r="181" spans="1:8" x14ac:dyDescent="0.25">
      <c r="A181" t="s">
        <v>334</v>
      </c>
      <c r="B181"/>
      <c r="C181"/>
      <c r="D181" s="1">
        <f t="shared" si="19"/>
        <v>164</v>
      </c>
      <c r="E181" s="1" t="s">
        <v>160</v>
      </c>
      <c r="F181" s="1" t="s">
        <v>161</v>
      </c>
      <c r="G181" s="7">
        <v>5.75</v>
      </c>
      <c r="H181" s="6">
        <v>1100</v>
      </c>
    </row>
    <row r="182" spans="1:8" x14ac:dyDescent="0.25">
      <c r="A182" t="s">
        <v>334</v>
      </c>
      <c r="B182"/>
      <c r="C182"/>
      <c r="D182" s="1">
        <f t="shared" si="19"/>
        <v>165</v>
      </c>
      <c r="E182" t="s">
        <v>777</v>
      </c>
      <c r="F182" t="s">
        <v>778</v>
      </c>
      <c r="G182" s="7"/>
      <c r="H182" s="6"/>
    </row>
    <row r="183" spans="1:8" x14ac:dyDescent="0.25">
      <c r="A183" t="s">
        <v>334</v>
      </c>
      <c r="B183"/>
      <c r="C183"/>
      <c r="D183" s="1">
        <f t="shared" si="19"/>
        <v>166</v>
      </c>
      <c r="E183" t="s">
        <v>438</v>
      </c>
      <c r="F183" t="s">
        <v>439</v>
      </c>
      <c r="G183" s="3">
        <v>23.13</v>
      </c>
      <c r="H183" s="6">
        <v>1000</v>
      </c>
    </row>
    <row r="184" spans="1:8" x14ac:dyDescent="0.25">
      <c r="A184" s="1" t="s">
        <v>334</v>
      </c>
      <c r="D184" s="1">
        <f t="shared" si="19"/>
        <v>167</v>
      </c>
      <c r="E184" s="1" t="s">
        <v>104</v>
      </c>
      <c r="F184" s="1" t="s">
        <v>105</v>
      </c>
      <c r="G184" s="3">
        <v>24.78</v>
      </c>
    </row>
    <row r="185" spans="1:8" x14ac:dyDescent="0.25">
      <c r="A185" t="s">
        <v>334</v>
      </c>
      <c r="B185"/>
      <c r="C185"/>
      <c r="D185" s="1">
        <f t="shared" si="19"/>
        <v>168</v>
      </c>
      <c r="E185" s="1" t="s">
        <v>106</v>
      </c>
      <c r="F185" s="1" t="s">
        <v>107</v>
      </c>
      <c r="G185" s="3">
        <v>4.72</v>
      </c>
    </row>
    <row r="186" spans="1:8" x14ac:dyDescent="0.25">
      <c r="A186" t="s">
        <v>334</v>
      </c>
      <c r="B186"/>
      <c r="C186"/>
      <c r="D186" s="1">
        <f t="shared" si="19"/>
        <v>169</v>
      </c>
      <c r="E186" s="1" t="s">
        <v>108</v>
      </c>
      <c r="F186" s="1" t="s">
        <v>109</v>
      </c>
      <c r="G186" s="3">
        <v>24.53</v>
      </c>
    </row>
    <row r="187" spans="1:8" x14ac:dyDescent="0.25">
      <c r="A187" t="s">
        <v>334</v>
      </c>
      <c r="B187"/>
      <c r="C187"/>
      <c r="D187" s="1">
        <f t="shared" si="19"/>
        <v>170</v>
      </c>
      <c r="E187" t="s">
        <v>769</v>
      </c>
      <c r="F187" t="s">
        <v>770</v>
      </c>
      <c r="H187" s="6"/>
    </row>
    <row r="188" spans="1:8" x14ac:dyDescent="0.25">
      <c r="A188" t="s">
        <v>334</v>
      </c>
      <c r="B188"/>
      <c r="C188"/>
      <c r="D188" s="1">
        <f t="shared" si="19"/>
        <v>171</v>
      </c>
      <c r="E188" t="s">
        <v>767</v>
      </c>
      <c r="F188" t="s">
        <v>768</v>
      </c>
      <c r="H188" s="6"/>
    </row>
    <row r="189" spans="1:8" x14ac:dyDescent="0.25">
      <c r="A189" t="s">
        <v>334</v>
      </c>
      <c r="B189"/>
      <c r="C189"/>
      <c r="D189" s="1">
        <f t="shared" si="19"/>
        <v>172</v>
      </c>
      <c r="E189" s="1" t="s">
        <v>171</v>
      </c>
      <c r="F189" s="1" t="s">
        <v>172</v>
      </c>
      <c r="G189" s="7">
        <v>21.6</v>
      </c>
      <c r="H189" s="6">
        <v>991</v>
      </c>
    </row>
    <row r="190" spans="1:8" x14ac:dyDescent="0.25">
      <c r="A190" t="s">
        <v>334</v>
      </c>
      <c r="B190"/>
      <c r="C190"/>
      <c r="D190" s="1">
        <f t="shared" si="19"/>
        <v>173</v>
      </c>
      <c r="E190" t="s">
        <v>720</v>
      </c>
      <c r="F190" t="s">
        <v>721</v>
      </c>
      <c r="H190" s="6"/>
    </row>
    <row r="191" spans="1:8" x14ac:dyDescent="0.25">
      <c r="D191" s="1">
        <f t="shared" si="19"/>
        <v>174</v>
      </c>
      <c r="E191" s="1" t="s">
        <v>196</v>
      </c>
      <c r="F191" s="1" t="s">
        <v>197</v>
      </c>
      <c r="G191" s="3">
        <v>2.42</v>
      </c>
      <c r="H191" s="6">
        <v>823</v>
      </c>
    </row>
    <row r="192" spans="1:8" x14ac:dyDescent="0.25">
      <c r="A192" t="s">
        <v>334</v>
      </c>
      <c r="B192"/>
      <c r="C192"/>
      <c r="D192" s="1">
        <f t="shared" si="19"/>
        <v>175</v>
      </c>
      <c r="E192" t="s">
        <v>718</v>
      </c>
      <c r="F192" t="s">
        <v>719</v>
      </c>
      <c r="H192" s="6"/>
    </row>
    <row r="193" spans="1:30" s="25" customFormat="1" ht="13" x14ac:dyDescent="0.3">
      <c r="D193" s="1">
        <f t="shared" si="19"/>
        <v>176</v>
      </c>
      <c r="E193" s="25" t="s">
        <v>1188</v>
      </c>
      <c r="F193" s="25" t="s">
        <v>1189</v>
      </c>
      <c r="G193" s="48">
        <v>28.76</v>
      </c>
      <c r="H193" s="27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</row>
    <row r="194" spans="1:30" x14ac:dyDescent="0.25">
      <c r="A194" t="s">
        <v>334</v>
      </c>
      <c r="B194"/>
      <c r="C194"/>
      <c r="D194" s="1">
        <f t="shared" si="19"/>
        <v>177</v>
      </c>
      <c r="E194" t="s">
        <v>798</v>
      </c>
      <c r="F194" t="s">
        <v>799</v>
      </c>
      <c r="H194" s="6"/>
    </row>
    <row r="195" spans="1:30" x14ac:dyDescent="0.25">
      <c r="A195" t="s">
        <v>334</v>
      </c>
      <c r="B195"/>
      <c r="C195"/>
      <c r="D195" s="1">
        <f t="shared" si="19"/>
        <v>178</v>
      </c>
      <c r="E195" t="s">
        <v>796</v>
      </c>
      <c r="F195" t="s">
        <v>797</v>
      </c>
      <c r="H195" s="6"/>
    </row>
    <row r="196" spans="1:30" x14ac:dyDescent="0.25">
      <c r="A196"/>
      <c r="B196"/>
      <c r="C196"/>
      <c r="D196" s="1">
        <f t="shared" si="19"/>
        <v>179</v>
      </c>
      <c r="E196" t="s">
        <v>1272</v>
      </c>
      <c r="F196" t="s">
        <v>1273</v>
      </c>
      <c r="G196" s="7">
        <v>3.5</v>
      </c>
      <c r="H196" s="6"/>
    </row>
    <row r="197" spans="1:30" x14ac:dyDescent="0.25">
      <c r="A197" t="s">
        <v>334</v>
      </c>
      <c r="B197"/>
      <c r="C197"/>
      <c r="D197" s="1">
        <f t="shared" si="19"/>
        <v>180</v>
      </c>
      <c r="E197" t="s">
        <v>794</v>
      </c>
      <c r="F197" t="s">
        <v>795</v>
      </c>
      <c r="H197" s="6"/>
    </row>
    <row r="198" spans="1:30" x14ac:dyDescent="0.25">
      <c r="A198" t="s">
        <v>334</v>
      </c>
      <c r="B198"/>
      <c r="C198"/>
      <c r="D198" s="1">
        <f t="shared" si="19"/>
        <v>181</v>
      </c>
      <c r="E198" t="s">
        <v>793</v>
      </c>
      <c r="F198" t="s">
        <v>792</v>
      </c>
      <c r="H198" s="6"/>
    </row>
    <row r="199" spans="1:30" x14ac:dyDescent="0.25">
      <c r="A199" t="s">
        <v>334</v>
      </c>
      <c r="B199"/>
      <c r="C199"/>
      <c r="D199" s="1">
        <f t="shared" si="19"/>
        <v>182</v>
      </c>
      <c r="E199" t="s">
        <v>790</v>
      </c>
      <c r="F199" t="s">
        <v>791</v>
      </c>
      <c r="H199" s="6"/>
    </row>
    <row r="200" spans="1:30" x14ac:dyDescent="0.25">
      <c r="A200" t="s">
        <v>334</v>
      </c>
      <c r="B200"/>
      <c r="C200"/>
      <c r="D200" s="1">
        <f t="shared" si="19"/>
        <v>183</v>
      </c>
      <c r="E200" t="s">
        <v>771</v>
      </c>
      <c r="F200" t="s">
        <v>772</v>
      </c>
      <c r="H200" s="6"/>
    </row>
    <row r="201" spans="1:30" x14ac:dyDescent="0.25">
      <c r="A201" t="s">
        <v>334</v>
      </c>
      <c r="B201"/>
      <c r="C201"/>
      <c r="D201" s="1">
        <f t="shared" si="19"/>
        <v>184</v>
      </c>
      <c r="E201" s="1" t="s">
        <v>194</v>
      </c>
      <c r="F201" s="1" t="s">
        <v>195</v>
      </c>
      <c r="G201" s="7">
        <v>5.7</v>
      </c>
      <c r="H201" s="6">
        <v>821</v>
      </c>
    </row>
    <row r="202" spans="1:30" x14ac:dyDescent="0.25">
      <c r="A202" t="s">
        <v>334</v>
      </c>
      <c r="B202"/>
      <c r="C202"/>
      <c r="D202" s="1">
        <f t="shared" ref="D202:D267" si="21">+D201+1</f>
        <v>185</v>
      </c>
      <c r="E202" t="s">
        <v>304</v>
      </c>
      <c r="F202" t="s">
        <v>305</v>
      </c>
      <c r="G202" s="3">
        <v>3.23</v>
      </c>
      <c r="H202" s="6">
        <v>630</v>
      </c>
    </row>
    <row r="203" spans="1:30" x14ac:dyDescent="0.25">
      <c r="A203" t="s">
        <v>334</v>
      </c>
      <c r="B203"/>
      <c r="C203"/>
      <c r="D203" s="1">
        <f t="shared" si="21"/>
        <v>186</v>
      </c>
      <c r="E203" t="s">
        <v>706</v>
      </c>
      <c r="F203" t="s">
        <v>707</v>
      </c>
      <c r="G203" s="3">
        <v>26.06</v>
      </c>
      <c r="H203" s="6"/>
    </row>
    <row r="204" spans="1:30" x14ac:dyDescent="0.25">
      <c r="A204" t="s">
        <v>334</v>
      </c>
      <c r="B204"/>
      <c r="C204"/>
      <c r="D204" s="1">
        <f>+D210+1</f>
        <v>188</v>
      </c>
      <c r="E204" s="1" t="s">
        <v>200</v>
      </c>
      <c r="F204" s="1" t="s">
        <v>201</v>
      </c>
      <c r="G204" s="3">
        <v>4.16</v>
      </c>
      <c r="H204" s="6">
        <v>590</v>
      </c>
    </row>
    <row r="205" spans="1:30" x14ac:dyDescent="0.25">
      <c r="A205" t="s">
        <v>334</v>
      </c>
      <c r="B205"/>
      <c r="C205"/>
      <c r="D205" s="1">
        <f t="shared" si="21"/>
        <v>189</v>
      </c>
      <c r="E205" t="s">
        <v>291</v>
      </c>
      <c r="F205" t="s">
        <v>292</v>
      </c>
      <c r="G205" s="3">
        <v>8.4499999999999993</v>
      </c>
      <c r="H205" s="6">
        <f>4406/HKD</f>
        <v>564.87179487179492</v>
      </c>
    </row>
    <row r="206" spans="1:30" x14ac:dyDescent="0.25">
      <c r="A206" t="s">
        <v>334</v>
      </c>
      <c r="B206"/>
      <c r="C206"/>
      <c r="D206" s="1">
        <f t="shared" si="21"/>
        <v>190</v>
      </c>
      <c r="E206" t="s">
        <v>727</v>
      </c>
      <c r="F206" t="s">
        <v>728</v>
      </c>
      <c r="H206" s="6"/>
    </row>
    <row r="207" spans="1:30" x14ac:dyDescent="0.25">
      <c r="D207" s="1">
        <f t="shared" si="21"/>
        <v>191</v>
      </c>
      <c r="E207" s="1" t="s">
        <v>143</v>
      </c>
      <c r="F207" s="1" t="s">
        <v>144</v>
      </c>
      <c r="G207" s="3">
        <v>2.37</v>
      </c>
      <c r="H207" s="6"/>
    </row>
    <row r="208" spans="1:30" x14ac:dyDescent="0.25">
      <c r="A208" t="s">
        <v>334</v>
      </c>
      <c r="B208"/>
      <c r="C208"/>
      <c r="D208" s="1">
        <f t="shared" si="21"/>
        <v>192</v>
      </c>
      <c r="E208" t="s">
        <v>510</v>
      </c>
      <c r="F208" t="s">
        <v>511</v>
      </c>
      <c r="G208" s="7">
        <v>3.19</v>
      </c>
      <c r="H208" s="6">
        <v>439</v>
      </c>
    </row>
    <row r="209" spans="1:31" x14ac:dyDescent="0.25">
      <c r="A209" t="s">
        <v>334</v>
      </c>
      <c r="B209"/>
      <c r="C209"/>
      <c r="D209" s="1">
        <f t="shared" si="21"/>
        <v>193</v>
      </c>
      <c r="E209" s="1" t="s">
        <v>208</v>
      </c>
      <c r="F209" s="1" t="s">
        <v>209</v>
      </c>
      <c r="G209" s="3">
        <v>10.98</v>
      </c>
      <c r="H209" s="6">
        <v>548</v>
      </c>
    </row>
    <row r="210" spans="1:31" x14ac:dyDescent="0.25">
      <c r="A210" t="s">
        <v>334</v>
      </c>
      <c r="B210"/>
      <c r="C210"/>
      <c r="D210" s="1">
        <f>+D203+1</f>
        <v>187</v>
      </c>
      <c r="E210" s="5" t="s">
        <v>704</v>
      </c>
      <c r="F210" t="s">
        <v>705</v>
      </c>
      <c r="G210" s="7">
        <v>44.8</v>
      </c>
      <c r="H210" s="6">
        <f>+G210*L210</f>
        <v>2901.4842752</v>
      </c>
      <c r="I210" s="6">
        <f>+[118]Main!$L$5-[118]Main!$L$6</f>
        <v>911.00500000000011</v>
      </c>
      <c r="J210" s="6">
        <f>+H210-I210</f>
        <v>1990.4792751999998</v>
      </c>
      <c r="K210" s="3" t="s">
        <v>1280</v>
      </c>
      <c r="L210" s="6">
        <f>+[118]Main!$L$3</f>
        <v>64.765274000000005</v>
      </c>
      <c r="M210" s="9">
        <v>45632</v>
      </c>
    </row>
    <row r="211" spans="1:31" x14ac:dyDescent="0.25">
      <c r="A211" t="s">
        <v>334</v>
      </c>
      <c r="B211"/>
      <c r="C211"/>
      <c r="D211" s="1">
        <f>+D220+1</f>
        <v>195</v>
      </c>
      <c r="E211" s="5" t="s">
        <v>288</v>
      </c>
      <c r="F211" t="s">
        <v>289</v>
      </c>
      <c r="G211" s="3">
        <v>15.65</v>
      </c>
      <c r="H211" s="6">
        <f>G211*[119]Main!$L$3</f>
        <v>1253.1559559500001</v>
      </c>
      <c r="I211" s="6">
        <f>+[119]Main!$L$5-[119]Main!$L$6</f>
        <v>112.015</v>
      </c>
      <c r="J211" s="6">
        <f t="shared" ref="J211:J217" si="22">+H211-I211</f>
        <v>1141.14095595</v>
      </c>
      <c r="K211" s="3" t="s">
        <v>16</v>
      </c>
    </row>
    <row r="212" spans="1:31" x14ac:dyDescent="0.25">
      <c r="A212"/>
      <c r="B212"/>
      <c r="C212"/>
      <c r="D212" s="1">
        <f t="shared" si="21"/>
        <v>196</v>
      </c>
      <c r="E212" s="5" t="s">
        <v>952</v>
      </c>
      <c r="F212" t="s">
        <v>953</v>
      </c>
      <c r="G212" s="3">
        <v>33.89</v>
      </c>
      <c r="H212" s="6">
        <f>+G212*L212</f>
        <v>1318.30476669</v>
      </c>
      <c r="I212" s="6">
        <f>+[120]Main!$K$5-[120]Main!$K$6</f>
        <v>304.87299999999999</v>
      </c>
      <c r="J212" s="6">
        <f>+H212-I212</f>
        <v>1013.4317666899999</v>
      </c>
      <c r="K212" s="3" t="s">
        <v>1074</v>
      </c>
      <c r="L212" s="6">
        <f>+[120]Main!$K$3</f>
        <v>38.899521</v>
      </c>
      <c r="M212" s="9">
        <v>45558</v>
      </c>
    </row>
    <row r="213" spans="1:31" x14ac:dyDescent="0.25">
      <c r="A213" t="s">
        <v>334</v>
      </c>
      <c r="B213"/>
      <c r="C213"/>
      <c r="D213" s="1">
        <f t="shared" si="21"/>
        <v>197</v>
      </c>
      <c r="E213" s="5" t="s">
        <v>224</v>
      </c>
      <c r="F213" s="1" t="s">
        <v>225</v>
      </c>
      <c r="G213" s="3">
        <v>23.75</v>
      </c>
      <c r="H213" s="6">
        <f>+G213*L213</f>
        <v>1355.4004112499999</v>
      </c>
      <c r="I213" s="6">
        <f>+[121]Main!$K$5-[121]Main!$K$6</f>
        <v>449.76100000000002</v>
      </c>
      <c r="J213" s="6">
        <f t="shared" si="22"/>
        <v>905.63941124999997</v>
      </c>
      <c r="K213" s="3" t="s">
        <v>419</v>
      </c>
      <c r="L213" s="6">
        <f>+[121]Main!$K$3</f>
        <v>57.069490999999999</v>
      </c>
      <c r="M213" s="9">
        <v>44947</v>
      </c>
      <c r="AE213" s="1">
        <v>2015</v>
      </c>
    </row>
    <row r="214" spans="1:31" x14ac:dyDescent="0.25">
      <c r="A214" t="s">
        <v>334</v>
      </c>
      <c r="B214"/>
      <c r="C214"/>
      <c r="D214" s="1">
        <f t="shared" si="21"/>
        <v>198</v>
      </c>
      <c r="E214" s="5" t="s">
        <v>755</v>
      </c>
      <c r="F214" t="s">
        <v>756</v>
      </c>
      <c r="G214" s="7">
        <v>14.34</v>
      </c>
      <c r="H214" s="6">
        <f>+G214*L214</f>
        <v>1258.48493904</v>
      </c>
      <c r="I214" s="6">
        <f>+[122]Main!$K$5-[122]Main!$K$6</f>
        <v>361.86599999999999</v>
      </c>
      <c r="J214" s="6">
        <f t="shared" si="22"/>
        <v>896.61893903999999</v>
      </c>
      <c r="K214" s="3" t="s">
        <v>1074</v>
      </c>
      <c r="L214" s="6">
        <f>+[122]Main!$K$3</f>
        <v>87.760456000000005</v>
      </c>
      <c r="M214" s="9">
        <v>45555</v>
      </c>
    </row>
    <row r="215" spans="1:31" x14ac:dyDescent="0.25">
      <c r="D215" s="1">
        <f t="shared" si="21"/>
        <v>199</v>
      </c>
      <c r="E215" s="5" t="s">
        <v>1195</v>
      </c>
      <c r="F215" s="42" t="s">
        <v>1196</v>
      </c>
      <c r="G215" s="7">
        <v>8.39</v>
      </c>
      <c r="H215" s="6">
        <f>+G215*L215</f>
        <v>963.56021369000007</v>
      </c>
      <c r="I215" s="6">
        <f>+[123]Main!$L$5-[123]Main!$L$6</f>
        <v>122.197</v>
      </c>
      <c r="J215" s="6">
        <f>+H215-I215</f>
        <v>841.36321369000007</v>
      </c>
      <c r="K215" s="3" t="s">
        <v>1074</v>
      </c>
      <c r="L215" s="6">
        <f>+[123]Main!$L$3</f>
        <v>114.846271</v>
      </c>
      <c r="M215" s="9">
        <v>45567</v>
      </c>
    </row>
    <row r="216" spans="1:31" x14ac:dyDescent="0.25">
      <c r="A216" t="s">
        <v>334</v>
      </c>
      <c r="B216"/>
      <c r="C216"/>
      <c r="D216" s="1">
        <f t="shared" si="21"/>
        <v>200</v>
      </c>
      <c r="E216" s="5" t="s">
        <v>298</v>
      </c>
      <c r="F216" t="s">
        <v>299</v>
      </c>
      <c r="G216" s="3">
        <v>11</v>
      </c>
      <c r="H216" s="6">
        <f>+G216*[124]Main!$L$3</f>
        <v>798.23003700000004</v>
      </c>
      <c r="I216" s="6">
        <f>+[124]Main!$L$5-[124]Main!$L$6</f>
        <v>153.25991400000001</v>
      </c>
      <c r="J216" s="6">
        <f t="shared" si="22"/>
        <v>644.97012300000006</v>
      </c>
      <c r="K216" s="3" t="s">
        <v>16</v>
      </c>
      <c r="M216" s="9">
        <v>44771</v>
      </c>
      <c r="N216" s="9"/>
      <c r="O216" s="9"/>
      <c r="P216" s="9"/>
      <c r="Q216" s="9"/>
      <c r="R216" s="9"/>
    </row>
    <row r="217" spans="1:31" x14ac:dyDescent="0.25">
      <c r="A217" t="s">
        <v>334</v>
      </c>
      <c r="B217"/>
      <c r="C217"/>
      <c r="D217" s="1">
        <f t="shared" si="21"/>
        <v>201</v>
      </c>
      <c r="E217" s="5" t="s">
        <v>192</v>
      </c>
      <c r="F217" s="1" t="s">
        <v>193</v>
      </c>
      <c r="G217" s="3">
        <v>7.36</v>
      </c>
      <c r="H217" s="6">
        <f>+G217*L217</f>
        <v>897.18233664000002</v>
      </c>
      <c r="I217" s="6">
        <f>+[125]Main!$J$5-[125]Main!$J$6</f>
        <v>601.58999999999992</v>
      </c>
      <c r="J217" s="6">
        <f t="shared" si="22"/>
        <v>295.5923366400001</v>
      </c>
      <c r="K217" s="3" t="s">
        <v>16</v>
      </c>
      <c r="L217" s="6">
        <f>+[125]Main!$J$3</f>
        <v>121.89977399999999</v>
      </c>
      <c r="M217" s="9">
        <v>44827</v>
      </c>
    </row>
    <row r="218" spans="1:31" x14ac:dyDescent="0.25">
      <c r="A218"/>
      <c r="B218"/>
      <c r="C218"/>
      <c r="D218" s="1">
        <f t="shared" si="21"/>
        <v>202</v>
      </c>
      <c r="E218" s="5" t="s">
        <v>1199</v>
      </c>
      <c r="F218" t="s">
        <v>1200</v>
      </c>
      <c r="G218" s="3">
        <v>5.71</v>
      </c>
      <c r="H218" s="6">
        <f>+G218*L218</f>
        <v>357.16781451000003</v>
      </c>
      <c r="I218" s="6">
        <f>+[126]Main!$K$5-[126]Main!$K$6</f>
        <v>62.650000000000006</v>
      </c>
      <c r="J218" s="6">
        <f>+H218-I218</f>
        <v>294.51781450999999</v>
      </c>
      <c r="K218" s="3" t="s">
        <v>1074</v>
      </c>
      <c r="L218" s="6">
        <f>+[126]Main!$K$3</f>
        <v>62.551281000000003</v>
      </c>
      <c r="M218" s="9">
        <v>45569</v>
      </c>
      <c r="AE218" s="1">
        <v>2014</v>
      </c>
    </row>
    <row r="219" spans="1:31" x14ac:dyDescent="0.25">
      <c r="A219"/>
      <c r="B219"/>
      <c r="C219"/>
      <c r="D219" s="1">
        <f t="shared" si="21"/>
        <v>203</v>
      </c>
      <c r="E219" s="5" t="s">
        <v>1197</v>
      </c>
      <c r="F219" t="s">
        <v>1198</v>
      </c>
      <c r="G219" s="7">
        <v>1</v>
      </c>
      <c r="H219" s="6">
        <f>+G219*L219</f>
        <v>226.227259</v>
      </c>
      <c r="I219" s="6">
        <f>+[127]Main!$K$5-[127]Main!$K$6</f>
        <v>157.43700000000001</v>
      </c>
      <c r="J219" s="6">
        <f>+H219-I219</f>
        <v>68.790258999999992</v>
      </c>
      <c r="K219" s="3" t="s">
        <v>1074</v>
      </c>
      <c r="L219" s="6">
        <f>+[127]Main!$K$3</f>
        <v>226.227259</v>
      </c>
      <c r="M219" s="9">
        <v>45569</v>
      </c>
    </row>
    <row r="220" spans="1:31" customFormat="1" x14ac:dyDescent="0.25">
      <c r="A220" t="s">
        <v>334</v>
      </c>
      <c r="D220">
        <f>+D209+1</f>
        <v>194</v>
      </c>
      <c r="E220" s="5" t="s">
        <v>773</v>
      </c>
      <c r="F220" t="s">
        <v>774</v>
      </c>
      <c r="G220" s="55">
        <v>3.64</v>
      </c>
      <c r="H220" s="30">
        <f>+G220*L220</f>
        <v>174.63324424000001</v>
      </c>
      <c r="I220" s="30">
        <f>+[128]Main!$J$5-[128]Main!$J$6</f>
        <v>149</v>
      </c>
      <c r="J220" s="30">
        <f>+H220-I220</f>
        <v>25.63324424000001</v>
      </c>
      <c r="K220" s="28" t="s">
        <v>1280</v>
      </c>
      <c r="L220" s="30">
        <f>+[128]Main!$J$3</f>
        <v>47.976165999999999</v>
      </c>
      <c r="M220" s="38">
        <v>45628</v>
      </c>
      <c r="N220" s="28"/>
      <c r="O220" s="28"/>
      <c r="P220" s="28"/>
      <c r="Q220" s="28"/>
      <c r="R220" s="28"/>
      <c r="S220" s="59"/>
      <c r="T220" s="59"/>
      <c r="U220" s="59"/>
      <c r="V220" s="59"/>
      <c r="W220" s="59"/>
      <c r="X220" s="59"/>
      <c r="Y220" s="59"/>
      <c r="Z220" s="59"/>
      <c r="AA220" s="59"/>
      <c r="AB220" s="59"/>
      <c r="AC220" s="59"/>
      <c r="AD220" s="59"/>
    </row>
    <row r="221" spans="1:31" s="25" customFormat="1" ht="13" x14ac:dyDescent="0.3">
      <c r="A221" s="25" t="s">
        <v>334</v>
      </c>
      <c r="D221" s="1">
        <f>+D219+1</f>
        <v>204</v>
      </c>
      <c r="E221" s="25" t="s">
        <v>302</v>
      </c>
      <c r="F221" s="25" t="s">
        <v>303</v>
      </c>
      <c r="G221" s="26">
        <v>12.42</v>
      </c>
      <c r="H221" s="27">
        <v>516</v>
      </c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</row>
    <row r="222" spans="1:31" x14ac:dyDescent="0.25">
      <c r="A222" t="s">
        <v>334</v>
      </c>
      <c r="B222"/>
      <c r="C222"/>
      <c r="D222" s="1">
        <f t="shared" si="21"/>
        <v>205</v>
      </c>
      <c r="E222" t="s">
        <v>309</v>
      </c>
      <c r="F222" t="s">
        <v>310</v>
      </c>
      <c r="G222" s="3">
        <v>3.26</v>
      </c>
      <c r="H222" s="6">
        <v>272</v>
      </c>
    </row>
    <row r="223" spans="1:31" x14ac:dyDescent="0.25">
      <c r="A223" t="s">
        <v>334</v>
      </c>
      <c r="B223"/>
      <c r="C223"/>
      <c r="D223" s="1">
        <f t="shared" si="21"/>
        <v>206</v>
      </c>
      <c r="E223" s="1" t="s">
        <v>218</v>
      </c>
      <c r="F223" s="1" t="s">
        <v>219</v>
      </c>
      <c r="G223" s="3">
        <v>6.34</v>
      </c>
      <c r="H223" s="3">
        <v>547</v>
      </c>
    </row>
    <row r="224" spans="1:31" x14ac:dyDescent="0.25">
      <c r="A224" t="s">
        <v>334</v>
      </c>
      <c r="B224"/>
      <c r="C224"/>
      <c r="D224" s="1">
        <f t="shared" si="21"/>
        <v>207</v>
      </c>
      <c r="E224" s="5" t="s">
        <v>1169</v>
      </c>
      <c r="F224" t="s">
        <v>1170</v>
      </c>
      <c r="G224" s="3">
        <v>9.34</v>
      </c>
      <c r="H224" s="6">
        <f>+G224*L224</f>
        <v>289.28000241999996</v>
      </c>
      <c r="I224" s="6">
        <f>+[129]Main!$J$5-[129]Main!$J$6</f>
        <v>220.43200000000002</v>
      </c>
      <c r="J224" s="6">
        <f>+H224-I224</f>
        <v>68.848002419999943</v>
      </c>
      <c r="K224" s="3" t="s">
        <v>1074</v>
      </c>
      <c r="L224" s="6">
        <f>+[129]Main!$J$3</f>
        <v>30.972162999999998</v>
      </c>
      <c r="M224" s="9">
        <v>45548</v>
      </c>
      <c r="AE224" s="1">
        <v>2018</v>
      </c>
    </row>
    <row r="225" spans="1:13" x14ac:dyDescent="0.25">
      <c r="A225" t="s">
        <v>334</v>
      </c>
      <c r="B225"/>
      <c r="C225"/>
      <c r="D225" s="1">
        <f t="shared" si="21"/>
        <v>208</v>
      </c>
      <c r="E225" s="1" t="s">
        <v>220</v>
      </c>
      <c r="F225" s="1" t="s">
        <v>221</v>
      </c>
      <c r="G225" s="7">
        <v>31.39</v>
      </c>
      <c r="H225" s="3">
        <v>1020</v>
      </c>
    </row>
    <row r="226" spans="1:13" x14ac:dyDescent="0.25">
      <c r="A226" t="s">
        <v>334</v>
      </c>
      <c r="B226"/>
      <c r="C226"/>
      <c r="D226" s="1">
        <f t="shared" si="21"/>
        <v>209</v>
      </c>
      <c r="E226" t="s">
        <v>761</v>
      </c>
      <c r="F226" t="s">
        <v>762</v>
      </c>
      <c r="G226" s="7"/>
    </row>
    <row r="227" spans="1:13" x14ac:dyDescent="0.25">
      <c r="A227" t="s">
        <v>334</v>
      </c>
      <c r="B227"/>
      <c r="C227"/>
      <c r="D227" s="1">
        <f t="shared" si="21"/>
        <v>210</v>
      </c>
      <c r="E227" t="s">
        <v>759</v>
      </c>
      <c r="F227" t="s">
        <v>760</v>
      </c>
      <c r="G227" s="7"/>
    </row>
    <row r="228" spans="1:13" x14ac:dyDescent="0.25">
      <c r="A228"/>
      <c r="B228"/>
      <c r="C228"/>
      <c r="D228" s="1">
        <f t="shared" si="21"/>
        <v>211</v>
      </c>
      <c r="E228" s="5" t="s">
        <v>1184</v>
      </c>
      <c r="F228" t="s">
        <v>1185</v>
      </c>
      <c r="G228" s="7">
        <v>1.18</v>
      </c>
      <c r="H228" s="6">
        <f>+G228*L228</f>
        <v>94.614233720000001</v>
      </c>
      <c r="I228" s="6">
        <f>+[130]Main!$L$5-[130]Main!$L$6</f>
        <v>30.146999999999998</v>
      </c>
      <c r="J228" s="6">
        <f>+H228-I228</f>
        <v>64.467233719999996</v>
      </c>
      <c r="K228" s="3" t="s">
        <v>1074</v>
      </c>
      <c r="L228" s="6">
        <f>+[130]Main!$L$3</f>
        <v>80.181554000000006</v>
      </c>
      <c r="M228" s="9">
        <v>45562</v>
      </c>
    </row>
    <row r="229" spans="1:13" x14ac:dyDescent="0.25">
      <c r="A229" t="s">
        <v>334</v>
      </c>
      <c r="B229"/>
      <c r="C229"/>
      <c r="D229" s="1">
        <f t="shared" si="21"/>
        <v>212</v>
      </c>
      <c r="E229" t="s">
        <v>757</v>
      </c>
      <c r="F229" t="s">
        <v>758</v>
      </c>
      <c r="G229" s="7"/>
    </row>
    <row r="230" spans="1:13" x14ac:dyDescent="0.25">
      <c r="A230"/>
      <c r="B230"/>
      <c r="C230"/>
      <c r="D230" s="1">
        <f t="shared" si="21"/>
        <v>213</v>
      </c>
      <c r="E230" t="s">
        <v>1175</v>
      </c>
      <c r="F230" t="s">
        <v>1176</v>
      </c>
      <c r="G230" s="7">
        <v>5.43</v>
      </c>
    </row>
    <row r="231" spans="1:13" x14ac:dyDescent="0.25">
      <c r="A231" t="s">
        <v>334</v>
      </c>
      <c r="B231"/>
      <c r="C231"/>
      <c r="D231" s="1">
        <f t="shared" si="21"/>
        <v>214</v>
      </c>
      <c r="E231" t="s">
        <v>753</v>
      </c>
      <c r="F231" t="s">
        <v>754</v>
      </c>
      <c r="G231" s="7">
        <v>5.55</v>
      </c>
      <c r="H231" s="3">
        <v>270</v>
      </c>
    </row>
    <row r="232" spans="1:13" x14ac:dyDescent="0.25">
      <c r="A232"/>
      <c r="B232"/>
      <c r="C232"/>
      <c r="D232" s="1">
        <f t="shared" si="21"/>
        <v>215</v>
      </c>
      <c r="E232" t="s">
        <v>1302</v>
      </c>
      <c r="F232" t="s">
        <v>1303</v>
      </c>
      <c r="G232" s="7">
        <v>2.0499999999999998</v>
      </c>
      <c r="H232" s="3">
        <v>164</v>
      </c>
    </row>
    <row r="233" spans="1:13" x14ac:dyDescent="0.25">
      <c r="A233" t="s">
        <v>334</v>
      </c>
      <c r="B233"/>
      <c r="C233"/>
      <c r="D233" s="1">
        <f t="shared" si="21"/>
        <v>216</v>
      </c>
      <c r="E233" s="1" t="s">
        <v>222</v>
      </c>
      <c r="F233" s="1" t="s">
        <v>223</v>
      </c>
      <c r="G233" s="7">
        <v>5.9</v>
      </c>
      <c r="H233" s="6">
        <v>508</v>
      </c>
    </row>
    <row r="234" spans="1:13" x14ac:dyDescent="0.25">
      <c r="A234" t="s">
        <v>334</v>
      </c>
      <c r="B234"/>
      <c r="C234"/>
      <c r="D234" s="1">
        <f t="shared" si="21"/>
        <v>217</v>
      </c>
      <c r="E234" s="1" t="s">
        <v>226</v>
      </c>
      <c r="F234" s="1" t="s">
        <v>227</v>
      </c>
      <c r="G234" s="3">
        <v>10.31</v>
      </c>
      <c r="H234" s="6">
        <v>1240</v>
      </c>
    </row>
    <row r="235" spans="1:13" x14ac:dyDescent="0.25">
      <c r="A235" t="s">
        <v>334</v>
      </c>
      <c r="B235"/>
      <c r="C235"/>
      <c r="D235" s="1">
        <f t="shared" si="21"/>
        <v>218</v>
      </c>
      <c r="E235" t="s">
        <v>785</v>
      </c>
      <c r="F235" t="s">
        <v>786</v>
      </c>
      <c r="H235" s="6"/>
    </row>
    <row r="236" spans="1:13" x14ac:dyDescent="0.25">
      <c r="A236" t="s">
        <v>334</v>
      </c>
      <c r="B236"/>
      <c r="C236"/>
      <c r="D236" s="1">
        <f t="shared" si="21"/>
        <v>219</v>
      </c>
      <c r="E236" t="s">
        <v>714</v>
      </c>
      <c r="F236" t="s">
        <v>715</v>
      </c>
      <c r="H236" s="6"/>
    </row>
    <row r="237" spans="1:13" x14ac:dyDescent="0.25">
      <c r="A237" t="s">
        <v>334</v>
      </c>
      <c r="B237"/>
      <c r="C237"/>
      <c r="D237" s="1">
        <f t="shared" si="21"/>
        <v>220</v>
      </c>
      <c r="E237" t="s">
        <v>710</v>
      </c>
      <c r="F237" t="s">
        <v>711</v>
      </c>
    </row>
    <row r="238" spans="1:13" x14ac:dyDescent="0.25">
      <c r="A238" t="s">
        <v>334</v>
      </c>
      <c r="B238"/>
      <c r="C238"/>
      <c r="D238" s="1">
        <f t="shared" si="21"/>
        <v>221</v>
      </c>
      <c r="E238" s="1" t="s">
        <v>228</v>
      </c>
      <c r="F238" s="1" t="s">
        <v>229</v>
      </c>
      <c r="G238" s="7">
        <v>1.3</v>
      </c>
      <c r="H238" s="3">
        <v>107</v>
      </c>
    </row>
    <row r="239" spans="1:13" x14ac:dyDescent="0.25">
      <c r="A239" t="s">
        <v>334</v>
      </c>
      <c r="B239"/>
      <c r="C239"/>
      <c r="D239" s="1">
        <f t="shared" si="21"/>
        <v>222</v>
      </c>
      <c r="E239" s="1" t="s">
        <v>230</v>
      </c>
      <c r="F239" s="1" t="s">
        <v>231</v>
      </c>
      <c r="G239" s="3">
        <v>3.35</v>
      </c>
      <c r="H239" s="3">
        <v>457</v>
      </c>
    </row>
    <row r="240" spans="1:13" x14ac:dyDescent="0.25">
      <c r="D240" s="1">
        <f>+D270+1</f>
        <v>253</v>
      </c>
      <c r="E240" s="5" t="s">
        <v>423</v>
      </c>
      <c r="F240" t="s">
        <v>424</v>
      </c>
      <c r="G240" s="3">
        <v>19.47</v>
      </c>
      <c r="H240" s="6">
        <f>+G240*L240</f>
        <v>1542.2721840899999</v>
      </c>
      <c r="I240" s="6">
        <f>+[131]Main!$N$5-[131]Main!$N$6</f>
        <v>732.71699999999998</v>
      </c>
      <c r="J240" s="6">
        <f>+H240-I240</f>
        <v>809.5551840899999</v>
      </c>
      <c r="K240" s="3" t="s">
        <v>1280</v>
      </c>
      <c r="L240" s="6">
        <f>+[131]Main!$N$3</f>
        <v>79.212746999999993</v>
      </c>
      <c r="M240" s="9">
        <v>45636</v>
      </c>
    </row>
    <row r="241" spans="1:31" x14ac:dyDescent="0.25">
      <c r="A241" t="s">
        <v>334</v>
      </c>
      <c r="B241"/>
      <c r="C241"/>
      <c r="D241" s="1">
        <f>+D239+1</f>
        <v>223</v>
      </c>
      <c r="E241" s="5" t="s">
        <v>232</v>
      </c>
      <c r="F241" s="1" t="s">
        <v>233</v>
      </c>
      <c r="G241" s="3">
        <v>7.06</v>
      </c>
      <c r="H241" s="6">
        <f>G241*[132]Main!$J$3</f>
        <v>725.62786605999997</v>
      </c>
      <c r="I241" s="6">
        <f>[132]Main!$J$5-[132]Main!$J$6</f>
        <v>197.79600000000002</v>
      </c>
      <c r="J241" s="8">
        <f>+H241-I241</f>
        <v>527.83186605999992</v>
      </c>
      <c r="K241" s="3" t="s">
        <v>16</v>
      </c>
    </row>
    <row r="242" spans="1:31" x14ac:dyDescent="0.25">
      <c r="A242" t="s">
        <v>334</v>
      </c>
      <c r="B242"/>
      <c r="C242"/>
      <c r="D242" s="1">
        <f t="shared" si="21"/>
        <v>224</v>
      </c>
      <c r="E242" s="5" t="s">
        <v>351</v>
      </c>
      <c r="F242" s="1" t="s">
        <v>352</v>
      </c>
      <c r="G242" s="7">
        <v>0.6</v>
      </c>
      <c r="H242" s="6">
        <f>+G242*L242</f>
        <v>486.43225439999998</v>
      </c>
      <c r="I242" s="6">
        <f>+[133]Main!$K$5-[133]Main!$K$6</f>
        <v>-37.984000000000002</v>
      </c>
      <c r="J242" s="8">
        <f t="shared" ref="J242" si="23">+H242-I242</f>
        <v>524.41625439999996</v>
      </c>
      <c r="K242" s="3" t="s">
        <v>301</v>
      </c>
      <c r="L242" s="6">
        <f>+[133]Main!$K$3</f>
        <v>810.72042399999998</v>
      </c>
      <c r="M242" s="9">
        <v>44816</v>
      </c>
      <c r="AE242" s="1">
        <v>2002</v>
      </c>
    </row>
    <row r="243" spans="1:31" x14ac:dyDescent="0.25">
      <c r="D243" s="1">
        <f t="shared" si="21"/>
        <v>225</v>
      </c>
      <c r="E243" s="5" t="s">
        <v>561</v>
      </c>
      <c r="F243" t="s">
        <v>562</v>
      </c>
      <c r="G243" s="3">
        <v>12.34</v>
      </c>
      <c r="H243" s="6">
        <f>+G243*L243</f>
        <v>520.74076875999992</v>
      </c>
      <c r="I243" s="6">
        <f>+[134]Main!$J$5-[134]Main!$J$6</f>
        <v>127.87499999999999</v>
      </c>
      <c r="J243" s="6">
        <f>+H243-I243</f>
        <v>392.86576875999992</v>
      </c>
      <c r="K243" s="3" t="s">
        <v>1280</v>
      </c>
      <c r="L243" s="6">
        <f>+[134]Main!$J$3</f>
        <v>42.199413999999997</v>
      </c>
      <c r="M243" s="9">
        <v>45631</v>
      </c>
    </row>
    <row r="244" spans="1:31" x14ac:dyDescent="0.25">
      <c r="A244" t="s">
        <v>334</v>
      </c>
      <c r="B244"/>
      <c r="C244"/>
      <c r="D244" s="1">
        <f t="shared" si="21"/>
        <v>226</v>
      </c>
      <c r="E244" s="5" t="s">
        <v>234</v>
      </c>
      <c r="F244" s="1" t="s">
        <v>235</v>
      </c>
      <c r="G244" s="3">
        <v>14.68</v>
      </c>
      <c r="H244" s="6">
        <f>G244*[135]Main!$L$3</f>
        <v>587.26396075999992</v>
      </c>
      <c r="I244" s="6">
        <f>[135]Main!$L$5-[135]Main!$L$6</f>
        <v>277.88299999999998</v>
      </c>
      <c r="J244" s="8">
        <f>+H244-I244</f>
        <v>309.38096075999994</v>
      </c>
      <c r="K244" s="3" t="s">
        <v>16</v>
      </c>
    </row>
    <row r="245" spans="1:31" x14ac:dyDescent="0.25">
      <c r="A245" t="s">
        <v>334</v>
      </c>
      <c r="B245"/>
      <c r="C245"/>
      <c r="D245" s="1">
        <f t="shared" si="21"/>
        <v>227</v>
      </c>
      <c r="E245" s="5" t="s">
        <v>236</v>
      </c>
      <c r="F245" s="1" t="s">
        <v>237</v>
      </c>
      <c r="G245" s="3">
        <v>4.8600000000000003</v>
      </c>
      <c r="H245" s="6">
        <f>G245*[136]Main!$J$3</f>
        <v>312.71415336000001</v>
      </c>
      <c r="I245" s="8">
        <f>+[136]Main!$J$5-[136]Main!$J$6</f>
        <v>92.317999999999998</v>
      </c>
      <c r="J245" s="8">
        <f>+H245-I245</f>
        <v>220.39615336000003</v>
      </c>
      <c r="K245" s="3" t="s">
        <v>16</v>
      </c>
    </row>
    <row r="246" spans="1:31" x14ac:dyDescent="0.25">
      <c r="A246" t="s">
        <v>334</v>
      </c>
      <c r="B246"/>
      <c r="C246"/>
      <c r="D246" s="1">
        <f t="shared" si="21"/>
        <v>228</v>
      </c>
      <c r="E246" s="5" t="s">
        <v>238</v>
      </c>
      <c r="F246" s="1" t="s">
        <v>239</v>
      </c>
      <c r="G246" s="7">
        <v>5.8</v>
      </c>
      <c r="H246" s="6">
        <f>G246*[137]Main!$M$3</f>
        <v>259.32193239999998</v>
      </c>
      <c r="I246" s="6">
        <f>[137]Main!$M$5-[137]Main!$M$6</f>
        <v>120.43700000000001</v>
      </c>
      <c r="J246" s="8">
        <f t="shared" ref="J246:J254" si="24">+H246-I246</f>
        <v>138.88493239999997</v>
      </c>
      <c r="K246" s="3" t="s">
        <v>16</v>
      </c>
    </row>
    <row r="247" spans="1:31" x14ac:dyDescent="0.25">
      <c r="D247" s="1">
        <f t="shared" si="21"/>
        <v>229</v>
      </c>
      <c r="E247" s="5" t="s">
        <v>240</v>
      </c>
      <c r="F247" s="1" t="s">
        <v>241</v>
      </c>
      <c r="G247" s="7">
        <v>0.7</v>
      </c>
      <c r="H247" s="6">
        <f>G247*[138]Main!$M$3</f>
        <v>128.9392503</v>
      </c>
      <c r="I247" s="6">
        <f>[138]Main!$M$5-[138]Main!$M$6</f>
        <v>-59.50200000000001</v>
      </c>
      <c r="J247" s="8">
        <f t="shared" si="24"/>
        <v>188.44125030000001</v>
      </c>
      <c r="K247" s="3" t="s">
        <v>16</v>
      </c>
    </row>
    <row r="248" spans="1:31" x14ac:dyDescent="0.25">
      <c r="D248" s="1">
        <f t="shared" si="21"/>
        <v>230</v>
      </c>
      <c r="E248" s="5" t="s">
        <v>995</v>
      </c>
      <c r="F248" t="s">
        <v>996</v>
      </c>
      <c r="G248" s="3">
        <v>1.91</v>
      </c>
      <c r="H248" s="6">
        <f>+G248*L248</f>
        <v>144.77073818</v>
      </c>
      <c r="I248" s="6">
        <f>+[139]Main!$K$5-[139]Main!$K$6</f>
        <v>78.481999999999999</v>
      </c>
      <c r="J248" s="6">
        <f>+H248-I248</f>
        <v>66.288738179999996</v>
      </c>
      <c r="K248" s="3" t="s">
        <v>1074</v>
      </c>
      <c r="L248" s="6">
        <f>+[139]Main!$K$3</f>
        <v>75.796198000000004</v>
      </c>
      <c r="M248" s="9">
        <v>45573</v>
      </c>
    </row>
    <row r="249" spans="1:31" x14ac:dyDescent="0.25">
      <c r="A249" t="s">
        <v>334</v>
      </c>
      <c r="B249"/>
      <c r="C249"/>
      <c r="D249" s="1">
        <f t="shared" si="21"/>
        <v>231</v>
      </c>
      <c r="E249" s="5" t="s">
        <v>321</v>
      </c>
      <c r="F249" t="s">
        <v>322</v>
      </c>
      <c r="G249" s="3">
        <v>3.23</v>
      </c>
      <c r="H249" s="6">
        <f>+G249*L249</f>
        <v>30.407559149999997</v>
      </c>
      <c r="I249" s="6">
        <f>+[140]Main!$N$5-[140]Main!$N$6</f>
        <v>-7.4640000000000004</v>
      </c>
      <c r="J249" s="6">
        <f>+H249-I249</f>
        <v>37.871559149999996</v>
      </c>
      <c r="K249" s="3" t="s">
        <v>301</v>
      </c>
      <c r="L249" s="6">
        <f>+[140]Main!$N$3</f>
        <v>9.4141049999999993</v>
      </c>
      <c r="M249" s="9">
        <v>44780</v>
      </c>
    </row>
    <row r="250" spans="1:31" x14ac:dyDescent="0.25">
      <c r="A250" t="s">
        <v>334</v>
      </c>
      <c r="B250"/>
      <c r="C250"/>
      <c r="D250" s="1">
        <f t="shared" si="21"/>
        <v>232</v>
      </c>
      <c r="E250" s="5" t="s">
        <v>242</v>
      </c>
      <c r="F250" s="1" t="s">
        <v>243</v>
      </c>
      <c r="G250" s="3">
        <v>1.98</v>
      </c>
      <c r="H250" s="6">
        <f>G250*[141]Main!$N$3</f>
        <v>39.757463459999997</v>
      </c>
      <c r="I250" s="6">
        <f>[141]Main!$N$5-[141]Main!$N$6</f>
        <v>15.942</v>
      </c>
      <c r="J250" s="8">
        <f t="shared" si="24"/>
        <v>23.815463459999997</v>
      </c>
      <c r="K250" s="3" t="s">
        <v>16</v>
      </c>
    </row>
    <row r="251" spans="1:31" x14ac:dyDescent="0.25">
      <c r="D251" s="1">
        <f t="shared" si="21"/>
        <v>233</v>
      </c>
      <c r="E251" s="5" t="s">
        <v>244</v>
      </c>
      <c r="F251" s="1" t="s">
        <v>245</v>
      </c>
      <c r="G251" s="3">
        <v>0.62</v>
      </c>
      <c r="H251" s="6">
        <f>G251*[142]Main!$L$3</f>
        <v>30.1881658</v>
      </c>
      <c r="I251" s="6">
        <f>[142]Main!$L$5-[142]Main!$L$6</f>
        <v>13.262999999999998</v>
      </c>
      <c r="J251" s="8">
        <f t="shared" si="24"/>
        <v>16.925165800000002</v>
      </c>
      <c r="K251" s="3" t="s">
        <v>16</v>
      </c>
    </row>
    <row r="252" spans="1:31" x14ac:dyDescent="0.25">
      <c r="D252" s="1">
        <f t="shared" si="21"/>
        <v>234</v>
      </c>
      <c r="E252" s="5" t="s">
        <v>246</v>
      </c>
      <c r="F252" s="1" t="s">
        <v>247</v>
      </c>
      <c r="G252" s="3">
        <v>6.12</v>
      </c>
      <c r="H252" s="6">
        <f>G252*[143]Main!$M$3</f>
        <v>125.46108324000001</v>
      </c>
      <c r="I252" s="6">
        <f>[143]Main!$M$5-[143]Main!$M$6</f>
        <v>131.17699999999999</v>
      </c>
      <c r="J252" s="8">
        <f t="shared" si="24"/>
        <v>-5.7159167599999847</v>
      </c>
      <c r="K252" s="3" t="s">
        <v>16</v>
      </c>
    </row>
    <row r="253" spans="1:31" x14ac:dyDescent="0.25">
      <c r="D253" s="1">
        <f t="shared" si="21"/>
        <v>235</v>
      </c>
      <c r="E253" s="5" t="s">
        <v>248</v>
      </c>
      <c r="F253" s="1" t="s">
        <v>249</v>
      </c>
      <c r="G253" s="3">
        <v>0.98</v>
      </c>
      <c r="H253" s="6">
        <f>G253*[144]Main!$M$3</f>
        <v>20.935517539999999</v>
      </c>
      <c r="I253" s="6">
        <f>[144]Main!$M$5-[144]Main!$M$6</f>
        <v>55.28</v>
      </c>
      <c r="J253" s="8">
        <f t="shared" si="24"/>
        <v>-34.344482460000002</v>
      </c>
      <c r="K253" s="3" t="s">
        <v>16</v>
      </c>
    </row>
    <row r="254" spans="1:31" x14ac:dyDescent="0.25">
      <c r="D254" s="1">
        <f t="shared" si="21"/>
        <v>236</v>
      </c>
      <c r="E254" s="5" t="s">
        <v>1309</v>
      </c>
      <c r="F254" t="s">
        <v>1190</v>
      </c>
      <c r="G254" s="7">
        <v>5</v>
      </c>
      <c r="H254" s="6">
        <f>+G254*L254</f>
        <v>596.75561000000005</v>
      </c>
      <c r="I254" s="6">
        <f>+[145]Main!$J$5-[145]Main!$J$6</f>
        <v>35.484999999999999</v>
      </c>
      <c r="J254" s="8">
        <f t="shared" si="24"/>
        <v>561.27061000000003</v>
      </c>
      <c r="K254" s="3" t="s">
        <v>1074</v>
      </c>
      <c r="L254" s="6">
        <f>+[145]Main!$J$3</f>
        <v>119.351122</v>
      </c>
    </row>
    <row r="255" spans="1:31" x14ac:dyDescent="0.25">
      <c r="D255" s="1">
        <f t="shared" si="21"/>
        <v>237</v>
      </c>
      <c r="E255" s="5" t="s">
        <v>545</v>
      </c>
      <c r="F255" t="s">
        <v>546</v>
      </c>
      <c r="G255" s="3">
        <v>0.94</v>
      </c>
      <c r="H255" s="6">
        <f>+G255*L255</f>
        <v>56.676359999999995</v>
      </c>
      <c r="I255" s="6">
        <f>+[146]Main!$K$5-[146]Main!$K$6</f>
        <v>136.64599999999999</v>
      </c>
      <c r="J255" s="6">
        <f>+H255-I255</f>
        <v>-79.969639999999998</v>
      </c>
      <c r="K255" s="3" t="s">
        <v>1074</v>
      </c>
      <c r="L255" s="6">
        <f>+[146]Main!$K$3</f>
        <v>60.293999999999997</v>
      </c>
      <c r="M255" s="9">
        <v>45550</v>
      </c>
      <c r="AE255" s="1">
        <v>2017</v>
      </c>
    </row>
    <row r="256" spans="1:31" x14ac:dyDescent="0.25">
      <c r="D256" s="1">
        <f t="shared" si="21"/>
        <v>238</v>
      </c>
      <c r="E256" s="1" t="s">
        <v>250</v>
      </c>
      <c r="F256" s="1" t="s">
        <v>251</v>
      </c>
      <c r="G256" s="3">
        <v>0.61</v>
      </c>
    </row>
    <row r="257" spans="1:8" x14ac:dyDescent="0.25">
      <c r="D257" s="1">
        <f t="shared" si="21"/>
        <v>239</v>
      </c>
      <c r="E257" s="1" t="s">
        <v>252</v>
      </c>
      <c r="F257" s="1" t="s">
        <v>253</v>
      </c>
      <c r="G257" s="3">
        <v>1.75</v>
      </c>
      <c r="H257" s="3">
        <v>96</v>
      </c>
    </row>
    <row r="258" spans="1:8" x14ac:dyDescent="0.25">
      <c r="D258" s="1">
        <f t="shared" si="21"/>
        <v>240</v>
      </c>
      <c r="E258" s="1" t="s">
        <v>348</v>
      </c>
      <c r="F258" t="s">
        <v>349</v>
      </c>
      <c r="G258" s="7">
        <v>0.96</v>
      </c>
      <c r="H258" s="3">
        <v>52</v>
      </c>
    </row>
    <row r="259" spans="1:8" x14ac:dyDescent="0.25">
      <c r="D259" s="1">
        <f t="shared" si="21"/>
        <v>241</v>
      </c>
      <c r="E259" s="1" t="s">
        <v>332</v>
      </c>
      <c r="F259" t="s">
        <v>333</v>
      </c>
      <c r="G259" s="7">
        <v>4.0999999999999996</v>
      </c>
      <c r="H259" s="3">
        <v>380</v>
      </c>
    </row>
    <row r="260" spans="1:8" x14ac:dyDescent="0.25">
      <c r="D260" s="1">
        <f t="shared" si="21"/>
        <v>242</v>
      </c>
      <c r="E260" t="s">
        <v>1310</v>
      </c>
      <c r="F260" t="s">
        <v>1311</v>
      </c>
      <c r="G260" s="7">
        <v>14.68</v>
      </c>
      <c r="H260" s="3">
        <v>396</v>
      </c>
    </row>
    <row r="261" spans="1:8" x14ac:dyDescent="0.25">
      <c r="D261" s="1">
        <f t="shared" si="21"/>
        <v>243</v>
      </c>
      <c r="E261" s="1" t="s">
        <v>379</v>
      </c>
      <c r="F261" s="1" t="s">
        <v>380</v>
      </c>
      <c r="G261" s="3">
        <v>25.85</v>
      </c>
    </row>
    <row r="262" spans="1:8" x14ac:dyDescent="0.25">
      <c r="D262" s="1">
        <f t="shared" si="21"/>
        <v>244</v>
      </c>
      <c r="E262" t="s">
        <v>385</v>
      </c>
      <c r="F262" t="s">
        <v>386</v>
      </c>
      <c r="G262" s="3">
        <v>9.26</v>
      </c>
      <c r="H262" s="3">
        <v>204</v>
      </c>
    </row>
    <row r="263" spans="1:8" ht="13" x14ac:dyDescent="0.3">
      <c r="D263" s="1">
        <f t="shared" si="21"/>
        <v>245</v>
      </c>
      <c r="E263" s="25" t="s">
        <v>1355</v>
      </c>
      <c r="F263" t="s">
        <v>1356</v>
      </c>
      <c r="G263" s="3">
        <v>30.21</v>
      </c>
    </row>
    <row r="264" spans="1:8" x14ac:dyDescent="0.25">
      <c r="D264" s="1">
        <f t="shared" si="21"/>
        <v>246</v>
      </c>
      <c r="E264" t="s">
        <v>429</v>
      </c>
      <c r="F264" t="s">
        <v>430</v>
      </c>
      <c r="G264" s="7">
        <v>17.55</v>
      </c>
      <c r="H264" s="3">
        <v>593</v>
      </c>
    </row>
    <row r="265" spans="1:8" x14ac:dyDescent="0.25">
      <c r="D265" s="1">
        <f t="shared" si="21"/>
        <v>247</v>
      </c>
      <c r="E265" s="1" t="s">
        <v>395</v>
      </c>
      <c r="F265" s="1" t="s">
        <v>396</v>
      </c>
      <c r="G265" s="3">
        <v>4.09</v>
      </c>
      <c r="H265" s="3">
        <v>4</v>
      </c>
    </row>
    <row r="266" spans="1:8" x14ac:dyDescent="0.25">
      <c r="D266" s="1">
        <f t="shared" si="21"/>
        <v>248</v>
      </c>
      <c r="E266" t="s">
        <v>741</v>
      </c>
      <c r="F266" t="s">
        <v>742</v>
      </c>
      <c r="G266" s="7">
        <v>30.7</v>
      </c>
      <c r="H266" s="3">
        <v>1800</v>
      </c>
    </row>
    <row r="267" spans="1:8" x14ac:dyDescent="0.25">
      <c r="D267" s="1">
        <f t="shared" si="21"/>
        <v>249</v>
      </c>
      <c r="E267" t="s">
        <v>745</v>
      </c>
      <c r="F267" t="s">
        <v>746</v>
      </c>
    </row>
    <row r="268" spans="1:8" x14ac:dyDescent="0.25">
      <c r="D268" s="1">
        <f t="shared" ref="D268:D328" si="25">+D267+1</f>
        <v>250</v>
      </c>
      <c r="E268" t="s">
        <v>748</v>
      </c>
      <c r="F268" t="s">
        <v>749</v>
      </c>
    </row>
    <row r="269" spans="1:8" x14ac:dyDescent="0.25">
      <c r="A269"/>
      <c r="B269"/>
      <c r="C269"/>
      <c r="D269" s="1">
        <f t="shared" si="25"/>
        <v>251</v>
      </c>
      <c r="E269" t="s">
        <v>750</v>
      </c>
      <c r="F269" t="s">
        <v>751</v>
      </c>
      <c r="G269" s="3">
        <v>6.62</v>
      </c>
      <c r="H269" s="6">
        <v>1800</v>
      </c>
    </row>
    <row r="270" spans="1:8" x14ac:dyDescent="0.25">
      <c r="D270" s="1">
        <f t="shared" si="25"/>
        <v>252</v>
      </c>
      <c r="E270" t="s">
        <v>743</v>
      </c>
      <c r="F270" t="s">
        <v>744</v>
      </c>
    </row>
    <row r="271" spans="1:8" x14ac:dyDescent="0.25">
      <c r="D271" s="1">
        <f>+D240+1</f>
        <v>254</v>
      </c>
      <c r="E271" t="s">
        <v>504</v>
      </c>
      <c r="F271" t="s">
        <v>505</v>
      </c>
    </row>
    <row r="272" spans="1:8" x14ac:dyDescent="0.25">
      <c r="D272" s="1">
        <f t="shared" si="25"/>
        <v>255</v>
      </c>
      <c r="E272" t="s">
        <v>733</v>
      </c>
      <c r="F272" t="s">
        <v>734</v>
      </c>
    </row>
    <row r="273" spans="1:7" x14ac:dyDescent="0.25">
      <c r="D273" s="1">
        <f t="shared" si="25"/>
        <v>256</v>
      </c>
      <c r="E273" t="s">
        <v>729</v>
      </c>
      <c r="F273" t="s">
        <v>730</v>
      </c>
    </row>
    <row r="274" spans="1:7" x14ac:dyDescent="0.25">
      <c r="D274" s="1">
        <f t="shared" si="25"/>
        <v>257</v>
      </c>
      <c r="E274" s="1" t="s">
        <v>515</v>
      </c>
      <c r="F274" s="1" t="s">
        <v>516</v>
      </c>
    </row>
    <row r="275" spans="1:7" x14ac:dyDescent="0.25">
      <c r="D275" s="1">
        <f t="shared" si="25"/>
        <v>258</v>
      </c>
      <c r="E275" t="s">
        <v>520</v>
      </c>
      <c r="F275" t="s">
        <v>1301</v>
      </c>
      <c r="G275" s="3">
        <v>13.13</v>
      </c>
    </row>
    <row r="276" spans="1:7" x14ac:dyDescent="0.25">
      <c r="D276" s="1">
        <f t="shared" si="25"/>
        <v>259</v>
      </c>
      <c r="E276" s="1" t="s">
        <v>523</v>
      </c>
      <c r="F276" s="1" t="s">
        <v>524</v>
      </c>
      <c r="G276" s="3">
        <v>7.08</v>
      </c>
    </row>
    <row r="277" spans="1:7" x14ac:dyDescent="0.25">
      <c r="D277" s="1">
        <f t="shared" si="25"/>
        <v>260</v>
      </c>
      <c r="E277" t="s">
        <v>526</v>
      </c>
      <c r="F277" t="s">
        <v>525</v>
      </c>
      <c r="G277" s="7">
        <v>20.3</v>
      </c>
    </row>
    <row r="278" spans="1:7" x14ac:dyDescent="0.25">
      <c r="D278" s="1">
        <f t="shared" si="25"/>
        <v>261</v>
      </c>
      <c r="E278" t="s">
        <v>527</v>
      </c>
      <c r="F278" t="s">
        <v>528</v>
      </c>
      <c r="G278" s="3">
        <v>0.38</v>
      </c>
    </row>
    <row r="279" spans="1:7" x14ac:dyDescent="0.25">
      <c r="D279" s="1">
        <f t="shared" si="25"/>
        <v>262</v>
      </c>
      <c r="E279" t="s">
        <v>529</v>
      </c>
      <c r="F279" t="s">
        <v>530</v>
      </c>
      <c r="G279" s="3">
        <v>4.24</v>
      </c>
    </row>
    <row r="280" spans="1:7" x14ac:dyDescent="0.25">
      <c r="A280" s="1" t="s">
        <v>334</v>
      </c>
      <c r="D280" s="1">
        <f t="shared" si="25"/>
        <v>263</v>
      </c>
      <c r="E280" t="s">
        <v>531</v>
      </c>
      <c r="F280" t="s">
        <v>532</v>
      </c>
      <c r="G280" s="3">
        <v>13.74</v>
      </c>
    </row>
    <row r="281" spans="1:7" x14ac:dyDescent="0.25">
      <c r="D281" s="1">
        <f t="shared" si="25"/>
        <v>264</v>
      </c>
      <c r="E281" t="s">
        <v>533</v>
      </c>
      <c r="F281" t="s">
        <v>534</v>
      </c>
      <c r="G281" s="3">
        <v>4.3600000000000003</v>
      </c>
    </row>
    <row r="282" spans="1:7" x14ac:dyDescent="0.25">
      <c r="D282" s="1">
        <f t="shared" si="25"/>
        <v>265</v>
      </c>
      <c r="E282" t="s">
        <v>535</v>
      </c>
      <c r="F282" t="s">
        <v>536</v>
      </c>
      <c r="G282" s="3">
        <v>7.06</v>
      </c>
    </row>
    <row r="283" spans="1:7" x14ac:dyDescent="0.25">
      <c r="D283" s="1">
        <f t="shared" si="25"/>
        <v>266</v>
      </c>
      <c r="E283" t="s">
        <v>787</v>
      </c>
      <c r="F283" t="s">
        <v>788</v>
      </c>
    </row>
    <row r="284" spans="1:7" x14ac:dyDescent="0.25">
      <c r="A284" s="1" t="s">
        <v>334</v>
      </c>
      <c r="D284" s="1">
        <f t="shared" si="25"/>
        <v>267</v>
      </c>
      <c r="E284" t="s">
        <v>537</v>
      </c>
      <c r="F284" t="s">
        <v>538</v>
      </c>
      <c r="G284" s="3">
        <v>1.04</v>
      </c>
    </row>
    <row r="285" spans="1:7" ht="13" x14ac:dyDescent="0.3">
      <c r="D285" s="1">
        <f t="shared" si="25"/>
        <v>268</v>
      </c>
      <c r="E285" s="34" t="s">
        <v>539</v>
      </c>
      <c r="F285" s="34" t="s">
        <v>540</v>
      </c>
    </row>
    <row r="286" spans="1:7" x14ac:dyDescent="0.25">
      <c r="D286" s="1">
        <f t="shared" si="25"/>
        <v>269</v>
      </c>
      <c r="E286" t="s">
        <v>541</v>
      </c>
      <c r="F286" t="s">
        <v>542</v>
      </c>
      <c r="G286" s="3">
        <v>2.97</v>
      </c>
    </row>
    <row r="287" spans="1:7" x14ac:dyDescent="0.25">
      <c r="D287" s="1">
        <f t="shared" si="25"/>
        <v>270</v>
      </c>
      <c r="E287" t="s">
        <v>543</v>
      </c>
      <c r="F287" t="s">
        <v>544</v>
      </c>
      <c r="G287" s="3">
        <v>3.28</v>
      </c>
    </row>
    <row r="288" spans="1:7" x14ac:dyDescent="0.25">
      <c r="D288" s="1">
        <f t="shared" si="25"/>
        <v>271</v>
      </c>
      <c r="E288" t="s">
        <v>547</v>
      </c>
      <c r="F288" t="s">
        <v>548</v>
      </c>
    </row>
    <row r="289" spans="1:7" x14ac:dyDescent="0.25">
      <c r="D289" s="1">
        <f t="shared" si="25"/>
        <v>272</v>
      </c>
      <c r="E289" t="s">
        <v>549</v>
      </c>
      <c r="F289" t="s">
        <v>550</v>
      </c>
      <c r="G289" s="3">
        <v>18.07</v>
      </c>
    </row>
    <row r="290" spans="1:7" x14ac:dyDescent="0.25">
      <c r="D290" s="1">
        <f t="shared" si="25"/>
        <v>273</v>
      </c>
      <c r="E290" t="s">
        <v>551</v>
      </c>
      <c r="F290" t="s">
        <v>552</v>
      </c>
      <c r="G290" s="3">
        <v>2.68</v>
      </c>
    </row>
    <row r="291" spans="1:7" x14ac:dyDescent="0.25">
      <c r="D291" s="1">
        <f t="shared" si="25"/>
        <v>274</v>
      </c>
      <c r="E291" t="s">
        <v>553</v>
      </c>
      <c r="F291" t="s">
        <v>554</v>
      </c>
      <c r="G291" s="7">
        <v>7</v>
      </c>
    </row>
    <row r="292" spans="1:7" x14ac:dyDescent="0.25">
      <c r="D292" s="1">
        <f t="shared" si="25"/>
        <v>275</v>
      </c>
      <c r="E292" t="s">
        <v>555</v>
      </c>
      <c r="F292" t="s">
        <v>556</v>
      </c>
      <c r="G292" s="3">
        <v>1.76</v>
      </c>
    </row>
    <row r="293" spans="1:7" x14ac:dyDescent="0.25">
      <c r="D293" s="1">
        <f t="shared" si="25"/>
        <v>276</v>
      </c>
      <c r="E293" t="s">
        <v>992</v>
      </c>
      <c r="F293" t="s">
        <v>993</v>
      </c>
    </row>
    <row r="294" spans="1:7" x14ac:dyDescent="0.25">
      <c r="D294" s="1">
        <f t="shared" si="25"/>
        <v>277</v>
      </c>
      <c r="E294" t="s">
        <v>557</v>
      </c>
      <c r="F294" t="s">
        <v>558</v>
      </c>
      <c r="G294" s="3">
        <v>0.61</v>
      </c>
    </row>
    <row r="295" spans="1:7" x14ac:dyDescent="0.25">
      <c r="D295" s="1">
        <f t="shared" si="25"/>
        <v>278</v>
      </c>
      <c r="E295" t="s">
        <v>559</v>
      </c>
      <c r="F295" t="s">
        <v>560</v>
      </c>
      <c r="G295" s="3">
        <v>0.68</v>
      </c>
    </row>
    <row r="296" spans="1:7" x14ac:dyDescent="0.25">
      <c r="D296" s="1">
        <f t="shared" si="25"/>
        <v>279</v>
      </c>
      <c r="E296" t="s">
        <v>563</v>
      </c>
      <c r="F296" t="s">
        <v>564</v>
      </c>
      <c r="G296" s="3">
        <v>1.86</v>
      </c>
    </row>
    <row r="297" spans="1:7" x14ac:dyDescent="0.25">
      <c r="D297" s="1">
        <f t="shared" si="25"/>
        <v>280</v>
      </c>
      <c r="E297" t="s">
        <v>565</v>
      </c>
      <c r="F297" t="s">
        <v>566</v>
      </c>
      <c r="G297" s="3">
        <v>1.87</v>
      </c>
    </row>
    <row r="298" spans="1:7" ht="13" x14ac:dyDescent="0.3">
      <c r="D298" s="1">
        <f t="shared" si="25"/>
        <v>281</v>
      </c>
      <c r="E298" s="34" t="s">
        <v>567</v>
      </c>
      <c r="F298" s="34" t="s">
        <v>568</v>
      </c>
      <c r="G298"/>
    </row>
    <row r="299" spans="1:7" x14ac:dyDescent="0.25">
      <c r="D299" s="1">
        <f t="shared" si="25"/>
        <v>282</v>
      </c>
      <c r="E299" t="s">
        <v>570</v>
      </c>
      <c r="F299" t="s">
        <v>569</v>
      </c>
      <c r="G299" s="3">
        <v>7.46</v>
      </c>
    </row>
    <row r="300" spans="1:7" x14ac:dyDescent="0.25">
      <c r="D300" s="1">
        <f t="shared" si="25"/>
        <v>283</v>
      </c>
      <c r="E300" t="s">
        <v>802</v>
      </c>
      <c r="F300" t="s">
        <v>803</v>
      </c>
    </row>
    <row r="301" spans="1:7" x14ac:dyDescent="0.25">
      <c r="D301" s="1">
        <f t="shared" si="25"/>
        <v>284</v>
      </c>
      <c r="E301" t="s">
        <v>800</v>
      </c>
      <c r="F301" t="s">
        <v>801</v>
      </c>
      <c r="G301" s="3">
        <v>8.77</v>
      </c>
    </row>
    <row r="302" spans="1:7" x14ac:dyDescent="0.25">
      <c r="D302" s="1">
        <f t="shared" si="25"/>
        <v>285</v>
      </c>
      <c r="E302" t="s">
        <v>571</v>
      </c>
      <c r="F302" t="s">
        <v>572</v>
      </c>
      <c r="G302" s="3">
        <v>2.77</v>
      </c>
    </row>
    <row r="303" spans="1:7" x14ac:dyDescent="0.25">
      <c r="D303" s="1">
        <f t="shared" si="25"/>
        <v>286</v>
      </c>
      <c r="E303" t="s">
        <v>348</v>
      </c>
      <c r="F303" t="s">
        <v>349</v>
      </c>
      <c r="G303" s="3">
        <v>2.67</v>
      </c>
    </row>
    <row r="304" spans="1:7" x14ac:dyDescent="0.25">
      <c r="A304" s="1" t="s">
        <v>334</v>
      </c>
      <c r="D304" s="1">
        <f t="shared" si="25"/>
        <v>287</v>
      </c>
      <c r="E304" t="s">
        <v>980</v>
      </c>
      <c r="F304" t="s">
        <v>981</v>
      </c>
    </row>
    <row r="305" spans="1:31" x14ac:dyDescent="0.25">
      <c r="A305" s="1" t="s">
        <v>334</v>
      </c>
      <c r="D305" s="1">
        <f t="shared" si="25"/>
        <v>288</v>
      </c>
      <c r="E305" t="s">
        <v>978</v>
      </c>
      <c r="F305" t="s">
        <v>979</v>
      </c>
    </row>
    <row r="306" spans="1:31" x14ac:dyDescent="0.25">
      <c r="A306" t="s">
        <v>334</v>
      </c>
      <c r="B306"/>
      <c r="C306"/>
      <c r="D306" s="1">
        <f t="shared" si="25"/>
        <v>289</v>
      </c>
      <c r="E306" t="s">
        <v>984</v>
      </c>
      <c r="F306" t="s">
        <v>985</v>
      </c>
    </row>
    <row r="307" spans="1:31" x14ac:dyDescent="0.25">
      <c r="A307"/>
      <c r="B307"/>
      <c r="C307"/>
      <c r="D307" s="1">
        <f t="shared" si="25"/>
        <v>290</v>
      </c>
      <c r="E307" t="s">
        <v>986</v>
      </c>
      <c r="F307" t="s">
        <v>987</v>
      </c>
    </row>
    <row r="308" spans="1:31" x14ac:dyDescent="0.25">
      <c r="A308" t="s">
        <v>334</v>
      </c>
      <c r="B308"/>
      <c r="C308"/>
      <c r="D308" s="1">
        <f t="shared" si="25"/>
        <v>291</v>
      </c>
      <c r="E308" t="s">
        <v>988</v>
      </c>
      <c r="F308" t="s">
        <v>989</v>
      </c>
    </row>
    <row r="309" spans="1:31" x14ac:dyDescent="0.25">
      <c r="A309" t="s">
        <v>334</v>
      </c>
      <c r="B309"/>
      <c r="C309"/>
      <c r="D309" s="1">
        <f t="shared" si="25"/>
        <v>292</v>
      </c>
      <c r="E309" t="s">
        <v>990</v>
      </c>
      <c r="F309" t="s">
        <v>991</v>
      </c>
    </row>
    <row r="310" spans="1:31" x14ac:dyDescent="0.25">
      <c r="A310" t="s">
        <v>334</v>
      </c>
      <c r="B310"/>
      <c r="C310"/>
      <c r="D310" s="1">
        <f t="shared" si="25"/>
        <v>293</v>
      </c>
      <c r="E310" t="s">
        <v>982</v>
      </c>
      <c r="F310" t="s">
        <v>983</v>
      </c>
    </row>
    <row r="311" spans="1:31" x14ac:dyDescent="0.25">
      <c r="A311" s="1" t="s">
        <v>334</v>
      </c>
      <c r="D311" s="1">
        <f t="shared" si="25"/>
        <v>294</v>
      </c>
      <c r="E311" t="s">
        <v>976</v>
      </c>
      <c r="F311" t="s">
        <v>977</v>
      </c>
    </row>
    <row r="312" spans="1:31" x14ac:dyDescent="0.25">
      <c r="A312" s="1" t="s">
        <v>334</v>
      </c>
      <c r="D312" s="1">
        <f t="shared" si="25"/>
        <v>295</v>
      </c>
      <c r="E312" t="s">
        <v>573</v>
      </c>
      <c r="F312" t="s">
        <v>574</v>
      </c>
      <c r="G312" s="7">
        <v>2.2000000000000002</v>
      </c>
    </row>
    <row r="313" spans="1:31" x14ac:dyDescent="0.25">
      <c r="A313" s="1" t="s">
        <v>334</v>
      </c>
      <c r="D313" s="1">
        <f t="shared" si="25"/>
        <v>296</v>
      </c>
      <c r="E313" t="s">
        <v>577</v>
      </c>
      <c r="F313" t="s">
        <v>578</v>
      </c>
      <c r="G313" s="3">
        <v>0.92</v>
      </c>
    </row>
    <row r="314" spans="1:31" x14ac:dyDescent="0.25">
      <c r="A314" s="1" t="s">
        <v>334</v>
      </c>
      <c r="D314" s="1">
        <f t="shared" si="25"/>
        <v>297</v>
      </c>
      <c r="E314" t="s">
        <v>579</v>
      </c>
      <c r="F314" t="s">
        <v>580</v>
      </c>
      <c r="G314" s="3">
        <v>2.94</v>
      </c>
    </row>
    <row r="315" spans="1:31" x14ac:dyDescent="0.25">
      <c r="A315" s="1" t="s">
        <v>334</v>
      </c>
      <c r="D315" s="1">
        <f t="shared" si="25"/>
        <v>298</v>
      </c>
      <c r="E315" t="s">
        <v>581</v>
      </c>
      <c r="F315" t="s">
        <v>582</v>
      </c>
      <c r="G315" s="3">
        <v>5.88</v>
      </c>
    </row>
    <row r="316" spans="1:31" x14ac:dyDescent="0.25">
      <c r="A316" s="1" t="s">
        <v>334</v>
      </c>
      <c r="D316" s="1">
        <f t="shared" si="25"/>
        <v>299</v>
      </c>
      <c r="E316" t="s">
        <v>583</v>
      </c>
      <c r="F316" t="s">
        <v>584</v>
      </c>
      <c r="G316" s="7">
        <v>3.46</v>
      </c>
    </row>
    <row r="317" spans="1:31" x14ac:dyDescent="0.25">
      <c r="A317" t="s">
        <v>334</v>
      </c>
      <c r="B317"/>
      <c r="C317"/>
      <c r="D317" s="1">
        <f t="shared" si="25"/>
        <v>300</v>
      </c>
      <c r="E317" s="5" t="s">
        <v>886</v>
      </c>
      <c r="F317" t="s">
        <v>887</v>
      </c>
      <c r="G317" s="7">
        <v>13.21</v>
      </c>
      <c r="H317" s="6">
        <f>+G317*L317</f>
        <v>588.73448214000007</v>
      </c>
      <c r="I317" s="6">
        <f>+[147]Main!$M$5-[147]Main!$M$6</f>
        <v>99.997</v>
      </c>
      <c r="J317" s="6">
        <f>+H317-I317</f>
        <v>488.73748214000005</v>
      </c>
      <c r="K317" s="3" t="s">
        <v>1074</v>
      </c>
      <c r="L317" s="6">
        <f>+[147]Main!$M$3</f>
        <v>44.567334000000002</v>
      </c>
      <c r="M317" s="9">
        <v>45568</v>
      </c>
    </row>
    <row r="318" spans="1:31" x14ac:dyDescent="0.25">
      <c r="A318" t="s">
        <v>334</v>
      </c>
      <c r="B318"/>
      <c r="C318"/>
      <c r="D318" s="1">
        <f t="shared" si="25"/>
        <v>301</v>
      </c>
      <c r="E318" s="5" t="s">
        <v>870</v>
      </c>
      <c r="F318" t="s">
        <v>871</v>
      </c>
      <c r="G318" s="7">
        <v>11.39</v>
      </c>
      <c r="H318" s="6">
        <f>+G318*L318</f>
        <v>492.22422607999999</v>
      </c>
      <c r="I318" s="6">
        <f>+[148]Main!$K$5-[148]Main!$K$6</f>
        <v>174.27199999999999</v>
      </c>
      <c r="J318" s="6">
        <f>+H318-I318</f>
        <v>317.95222608</v>
      </c>
      <c r="K318" s="3" t="s">
        <v>1074</v>
      </c>
      <c r="L318" s="6">
        <f>+[148]Main!$K$3</f>
        <v>43.215471999999998</v>
      </c>
      <c r="M318" s="9">
        <v>45567</v>
      </c>
    </row>
    <row r="319" spans="1:31" x14ac:dyDescent="0.25">
      <c r="A319" s="1" t="s">
        <v>334</v>
      </c>
      <c r="D319" s="1">
        <f t="shared" si="25"/>
        <v>302</v>
      </c>
      <c r="E319" s="5" t="s">
        <v>585</v>
      </c>
      <c r="F319" t="s">
        <v>586</v>
      </c>
      <c r="G319" s="7">
        <v>33</v>
      </c>
      <c r="H319" s="6">
        <f>G319*L319</f>
        <v>653.378781</v>
      </c>
      <c r="I319" s="6">
        <f>[149]Main!$M$5-[149]Main!$M$6</f>
        <v>236.422</v>
      </c>
      <c r="J319" s="6">
        <f>H319-I319</f>
        <v>416.95678099999998</v>
      </c>
      <c r="L319" s="6">
        <f>[149]Main!$M$3</f>
        <v>19.799357000000001</v>
      </c>
      <c r="M319" s="9">
        <v>45063</v>
      </c>
      <c r="AE319" s="1">
        <v>2017</v>
      </c>
    </row>
    <row r="320" spans="1:31" x14ac:dyDescent="0.25">
      <c r="A320"/>
      <c r="B320"/>
      <c r="C320"/>
      <c r="D320" s="1">
        <f t="shared" si="25"/>
        <v>303</v>
      </c>
      <c r="E320" s="5" t="s">
        <v>940</v>
      </c>
      <c r="F320" t="s">
        <v>941</v>
      </c>
      <c r="G320" s="3">
        <v>8.91</v>
      </c>
      <c r="H320" s="6">
        <f>+G320*L320</f>
        <v>476.84725110000005</v>
      </c>
      <c r="I320" s="6">
        <f>+[150]Main!$K$5-[150]Main!$K$6</f>
        <v>280.24800000000005</v>
      </c>
      <c r="J320" s="6">
        <f>+H320-I320</f>
        <v>196.5992511</v>
      </c>
      <c r="K320" s="3" t="s">
        <v>1074</v>
      </c>
      <c r="L320" s="6">
        <f>+[150]Main!$K$3</f>
        <v>53.518210000000003</v>
      </c>
      <c r="M320" s="9">
        <v>45557</v>
      </c>
    </row>
    <row r="321" spans="1:31" x14ac:dyDescent="0.25">
      <c r="A321" s="1" t="s">
        <v>334</v>
      </c>
      <c r="D321" s="1">
        <f t="shared" si="25"/>
        <v>304</v>
      </c>
      <c r="E321" s="5" t="s">
        <v>575</v>
      </c>
      <c r="F321" t="s">
        <v>576</v>
      </c>
      <c r="G321" s="3">
        <v>3.34</v>
      </c>
      <c r="H321" s="6">
        <f>+G321*L321</f>
        <v>242.45700277999998</v>
      </c>
      <c r="I321" s="6">
        <f>+[151]Main!$J$5-[151]Main!$J$6</f>
        <v>69.49499999999999</v>
      </c>
      <c r="J321" s="6">
        <f>+H321-I321</f>
        <v>172.96200277999998</v>
      </c>
      <c r="K321" s="3" t="s">
        <v>1074</v>
      </c>
      <c r="L321" s="6">
        <f>+[151]Main!$J$3</f>
        <v>72.591916999999995</v>
      </c>
      <c r="M321" s="9">
        <v>45548</v>
      </c>
    </row>
    <row r="322" spans="1:31" x14ac:dyDescent="0.25">
      <c r="A322"/>
      <c r="B322"/>
      <c r="C322"/>
      <c r="D322" s="1">
        <f t="shared" si="25"/>
        <v>305</v>
      </c>
      <c r="E322" s="5" t="s">
        <v>1171</v>
      </c>
      <c r="F322" t="s">
        <v>1172</v>
      </c>
      <c r="G322" s="7">
        <v>1.28</v>
      </c>
      <c r="H322" s="6">
        <f>+G322*L322</f>
        <v>95.674332159999992</v>
      </c>
      <c r="I322" s="6">
        <f>+[152]Main!$K$5-[152]Main!$K$6</f>
        <v>29.36</v>
      </c>
      <c r="J322" s="6">
        <f>+H322-I322</f>
        <v>66.314332159999992</v>
      </c>
      <c r="K322" s="3" t="s">
        <v>1074</v>
      </c>
      <c r="L322" s="6">
        <f>+[152]Main!$K$3</f>
        <v>74.745571999999996</v>
      </c>
      <c r="M322" s="9">
        <v>45554</v>
      </c>
    </row>
    <row r="323" spans="1:31" x14ac:dyDescent="0.25">
      <c r="A323"/>
      <c r="B323"/>
      <c r="C323"/>
      <c r="D323" s="1">
        <f t="shared" si="25"/>
        <v>306</v>
      </c>
      <c r="E323" s="5" t="s">
        <v>1178</v>
      </c>
      <c r="F323" t="s">
        <v>1179</v>
      </c>
      <c r="G323" s="3">
        <v>0.85</v>
      </c>
      <c r="H323" s="6">
        <f>+G323*L323</f>
        <v>30.110729799999998</v>
      </c>
      <c r="I323" s="6">
        <f>+[153]Main!$L$5-[153]Main!$L$6</f>
        <v>33.298999999999999</v>
      </c>
      <c r="J323" s="6">
        <f>+H323-I323</f>
        <v>-3.1882702000000016</v>
      </c>
      <c r="K323" s="3" t="s">
        <v>1074</v>
      </c>
      <c r="L323" s="6">
        <f>+[153]Main!$L$3</f>
        <v>35.424388</v>
      </c>
      <c r="M323" s="9">
        <v>45558</v>
      </c>
    </row>
    <row r="324" spans="1:31" x14ac:dyDescent="0.25">
      <c r="D324" s="1">
        <f t="shared" si="25"/>
        <v>307</v>
      </c>
      <c r="E324" s="5" t="s">
        <v>587</v>
      </c>
      <c r="F324" t="s">
        <v>588</v>
      </c>
      <c r="G324" s="3">
        <f>0.35</f>
        <v>0.35</v>
      </c>
      <c r="H324" s="6">
        <f>G324*L324</f>
        <v>12.513184599999999</v>
      </c>
      <c r="I324" s="6">
        <f>[154]Main!$K$5-[154]Main!$K$6</f>
        <v>54.983000000000004</v>
      </c>
      <c r="J324" s="6">
        <f>H324-I324</f>
        <v>-42.469815400000002</v>
      </c>
      <c r="L324" s="6">
        <f>[154]Main!$K$3</f>
        <v>35.751956</v>
      </c>
      <c r="M324" s="9">
        <v>45063</v>
      </c>
    </row>
    <row r="325" spans="1:31" x14ac:dyDescent="0.25">
      <c r="A325"/>
      <c r="B325"/>
      <c r="C325"/>
      <c r="D325" s="1">
        <f t="shared" si="25"/>
        <v>308</v>
      </c>
      <c r="E325" s="5" t="s">
        <v>936</v>
      </c>
      <c r="F325" t="s">
        <v>937</v>
      </c>
      <c r="G325" s="7">
        <v>4.63</v>
      </c>
      <c r="H325" s="6">
        <f>+G325*L325</f>
        <v>326.68703101999995</v>
      </c>
      <c r="I325" s="6">
        <f>+[155]Main!$K$5-[155]Main!$K$6</f>
        <v>426.65000000000003</v>
      </c>
      <c r="J325" s="6">
        <f>+H325-I325</f>
        <v>-99.962968980000085</v>
      </c>
      <c r="K325" s="3" t="s">
        <v>1074</v>
      </c>
      <c r="L325" s="6">
        <f>+[155]Main!$K$3</f>
        <v>70.558753999999993</v>
      </c>
      <c r="M325" s="9">
        <v>45564</v>
      </c>
      <c r="AE325" s="1">
        <v>2015</v>
      </c>
    </row>
    <row r="326" spans="1:31" x14ac:dyDescent="0.25">
      <c r="A326" s="1" t="s">
        <v>334</v>
      </c>
      <c r="D326" s="1">
        <f t="shared" si="25"/>
        <v>309</v>
      </c>
      <c r="E326" s="1" t="s">
        <v>589</v>
      </c>
      <c r="F326" s="1" t="s">
        <v>590</v>
      </c>
    </row>
    <row r="327" spans="1:31" x14ac:dyDescent="0.25">
      <c r="D327" s="1">
        <f t="shared" si="25"/>
        <v>310</v>
      </c>
      <c r="E327" t="s">
        <v>591</v>
      </c>
      <c r="F327" t="s">
        <v>592</v>
      </c>
    </row>
    <row r="328" spans="1:31" x14ac:dyDescent="0.25">
      <c r="A328" s="1" t="s">
        <v>334</v>
      </c>
      <c r="D328" s="1">
        <f t="shared" si="25"/>
        <v>311</v>
      </c>
      <c r="E328" t="s">
        <v>593</v>
      </c>
      <c r="F328" t="s">
        <v>594</v>
      </c>
    </row>
    <row r="329" spans="1:31" x14ac:dyDescent="0.25">
      <c r="A329" s="1" t="s">
        <v>334</v>
      </c>
      <c r="D329" s="1">
        <f t="shared" ref="D329:D391" si="26">+D328+1</f>
        <v>312</v>
      </c>
      <c r="E329" s="1" t="s">
        <v>449</v>
      </c>
      <c r="F329" s="1" t="s">
        <v>662</v>
      </c>
    </row>
    <row r="330" spans="1:31" x14ac:dyDescent="0.25">
      <c r="D330" s="1">
        <f t="shared" si="26"/>
        <v>313</v>
      </c>
      <c r="E330" t="s">
        <v>1173</v>
      </c>
      <c r="F330" t="s">
        <v>1174</v>
      </c>
    </row>
    <row r="331" spans="1:31" x14ac:dyDescent="0.25">
      <c r="A331" s="1" t="s">
        <v>334</v>
      </c>
      <c r="D331" s="1">
        <f t="shared" si="26"/>
        <v>314</v>
      </c>
      <c r="E331" t="s">
        <v>775</v>
      </c>
      <c r="F331" t="s">
        <v>776</v>
      </c>
    </row>
    <row r="332" spans="1:31" x14ac:dyDescent="0.25">
      <c r="A332" s="1" t="s">
        <v>334</v>
      </c>
      <c r="D332" s="1">
        <f t="shared" si="26"/>
        <v>315</v>
      </c>
      <c r="E332" t="s">
        <v>665</v>
      </c>
      <c r="F332" t="s">
        <v>666</v>
      </c>
    </row>
    <row r="333" spans="1:31" x14ac:dyDescent="0.25">
      <c r="A333" t="s">
        <v>334</v>
      </c>
      <c r="B333"/>
      <c r="C333"/>
      <c r="D333" s="1">
        <f t="shared" si="26"/>
        <v>316</v>
      </c>
      <c r="E333" t="s">
        <v>667</v>
      </c>
      <c r="F333" t="s">
        <v>668</v>
      </c>
    </row>
    <row r="334" spans="1:31" x14ac:dyDescent="0.25">
      <c r="A334" t="s">
        <v>334</v>
      </c>
      <c r="B334"/>
      <c r="C334"/>
      <c r="D334" s="1">
        <f t="shared" si="26"/>
        <v>317</v>
      </c>
      <c r="E334" t="s">
        <v>669</v>
      </c>
      <c r="F334" t="s">
        <v>670</v>
      </c>
    </row>
    <row r="335" spans="1:31" x14ac:dyDescent="0.25">
      <c r="D335" s="1">
        <f t="shared" si="26"/>
        <v>318</v>
      </c>
      <c r="E335" t="s">
        <v>671</v>
      </c>
      <c r="F335" t="s">
        <v>672</v>
      </c>
    </row>
    <row r="336" spans="1:31" x14ac:dyDescent="0.25">
      <c r="A336" s="1" t="s">
        <v>334</v>
      </c>
      <c r="D336" s="1">
        <f t="shared" si="26"/>
        <v>319</v>
      </c>
      <c r="E336" t="s">
        <v>808</v>
      </c>
      <c r="F336" t="s">
        <v>809</v>
      </c>
    </row>
    <row r="337" spans="1:7" x14ac:dyDescent="0.25">
      <c r="A337" s="1" t="s">
        <v>334</v>
      </c>
      <c r="D337" s="1">
        <f t="shared" si="26"/>
        <v>320</v>
      </c>
      <c r="E337" t="s">
        <v>812</v>
      </c>
      <c r="F337" t="s">
        <v>813</v>
      </c>
    </row>
    <row r="338" spans="1:7" x14ac:dyDescent="0.25">
      <c r="A338" t="s">
        <v>334</v>
      </c>
      <c r="B338"/>
      <c r="C338"/>
      <c r="D338" s="1">
        <f t="shared" si="26"/>
        <v>321</v>
      </c>
      <c r="E338" t="s">
        <v>818</v>
      </c>
      <c r="F338" t="s">
        <v>819</v>
      </c>
    </row>
    <row r="339" spans="1:7" x14ac:dyDescent="0.25">
      <c r="A339" t="s">
        <v>334</v>
      </c>
      <c r="B339"/>
      <c r="C339"/>
      <c r="D339" s="1">
        <f t="shared" si="26"/>
        <v>322</v>
      </c>
      <c r="E339" t="s">
        <v>822</v>
      </c>
      <c r="F339" t="s">
        <v>823</v>
      </c>
    </row>
    <row r="340" spans="1:7" x14ac:dyDescent="0.25">
      <c r="A340" t="s">
        <v>334</v>
      </c>
      <c r="B340"/>
      <c r="C340"/>
      <c r="D340" s="1">
        <f t="shared" si="26"/>
        <v>323</v>
      </c>
      <c r="E340" t="s">
        <v>820</v>
      </c>
      <c r="F340" t="s">
        <v>821</v>
      </c>
    </row>
    <row r="341" spans="1:7" x14ac:dyDescent="0.25">
      <c r="A341" t="s">
        <v>334</v>
      </c>
      <c r="B341"/>
      <c r="C341"/>
      <c r="D341" s="1">
        <f t="shared" si="26"/>
        <v>324</v>
      </c>
      <c r="E341" t="s">
        <v>816</v>
      </c>
      <c r="F341" t="s">
        <v>817</v>
      </c>
    </row>
    <row r="342" spans="1:7" x14ac:dyDescent="0.25">
      <c r="A342" t="s">
        <v>334</v>
      </c>
      <c r="B342"/>
      <c r="C342"/>
      <c r="D342" s="1">
        <f t="shared" si="26"/>
        <v>325</v>
      </c>
      <c r="E342" t="s">
        <v>814</v>
      </c>
      <c r="F342" t="s">
        <v>815</v>
      </c>
    </row>
    <row r="343" spans="1:7" x14ac:dyDescent="0.25">
      <c r="A343" s="1" t="s">
        <v>334</v>
      </c>
      <c r="D343" s="1">
        <f t="shared" si="26"/>
        <v>326</v>
      </c>
      <c r="E343" t="s">
        <v>810</v>
      </c>
      <c r="F343" t="s">
        <v>811</v>
      </c>
    </row>
    <row r="344" spans="1:7" x14ac:dyDescent="0.25">
      <c r="A344" s="1" t="s">
        <v>334</v>
      </c>
      <c r="D344" s="1">
        <f t="shared" si="26"/>
        <v>327</v>
      </c>
      <c r="E344" t="s">
        <v>804</v>
      </c>
      <c r="F344" t="s">
        <v>805</v>
      </c>
    </row>
    <row r="345" spans="1:7" x14ac:dyDescent="0.25">
      <c r="A345" s="1" t="s">
        <v>334</v>
      </c>
      <c r="D345" s="1">
        <f t="shared" si="26"/>
        <v>328</v>
      </c>
      <c r="E345" t="s">
        <v>673</v>
      </c>
      <c r="F345" t="s">
        <v>674</v>
      </c>
    </row>
    <row r="346" spans="1:7" x14ac:dyDescent="0.25">
      <c r="A346" s="1" t="s">
        <v>334</v>
      </c>
      <c r="D346" s="1">
        <f t="shared" si="26"/>
        <v>329</v>
      </c>
      <c r="E346" t="s">
        <v>737</v>
      </c>
      <c r="F346" t="s">
        <v>738</v>
      </c>
    </row>
    <row r="347" spans="1:7" x14ac:dyDescent="0.25">
      <c r="A347" s="1" t="s">
        <v>334</v>
      </c>
      <c r="D347" s="1">
        <f t="shared" si="26"/>
        <v>330</v>
      </c>
      <c r="E347" s="5" t="s">
        <v>735</v>
      </c>
      <c r="F347" t="s">
        <v>736</v>
      </c>
      <c r="G347" s="3">
        <v>6.71</v>
      </c>
    </row>
    <row r="348" spans="1:7" x14ac:dyDescent="0.25">
      <c r="A348" s="1" t="s">
        <v>334</v>
      </c>
      <c r="D348" s="1">
        <f t="shared" si="26"/>
        <v>331</v>
      </c>
      <c r="E348" t="s">
        <v>675</v>
      </c>
      <c r="F348" t="s">
        <v>676</v>
      </c>
    </row>
    <row r="349" spans="1:7" x14ac:dyDescent="0.25">
      <c r="A349" t="s">
        <v>334</v>
      </c>
      <c r="B349"/>
      <c r="C349"/>
      <c r="D349" s="1">
        <f t="shared" si="26"/>
        <v>332</v>
      </c>
      <c r="E349" t="s">
        <v>722</v>
      </c>
      <c r="F349" t="s">
        <v>723</v>
      </c>
    </row>
    <row r="350" spans="1:7" x14ac:dyDescent="0.25">
      <c r="A350" s="1" t="s">
        <v>334</v>
      </c>
      <c r="D350" s="1">
        <f t="shared" si="26"/>
        <v>333</v>
      </c>
      <c r="E350" t="s">
        <v>677</v>
      </c>
      <c r="F350" t="s">
        <v>678</v>
      </c>
    </row>
    <row r="351" spans="1:7" x14ac:dyDescent="0.25">
      <c r="A351" s="1" t="s">
        <v>334</v>
      </c>
      <c r="D351" s="1">
        <f t="shared" si="26"/>
        <v>334</v>
      </c>
      <c r="E351" s="1" t="s">
        <v>696</v>
      </c>
      <c r="F351" s="1" t="s">
        <v>697</v>
      </c>
    </row>
    <row r="352" spans="1:7" x14ac:dyDescent="0.25">
      <c r="A352" t="s">
        <v>334</v>
      </c>
      <c r="B352"/>
      <c r="C352"/>
      <c r="D352" s="1">
        <f t="shared" si="26"/>
        <v>335</v>
      </c>
      <c r="E352" t="s">
        <v>700</v>
      </c>
      <c r="F352" t="s">
        <v>701</v>
      </c>
    </row>
    <row r="353" spans="1:13" x14ac:dyDescent="0.25">
      <c r="A353" t="s">
        <v>334</v>
      </c>
      <c r="B353"/>
      <c r="C353"/>
      <c r="D353" s="1">
        <f t="shared" si="26"/>
        <v>336</v>
      </c>
      <c r="E353" t="s">
        <v>702</v>
      </c>
      <c r="F353" t="s">
        <v>703</v>
      </c>
    </row>
    <row r="354" spans="1:13" x14ac:dyDescent="0.25">
      <c r="A354" t="s">
        <v>334</v>
      </c>
      <c r="B354"/>
      <c r="C354"/>
      <c r="D354" s="1">
        <f t="shared" si="26"/>
        <v>337</v>
      </c>
      <c r="E354" t="s">
        <v>824</v>
      </c>
      <c r="F354" t="s">
        <v>825</v>
      </c>
    </row>
    <row r="355" spans="1:13" x14ac:dyDescent="0.25">
      <c r="A355" t="s">
        <v>334</v>
      </c>
      <c r="B355"/>
      <c r="C355"/>
      <c r="D355" s="1">
        <f t="shared" si="26"/>
        <v>338</v>
      </c>
      <c r="E355" t="s">
        <v>828</v>
      </c>
      <c r="F355" t="s">
        <v>829</v>
      </c>
      <c r="G355" s="3">
        <v>0.48</v>
      </c>
    </row>
    <row r="356" spans="1:13" x14ac:dyDescent="0.25">
      <c r="A356" t="s">
        <v>334</v>
      </c>
      <c r="B356"/>
      <c r="C356"/>
      <c r="D356" s="1">
        <f t="shared" si="26"/>
        <v>339</v>
      </c>
      <c r="E356" s="5" t="s">
        <v>830</v>
      </c>
      <c r="F356" t="s">
        <v>831</v>
      </c>
      <c r="G356" s="3">
        <v>9.11</v>
      </c>
      <c r="H356" s="6">
        <f>G356*L356</f>
        <v>772.48715987000003</v>
      </c>
      <c r="I356" s="6">
        <f>[156]Main!$I$5-[156]Main!$I$6</f>
        <v>138.756</v>
      </c>
      <c r="J356" s="6">
        <f>H356-I356</f>
        <v>633.73115987000006</v>
      </c>
      <c r="K356" s="9" t="s">
        <v>1619</v>
      </c>
      <c r="L356" s="6">
        <f>[156]Main!$I$3</f>
        <v>84.795517000000004</v>
      </c>
      <c r="M356" s="9">
        <v>45622</v>
      </c>
    </row>
    <row r="357" spans="1:13" x14ac:dyDescent="0.25">
      <c r="A357"/>
      <c r="B357"/>
      <c r="C357"/>
      <c r="D357" s="1">
        <f t="shared" si="26"/>
        <v>340</v>
      </c>
      <c r="E357" t="s">
        <v>832</v>
      </c>
      <c r="F357" t="s">
        <v>833</v>
      </c>
    </row>
    <row r="358" spans="1:13" x14ac:dyDescent="0.25">
      <c r="A358" t="s">
        <v>334</v>
      </c>
      <c r="B358"/>
      <c r="C358"/>
      <c r="D358" s="1">
        <f t="shared" si="26"/>
        <v>341</v>
      </c>
      <c r="E358" s="5" t="s">
        <v>834</v>
      </c>
      <c r="F358" t="s">
        <v>835</v>
      </c>
      <c r="G358" s="3">
        <v>1.73</v>
      </c>
    </row>
    <row r="359" spans="1:13" x14ac:dyDescent="0.25">
      <c r="A359" t="s">
        <v>334</v>
      </c>
      <c r="B359"/>
      <c r="C359"/>
      <c r="D359" s="1">
        <f t="shared" si="26"/>
        <v>342</v>
      </c>
      <c r="E359" t="s">
        <v>836</v>
      </c>
      <c r="F359" t="s">
        <v>837</v>
      </c>
    </row>
    <row r="360" spans="1:13" x14ac:dyDescent="0.25">
      <c r="A360" t="s">
        <v>334</v>
      </c>
      <c r="B360"/>
      <c r="C360"/>
      <c r="D360" s="1">
        <f t="shared" si="26"/>
        <v>343</v>
      </c>
      <c r="E360" t="s">
        <v>838</v>
      </c>
      <c r="F360" t="s">
        <v>839</v>
      </c>
    </row>
    <row r="361" spans="1:13" x14ac:dyDescent="0.25">
      <c r="A361"/>
      <c r="B361"/>
      <c r="C361"/>
      <c r="D361" s="1">
        <f t="shared" si="26"/>
        <v>344</v>
      </c>
      <c r="E361" t="s">
        <v>840</v>
      </c>
      <c r="F361" t="s">
        <v>841</v>
      </c>
    </row>
    <row r="362" spans="1:13" x14ac:dyDescent="0.25">
      <c r="A362"/>
      <c r="B362"/>
      <c r="C362"/>
      <c r="D362" s="1">
        <f t="shared" si="26"/>
        <v>345</v>
      </c>
      <c r="E362" t="s">
        <v>842</v>
      </c>
      <c r="F362" t="s">
        <v>843</v>
      </c>
    </row>
    <row r="363" spans="1:13" x14ac:dyDescent="0.25">
      <c r="A363" t="s">
        <v>334</v>
      </c>
      <c r="B363"/>
      <c r="C363"/>
      <c r="D363" s="1">
        <f t="shared" si="26"/>
        <v>346</v>
      </c>
      <c r="E363" t="s">
        <v>844</v>
      </c>
      <c r="F363" t="s">
        <v>845</v>
      </c>
    </row>
    <row r="364" spans="1:13" x14ac:dyDescent="0.25">
      <c r="A364" t="s">
        <v>334</v>
      </c>
      <c r="B364"/>
      <c r="C364"/>
      <c r="D364" s="1">
        <f t="shared" si="26"/>
        <v>347</v>
      </c>
      <c r="E364" t="s">
        <v>846</v>
      </c>
      <c r="F364" t="s">
        <v>847</v>
      </c>
    </row>
    <row r="365" spans="1:13" x14ac:dyDescent="0.25">
      <c r="A365" t="s">
        <v>334</v>
      </c>
      <c r="B365"/>
      <c r="C365"/>
      <c r="D365" s="1">
        <f t="shared" si="26"/>
        <v>348</v>
      </c>
      <c r="E365" s="5" t="s">
        <v>852</v>
      </c>
      <c r="F365" t="s">
        <v>853</v>
      </c>
      <c r="G365" s="3">
        <v>0.32</v>
      </c>
    </row>
    <row r="366" spans="1:13" x14ac:dyDescent="0.25">
      <c r="A366" t="s">
        <v>334</v>
      </c>
      <c r="B366"/>
      <c r="C366"/>
      <c r="D366" s="1">
        <f t="shared" si="26"/>
        <v>349</v>
      </c>
      <c r="E366" s="5" t="s">
        <v>854</v>
      </c>
      <c r="F366" t="s">
        <v>855</v>
      </c>
      <c r="G366" s="3">
        <v>14.25</v>
      </c>
    </row>
    <row r="367" spans="1:13" x14ac:dyDescent="0.25">
      <c r="A367"/>
      <c r="B367"/>
      <c r="C367"/>
      <c r="D367" s="1">
        <f t="shared" si="26"/>
        <v>350</v>
      </c>
      <c r="E367" t="s">
        <v>856</v>
      </c>
      <c r="F367" t="s">
        <v>857</v>
      </c>
    </row>
    <row r="368" spans="1:13" x14ac:dyDescent="0.25">
      <c r="A368" t="s">
        <v>334</v>
      </c>
      <c r="B368"/>
      <c r="C368"/>
      <c r="D368" s="1">
        <f t="shared" si="26"/>
        <v>351</v>
      </c>
      <c r="E368" s="5" t="s">
        <v>858</v>
      </c>
      <c r="F368" t="s">
        <v>859</v>
      </c>
      <c r="G368" s="3">
        <v>23.86</v>
      </c>
      <c r="H368" s="6">
        <f>+G368*L368</f>
        <v>725.98063251999997</v>
      </c>
      <c r="I368" s="6">
        <f>+[157]Main!$K$5-[157]Main!$K$6</f>
        <v>458.03099999999995</v>
      </c>
      <c r="J368" s="6">
        <f>+H368-I368</f>
        <v>267.94963252000002</v>
      </c>
      <c r="K368" s="3" t="s">
        <v>1280</v>
      </c>
      <c r="L368" s="6">
        <f>+[157]Main!$K$3</f>
        <v>30.426682</v>
      </c>
      <c r="M368" s="9">
        <v>45631</v>
      </c>
    </row>
    <row r="369" spans="1:13" x14ac:dyDescent="0.25">
      <c r="A369" t="s">
        <v>334</v>
      </c>
      <c r="B369"/>
      <c r="C369"/>
      <c r="D369" s="1">
        <f t="shared" si="26"/>
        <v>352</v>
      </c>
      <c r="E369" s="5" t="s">
        <v>860</v>
      </c>
      <c r="F369" t="s">
        <v>861</v>
      </c>
      <c r="G369" s="3">
        <v>1.74</v>
      </c>
      <c r="H369" s="6">
        <f>+G369*L369</f>
        <v>200.47132818</v>
      </c>
      <c r="I369" s="6">
        <f>+[158]Main!$J$5-[158]Main!$J$6</f>
        <v>316.5809999999999</v>
      </c>
      <c r="J369" s="6">
        <f>+H369-I369</f>
        <v>-116.1096718199999</v>
      </c>
      <c r="K369" s="3" t="s">
        <v>1280</v>
      </c>
      <c r="L369" s="6">
        <f>+[158]Main!$J$3</f>
        <v>115.213407</v>
      </c>
      <c r="M369" s="9">
        <v>45631</v>
      </c>
    </row>
    <row r="370" spans="1:13" x14ac:dyDescent="0.25">
      <c r="A370" t="s">
        <v>334</v>
      </c>
      <c r="B370"/>
      <c r="C370"/>
      <c r="D370" s="1">
        <f t="shared" si="26"/>
        <v>353</v>
      </c>
      <c r="E370" t="s">
        <v>862</v>
      </c>
      <c r="F370" t="s">
        <v>863</v>
      </c>
    </row>
    <row r="371" spans="1:13" x14ac:dyDescent="0.25">
      <c r="A371" t="s">
        <v>334</v>
      </c>
      <c r="B371"/>
      <c r="C371"/>
      <c r="D371" s="1">
        <f t="shared" si="26"/>
        <v>354</v>
      </c>
      <c r="E371" t="s">
        <v>864</v>
      </c>
      <c r="F371" t="s">
        <v>865</v>
      </c>
    </row>
    <row r="372" spans="1:13" x14ac:dyDescent="0.25">
      <c r="A372" t="s">
        <v>334</v>
      </c>
      <c r="B372"/>
      <c r="C372"/>
      <c r="D372" s="1">
        <f t="shared" si="26"/>
        <v>355</v>
      </c>
      <c r="E372" t="s">
        <v>866</v>
      </c>
      <c r="F372" t="s">
        <v>867</v>
      </c>
    </row>
    <row r="373" spans="1:13" x14ac:dyDescent="0.25">
      <c r="A373" t="s">
        <v>334</v>
      </c>
      <c r="B373"/>
      <c r="C373"/>
      <c r="D373" s="1">
        <f t="shared" si="26"/>
        <v>356</v>
      </c>
      <c r="E373" t="s">
        <v>868</v>
      </c>
      <c r="F373" t="s">
        <v>869</v>
      </c>
    </row>
    <row r="374" spans="1:13" x14ac:dyDescent="0.25">
      <c r="A374" t="s">
        <v>334</v>
      </c>
      <c r="B374"/>
      <c r="C374"/>
      <c r="D374" s="1">
        <f t="shared" si="26"/>
        <v>357</v>
      </c>
      <c r="E374" t="s">
        <v>872</v>
      </c>
      <c r="F374" t="s">
        <v>873</v>
      </c>
      <c r="G374" s="7">
        <v>2.8</v>
      </c>
    </row>
    <row r="375" spans="1:13" x14ac:dyDescent="0.25">
      <c r="A375" t="s">
        <v>334</v>
      </c>
      <c r="B375"/>
      <c r="C375"/>
      <c r="D375" s="1">
        <f t="shared" si="26"/>
        <v>358</v>
      </c>
      <c r="E375" t="s">
        <v>874</v>
      </c>
      <c r="F375" t="s">
        <v>875</v>
      </c>
      <c r="G375" s="7">
        <v>2.02</v>
      </c>
    </row>
    <row r="376" spans="1:13" x14ac:dyDescent="0.25">
      <c r="A376" t="s">
        <v>334</v>
      </c>
      <c r="B376"/>
      <c r="C376"/>
      <c r="D376" s="1">
        <f t="shared" si="26"/>
        <v>359</v>
      </c>
      <c r="E376" t="s">
        <v>876</v>
      </c>
      <c r="F376" t="s">
        <v>877</v>
      </c>
      <c r="G376" s="7">
        <v>2</v>
      </c>
    </row>
    <row r="377" spans="1:13" x14ac:dyDescent="0.25">
      <c r="A377" t="s">
        <v>334</v>
      </c>
      <c r="B377"/>
      <c r="C377"/>
      <c r="D377" s="1">
        <f t="shared" si="26"/>
        <v>360</v>
      </c>
      <c r="E377" t="s">
        <v>878</v>
      </c>
      <c r="F377" t="s">
        <v>879</v>
      </c>
      <c r="G377" s="7">
        <v>0.94</v>
      </c>
    </row>
    <row r="378" spans="1:13" x14ac:dyDescent="0.25">
      <c r="A378" t="s">
        <v>334</v>
      </c>
      <c r="B378"/>
      <c r="C378"/>
      <c r="D378" s="1">
        <f t="shared" si="26"/>
        <v>361</v>
      </c>
      <c r="E378" t="s">
        <v>880</v>
      </c>
      <c r="F378" t="s">
        <v>881</v>
      </c>
      <c r="G378" s="7">
        <v>2.36</v>
      </c>
    </row>
    <row r="379" spans="1:13" x14ac:dyDescent="0.25">
      <c r="A379" t="s">
        <v>334</v>
      </c>
      <c r="B379"/>
      <c r="C379"/>
      <c r="D379" s="1">
        <f t="shared" si="26"/>
        <v>362</v>
      </c>
      <c r="E379" t="s">
        <v>882</v>
      </c>
      <c r="F379" t="s">
        <v>883</v>
      </c>
      <c r="G379" s="7"/>
    </row>
    <row r="380" spans="1:13" x14ac:dyDescent="0.25">
      <c r="A380" t="s">
        <v>334</v>
      </c>
      <c r="B380"/>
      <c r="C380"/>
      <c r="D380" s="1">
        <f t="shared" si="26"/>
        <v>363</v>
      </c>
      <c r="E380" t="s">
        <v>884</v>
      </c>
      <c r="F380" t="s">
        <v>885</v>
      </c>
      <c r="G380" s="7">
        <v>7.3</v>
      </c>
    </row>
    <row r="381" spans="1:13" x14ac:dyDescent="0.25">
      <c r="A381" t="s">
        <v>334</v>
      </c>
      <c r="B381"/>
      <c r="C381"/>
      <c r="D381" s="1">
        <f t="shared" si="26"/>
        <v>364</v>
      </c>
      <c r="E381" t="s">
        <v>888</v>
      </c>
      <c r="F381" t="s">
        <v>889</v>
      </c>
      <c r="G381" s="7">
        <v>14.5</v>
      </c>
    </row>
    <row r="382" spans="1:13" x14ac:dyDescent="0.25">
      <c r="A382" t="s">
        <v>334</v>
      </c>
      <c r="B382"/>
      <c r="C382"/>
      <c r="D382" s="1">
        <f t="shared" si="26"/>
        <v>365</v>
      </c>
      <c r="E382" t="s">
        <v>890</v>
      </c>
      <c r="F382" t="s">
        <v>891</v>
      </c>
      <c r="G382" s="7">
        <v>16.95</v>
      </c>
    </row>
    <row r="383" spans="1:13" x14ac:dyDescent="0.25">
      <c r="A383" t="s">
        <v>334</v>
      </c>
      <c r="B383"/>
      <c r="C383"/>
      <c r="D383" s="1">
        <f t="shared" si="26"/>
        <v>366</v>
      </c>
      <c r="E383" t="s">
        <v>893</v>
      </c>
      <c r="F383" t="s">
        <v>892</v>
      </c>
      <c r="G383" s="7">
        <v>1.03</v>
      </c>
    </row>
    <row r="384" spans="1:13" x14ac:dyDescent="0.25">
      <c r="A384" t="s">
        <v>334</v>
      </c>
      <c r="B384"/>
      <c r="C384"/>
      <c r="D384" s="1">
        <f t="shared" si="26"/>
        <v>367</v>
      </c>
      <c r="E384" t="s">
        <v>894</v>
      </c>
      <c r="F384" t="s">
        <v>895</v>
      </c>
      <c r="G384" s="7">
        <v>2.4</v>
      </c>
    </row>
    <row r="385" spans="1:7" x14ac:dyDescent="0.25">
      <c r="A385" t="s">
        <v>334</v>
      </c>
      <c r="B385"/>
      <c r="C385"/>
      <c r="D385" s="1">
        <f t="shared" si="26"/>
        <v>368</v>
      </c>
      <c r="E385" t="s">
        <v>896</v>
      </c>
      <c r="F385" t="s">
        <v>897</v>
      </c>
      <c r="G385" s="7">
        <v>6.26</v>
      </c>
    </row>
    <row r="386" spans="1:7" x14ac:dyDescent="0.25">
      <c r="A386" t="s">
        <v>334</v>
      </c>
      <c r="B386"/>
      <c r="C386"/>
      <c r="D386" s="1">
        <f t="shared" si="26"/>
        <v>369</v>
      </c>
      <c r="E386" t="s">
        <v>898</v>
      </c>
      <c r="F386" t="s">
        <v>899</v>
      </c>
      <c r="G386" s="7">
        <v>17.100000000000001</v>
      </c>
    </row>
    <row r="387" spans="1:7" x14ac:dyDescent="0.25">
      <c r="A387" t="s">
        <v>334</v>
      </c>
      <c r="B387"/>
      <c r="C387"/>
      <c r="D387" s="1">
        <f t="shared" si="26"/>
        <v>370</v>
      </c>
      <c r="E387" t="s">
        <v>900</v>
      </c>
      <c r="F387" t="s">
        <v>901</v>
      </c>
      <c r="G387" s="3">
        <v>0.65</v>
      </c>
    </row>
    <row r="388" spans="1:7" x14ac:dyDescent="0.25">
      <c r="A388" t="s">
        <v>334</v>
      </c>
      <c r="B388"/>
      <c r="C388"/>
      <c r="D388" s="1">
        <f t="shared" si="26"/>
        <v>371</v>
      </c>
      <c r="E388" t="s">
        <v>902</v>
      </c>
      <c r="F388" t="s">
        <v>903</v>
      </c>
    </row>
    <row r="389" spans="1:7" x14ac:dyDescent="0.25">
      <c r="A389" t="s">
        <v>334</v>
      </c>
      <c r="B389"/>
      <c r="C389"/>
      <c r="D389" s="1">
        <f t="shared" si="26"/>
        <v>372</v>
      </c>
      <c r="E389" t="s">
        <v>904</v>
      </c>
      <c r="F389" t="s">
        <v>905</v>
      </c>
    </row>
    <row r="390" spans="1:7" x14ac:dyDescent="0.25">
      <c r="A390" t="s">
        <v>334</v>
      </c>
      <c r="B390"/>
      <c r="C390"/>
      <c r="D390" s="1">
        <f t="shared" si="26"/>
        <v>373</v>
      </c>
      <c r="E390" t="s">
        <v>906</v>
      </c>
      <c r="F390" t="s">
        <v>907</v>
      </c>
    </row>
    <row r="391" spans="1:7" x14ac:dyDescent="0.25">
      <c r="A391" t="s">
        <v>334</v>
      </c>
      <c r="B391"/>
      <c r="C391"/>
      <c r="D391" s="1">
        <f t="shared" si="26"/>
        <v>374</v>
      </c>
      <c r="E391" t="s">
        <v>908</v>
      </c>
      <c r="F391" t="s">
        <v>909</v>
      </c>
    </row>
    <row r="392" spans="1:7" x14ac:dyDescent="0.25">
      <c r="A392" t="s">
        <v>334</v>
      </c>
      <c r="B392"/>
      <c r="C392"/>
      <c r="D392" s="1">
        <f t="shared" ref="D392:D457" si="27">+D391+1</f>
        <v>375</v>
      </c>
      <c r="E392" t="s">
        <v>910</v>
      </c>
      <c r="F392" t="s">
        <v>911</v>
      </c>
    </row>
    <row r="393" spans="1:7" x14ac:dyDescent="0.25">
      <c r="A393"/>
      <c r="B393"/>
      <c r="C393"/>
      <c r="D393" s="1">
        <f t="shared" si="27"/>
        <v>376</v>
      </c>
      <c r="E393" t="s">
        <v>912</v>
      </c>
      <c r="F393" t="s">
        <v>913</v>
      </c>
    </row>
    <row r="394" spans="1:7" x14ac:dyDescent="0.25">
      <c r="A394"/>
      <c r="B394"/>
      <c r="C394"/>
      <c r="D394" s="1">
        <f t="shared" si="27"/>
        <v>377</v>
      </c>
      <c r="E394" t="s">
        <v>914</v>
      </c>
      <c r="F394" t="s">
        <v>915</v>
      </c>
    </row>
    <row r="395" spans="1:7" x14ac:dyDescent="0.25">
      <c r="A395"/>
      <c r="B395"/>
      <c r="C395"/>
      <c r="D395" s="1">
        <f t="shared" si="27"/>
        <v>378</v>
      </c>
      <c r="E395" t="s">
        <v>916</v>
      </c>
      <c r="F395" t="s">
        <v>917</v>
      </c>
    </row>
    <row r="396" spans="1:7" x14ac:dyDescent="0.25">
      <c r="A396"/>
      <c r="B396"/>
      <c r="C396"/>
      <c r="D396" s="1">
        <f t="shared" si="27"/>
        <v>379</v>
      </c>
      <c r="E396" t="s">
        <v>918</v>
      </c>
      <c r="F396" t="s">
        <v>919</v>
      </c>
    </row>
    <row r="397" spans="1:7" x14ac:dyDescent="0.25">
      <c r="A397"/>
      <c r="B397"/>
      <c r="C397"/>
      <c r="D397" s="1">
        <f t="shared" si="27"/>
        <v>380</v>
      </c>
      <c r="E397" t="s">
        <v>920</v>
      </c>
      <c r="F397" t="s">
        <v>921</v>
      </c>
    </row>
    <row r="398" spans="1:7" x14ac:dyDescent="0.25">
      <c r="A398"/>
      <c r="B398"/>
      <c r="C398"/>
      <c r="D398" s="1">
        <f t="shared" si="27"/>
        <v>381</v>
      </c>
      <c r="E398" t="s">
        <v>922</v>
      </c>
      <c r="F398" t="s">
        <v>923</v>
      </c>
    </row>
    <row r="399" spans="1:7" x14ac:dyDescent="0.25">
      <c r="A399"/>
      <c r="B399"/>
      <c r="C399"/>
      <c r="D399" s="1">
        <f t="shared" si="27"/>
        <v>382</v>
      </c>
      <c r="E399" s="5" t="s">
        <v>1296</v>
      </c>
      <c r="F399" t="s">
        <v>1297</v>
      </c>
      <c r="G399" s="7">
        <v>1</v>
      </c>
    </row>
    <row r="400" spans="1:7" x14ac:dyDescent="0.25">
      <c r="A400"/>
      <c r="B400"/>
      <c r="C400"/>
      <c r="D400" s="1">
        <f t="shared" si="27"/>
        <v>383</v>
      </c>
      <c r="E400" t="s">
        <v>924</v>
      </c>
      <c r="F400" t="s">
        <v>925</v>
      </c>
    </row>
    <row r="401" spans="1:7" x14ac:dyDescent="0.25">
      <c r="A401"/>
      <c r="B401"/>
      <c r="C401"/>
      <c r="D401" s="1">
        <f t="shared" si="27"/>
        <v>384</v>
      </c>
      <c r="E401" t="s">
        <v>926</v>
      </c>
      <c r="F401" t="s">
        <v>927</v>
      </c>
    </row>
    <row r="402" spans="1:7" x14ac:dyDescent="0.25">
      <c r="A402"/>
      <c r="B402"/>
      <c r="C402"/>
      <c r="D402" s="1">
        <f t="shared" si="27"/>
        <v>385</v>
      </c>
      <c r="E402" t="s">
        <v>928</v>
      </c>
      <c r="F402" t="s">
        <v>929</v>
      </c>
    </row>
    <row r="403" spans="1:7" x14ac:dyDescent="0.25">
      <c r="A403"/>
      <c r="B403"/>
      <c r="C403"/>
      <c r="D403" s="1">
        <f t="shared" si="27"/>
        <v>386</v>
      </c>
      <c r="E403" t="s">
        <v>930</v>
      </c>
      <c r="F403" t="s">
        <v>931</v>
      </c>
    </row>
    <row r="404" spans="1:7" x14ac:dyDescent="0.25">
      <c r="A404"/>
      <c r="B404"/>
      <c r="C404"/>
      <c r="D404" s="1">
        <f t="shared" si="27"/>
        <v>387</v>
      </c>
      <c r="E404" t="s">
        <v>932</v>
      </c>
      <c r="F404" t="s">
        <v>935</v>
      </c>
    </row>
    <row r="405" spans="1:7" x14ac:dyDescent="0.25">
      <c r="A405"/>
      <c r="B405"/>
      <c r="C405"/>
      <c r="D405" s="1">
        <f t="shared" si="27"/>
        <v>388</v>
      </c>
      <c r="E405" t="s">
        <v>933</v>
      </c>
      <c r="F405" t="s">
        <v>934</v>
      </c>
    </row>
    <row r="406" spans="1:7" x14ac:dyDescent="0.25">
      <c r="A406"/>
      <c r="B406"/>
      <c r="C406"/>
      <c r="D406" s="1">
        <f t="shared" si="27"/>
        <v>389</v>
      </c>
      <c r="E406" t="s">
        <v>938</v>
      </c>
      <c r="F406" t="s">
        <v>939</v>
      </c>
    </row>
    <row r="407" spans="1:7" ht="13" x14ac:dyDescent="0.3">
      <c r="A407"/>
      <c r="B407"/>
      <c r="C407"/>
      <c r="D407" s="1">
        <f t="shared" si="27"/>
        <v>390</v>
      </c>
      <c r="E407" s="25" t="s">
        <v>1353</v>
      </c>
      <c r="F407" t="s">
        <v>1354</v>
      </c>
      <c r="G407" s="3">
        <v>2.84</v>
      </c>
    </row>
    <row r="408" spans="1:7" x14ac:dyDescent="0.25">
      <c r="A408"/>
      <c r="B408"/>
      <c r="C408"/>
      <c r="D408" s="1">
        <f t="shared" si="27"/>
        <v>391</v>
      </c>
      <c r="E408" t="s">
        <v>942</v>
      </c>
      <c r="F408" t="s">
        <v>943</v>
      </c>
    </row>
    <row r="409" spans="1:7" x14ac:dyDescent="0.25">
      <c r="A409"/>
      <c r="B409"/>
      <c r="C409"/>
      <c r="D409" s="1">
        <f t="shared" si="27"/>
        <v>392</v>
      </c>
      <c r="E409" t="s">
        <v>944</v>
      </c>
      <c r="F409" t="s">
        <v>945</v>
      </c>
    </row>
    <row r="410" spans="1:7" x14ac:dyDescent="0.25">
      <c r="A410"/>
      <c r="B410"/>
      <c r="C410"/>
      <c r="D410" s="1">
        <f t="shared" si="27"/>
        <v>393</v>
      </c>
      <c r="E410" t="s">
        <v>946</v>
      </c>
      <c r="F410" t="s">
        <v>947</v>
      </c>
    </row>
    <row r="411" spans="1:7" x14ac:dyDescent="0.25">
      <c r="A411"/>
      <c r="B411"/>
      <c r="C411"/>
      <c r="D411" s="1">
        <f t="shared" si="27"/>
        <v>394</v>
      </c>
      <c r="E411" t="s">
        <v>948</v>
      </c>
      <c r="F411" t="s">
        <v>949</v>
      </c>
    </row>
    <row r="412" spans="1:7" x14ac:dyDescent="0.25">
      <c r="A412"/>
      <c r="B412"/>
      <c r="C412"/>
      <c r="D412" s="1">
        <f t="shared" si="27"/>
        <v>395</v>
      </c>
      <c r="E412" t="s">
        <v>950</v>
      </c>
      <c r="F412" t="s">
        <v>951</v>
      </c>
    </row>
    <row r="413" spans="1:7" x14ac:dyDescent="0.25">
      <c r="A413"/>
      <c r="B413"/>
      <c r="C413"/>
      <c r="D413" s="1">
        <f t="shared" si="27"/>
        <v>396</v>
      </c>
      <c r="E413" t="s">
        <v>954</v>
      </c>
      <c r="F413" t="s">
        <v>955</v>
      </c>
    </row>
    <row r="414" spans="1:7" x14ac:dyDescent="0.25">
      <c r="A414"/>
      <c r="B414"/>
      <c r="C414"/>
      <c r="D414" s="1">
        <f t="shared" si="27"/>
        <v>397</v>
      </c>
      <c r="E414" t="s">
        <v>956</v>
      </c>
      <c r="F414" t="s">
        <v>957</v>
      </c>
    </row>
    <row r="415" spans="1:7" x14ac:dyDescent="0.25">
      <c r="A415"/>
      <c r="B415"/>
      <c r="C415"/>
      <c r="D415" s="1">
        <f t="shared" si="27"/>
        <v>398</v>
      </c>
      <c r="E415" t="s">
        <v>958</v>
      </c>
      <c r="F415" t="s">
        <v>959</v>
      </c>
    </row>
    <row r="416" spans="1:7" x14ac:dyDescent="0.25">
      <c r="A416"/>
      <c r="B416"/>
      <c r="C416"/>
      <c r="D416" s="1">
        <f t="shared" si="27"/>
        <v>399</v>
      </c>
      <c r="E416" t="s">
        <v>960</v>
      </c>
      <c r="F416" t="s">
        <v>961</v>
      </c>
    </row>
    <row r="417" spans="1:13" x14ac:dyDescent="0.25">
      <c r="A417"/>
      <c r="B417"/>
      <c r="C417"/>
      <c r="D417" s="1">
        <f t="shared" si="27"/>
        <v>400</v>
      </c>
      <c r="E417" t="s">
        <v>962</v>
      </c>
      <c r="F417" t="s">
        <v>963</v>
      </c>
    </row>
    <row r="418" spans="1:13" x14ac:dyDescent="0.25">
      <c r="A418"/>
      <c r="B418"/>
      <c r="C418"/>
      <c r="D418" s="1">
        <f t="shared" si="27"/>
        <v>401</v>
      </c>
      <c r="E418" t="s">
        <v>964</v>
      </c>
      <c r="F418" t="s">
        <v>965</v>
      </c>
    </row>
    <row r="419" spans="1:13" x14ac:dyDescent="0.25">
      <c r="A419"/>
      <c r="B419"/>
      <c r="C419"/>
      <c r="D419" s="1">
        <f t="shared" si="27"/>
        <v>402</v>
      </c>
      <c r="E419" t="s">
        <v>966</v>
      </c>
      <c r="F419" t="s">
        <v>967</v>
      </c>
    </row>
    <row r="420" spans="1:13" x14ac:dyDescent="0.25">
      <c r="A420"/>
      <c r="B420"/>
      <c r="C420"/>
      <c r="D420" s="1">
        <f t="shared" si="27"/>
        <v>403</v>
      </c>
      <c r="E420" t="s">
        <v>968</v>
      </c>
      <c r="F420" t="s">
        <v>969</v>
      </c>
    </row>
    <row r="421" spans="1:13" x14ac:dyDescent="0.25">
      <c r="A421"/>
      <c r="B421"/>
      <c r="C421"/>
      <c r="D421" s="1">
        <f t="shared" si="27"/>
        <v>404</v>
      </c>
      <c r="E421" t="s">
        <v>970</v>
      </c>
      <c r="F421" t="s">
        <v>971</v>
      </c>
    </row>
    <row r="422" spans="1:13" x14ac:dyDescent="0.25">
      <c r="A422"/>
      <c r="B422"/>
      <c r="C422"/>
      <c r="D422" s="1">
        <f t="shared" si="27"/>
        <v>405</v>
      </c>
      <c r="E422" t="s">
        <v>972</v>
      </c>
      <c r="F422" t="s">
        <v>973</v>
      </c>
    </row>
    <row r="423" spans="1:13" x14ac:dyDescent="0.25">
      <c r="A423"/>
      <c r="B423"/>
      <c r="C423"/>
      <c r="D423" s="1">
        <f t="shared" si="27"/>
        <v>406</v>
      </c>
      <c r="E423" t="s">
        <v>974</v>
      </c>
      <c r="F423" t="s">
        <v>975</v>
      </c>
    </row>
    <row r="424" spans="1:13" x14ac:dyDescent="0.25">
      <c r="D424" s="1">
        <f t="shared" si="27"/>
        <v>407</v>
      </c>
      <c r="E424" s="1" t="s">
        <v>1097</v>
      </c>
      <c r="F424" s="1" t="s">
        <v>1098</v>
      </c>
      <c r="G424" s="3">
        <v>8.11</v>
      </c>
      <c r="H424" s="3">
        <v>123</v>
      </c>
    </row>
    <row r="425" spans="1:13" x14ac:dyDescent="0.25">
      <c r="D425" s="1">
        <f t="shared" si="27"/>
        <v>408</v>
      </c>
      <c r="E425" s="5" t="s">
        <v>1611</v>
      </c>
      <c r="F425" t="s">
        <v>1612</v>
      </c>
      <c r="G425" s="7">
        <v>42.9</v>
      </c>
      <c r="H425" s="6">
        <f t="shared" ref="H425:H437" si="28">+G425*L425</f>
        <v>518.07807479999997</v>
      </c>
      <c r="I425" s="6">
        <f>+[159]Main!$K$5-[159]Main!$K$6</f>
        <v>89.078000000000003</v>
      </c>
      <c r="J425" s="6">
        <f t="shared" ref="J425:J437" si="29">+H425-I425</f>
        <v>429.00007479999999</v>
      </c>
      <c r="K425" s="3" t="s">
        <v>1280</v>
      </c>
      <c r="L425" s="6">
        <f>+[159]Main!$K$3</f>
        <v>12.076411999999999</v>
      </c>
      <c r="M425" s="9">
        <v>45608</v>
      </c>
    </row>
    <row r="426" spans="1:13" x14ac:dyDescent="0.25">
      <c r="D426" s="1">
        <f t="shared" si="27"/>
        <v>409</v>
      </c>
      <c r="E426" s="41" t="s">
        <v>1130</v>
      </c>
      <c r="F426" s="1" t="s">
        <v>1131</v>
      </c>
      <c r="G426" s="7">
        <v>10.54</v>
      </c>
      <c r="H426" s="6">
        <f t="shared" si="28"/>
        <v>295.11496187999995</v>
      </c>
      <c r="I426" s="6">
        <f>+[160]Main!$K$5-[160]Main!$K$6</f>
        <v>15.414999999999999</v>
      </c>
      <c r="J426" s="6">
        <f t="shared" si="29"/>
        <v>279.69996187999993</v>
      </c>
      <c r="K426" s="3" t="s">
        <v>1074</v>
      </c>
      <c r="L426" s="6">
        <f>+[160]Main!$K$3</f>
        <v>27.999521999999999</v>
      </c>
      <c r="M426" s="9">
        <v>45474</v>
      </c>
    </row>
    <row r="427" spans="1:13" x14ac:dyDescent="0.25">
      <c r="D427" s="1">
        <f t="shared" si="27"/>
        <v>410</v>
      </c>
      <c r="E427" s="5" t="s">
        <v>1621</v>
      </c>
      <c r="F427" s="1" t="s">
        <v>1620</v>
      </c>
      <c r="G427" s="3">
        <v>2.62</v>
      </c>
      <c r="H427" s="6">
        <f>+G427*L427</f>
        <v>164.43598150000003</v>
      </c>
      <c r="I427" s="6">
        <f>+[161]Main!$K$5-[161]Main!$K$6</f>
        <v>-77.494</v>
      </c>
      <c r="J427" s="6">
        <f>+H427-I427</f>
        <v>241.92998150000003</v>
      </c>
      <c r="K427" s="3" t="s">
        <v>1280</v>
      </c>
      <c r="L427" s="6">
        <f>+[161]Main!$K$3</f>
        <v>62.761825000000002</v>
      </c>
      <c r="M427" s="9">
        <v>45628</v>
      </c>
    </row>
    <row r="428" spans="1:13" x14ac:dyDescent="0.25">
      <c r="B428" s="1">
        <v>6</v>
      </c>
      <c r="C428" s="1">
        <v>2</v>
      </c>
      <c r="D428" s="1">
        <f t="shared" si="27"/>
        <v>411</v>
      </c>
      <c r="E428" s="5" t="s">
        <v>1639</v>
      </c>
      <c r="F428" t="s">
        <v>1638</v>
      </c>
      <c r="G428" s="3">
        <v>46.89</v>
      </c>
      <c r="H428" s="6">
        <f>+G428*L428</f>
        <v>293.01870474000003</v>
      </c>
      <c r="I428" s="6">
        <f>+[162]Main!$L$5-[162]Main!$L$6</f>
        <v>41.190244</v>
      </c>
      <c r="J428" s="6">
        <f>+H428-I428</f>
        <v>251.82846074000003</v>
      </c>
      <c r="K428" s="3" t="s">
        <v>1074</v>
      </c>
      <c r="L428" s="6">
        <f>+[162]Main!$L$3</f>
        <v>6.2490660000000009</v>
      </c>
      <c r="M428" s="9">
        <v>45630</v>
      </c>
    </row>
    <row r="429" spans="1:13" x14ac:dyDescent="0.25">
      <c r="D429" s="1">
        <f t="shared" si="27"/>
        <v>412</v>
      </c>
      <c r="E429" s="5" t="s">
        <v>1627</v>
      </c>
      <c r="F429" t="s">
        <v>1626</v>
      </c>
      <c r="G429" s="7">
        <v>5</v>
      </c>
      <c r="H429" s="6">
        <f>+G429*L429</f>
        <v>289.71532999999999</v>
      </c>
      <c r="I429" s="6">
        <f>+[163]Main!$M$5-[163]Main!$M$6</f>
        <v>117.82499999999999</v>
      </c>
      <c r="J429" s="6">
        <f>+H429-I429</f>
        <v>171.89033000000001</v>
      </c>
      <c r="K429" s="3" t="s">
        <v>1280</v>
      </c>
      <c r="L429" s="6">
        <f>+[163]Main!$M$3</f>
        <v>57.943066000000002</v>
      </c>
      <c r="M429" s="9">
        <v>45629</v>
      </c>
    </row>
    <row r="430" spans="1:13" x14ac:dyDescent="0.25">
      <c r="D430" s="1">
        <f t="shared" si="27"/>
        <v>413</v>
      </c>
      <c r="E430" s="5" t="s">
        <v>1644</v>
      </c>
      <c r="F430" t="s">
        <v>1645</v>
      </c>
      <c r="G430" s="7">
        <v>4.5</v>
      </c>
      <c r="H430" s="6">
        <f>+G430*L430</f>
        <v>146.13991650000003</v>
      </c>
      <c r="I430" s="6">
        <f>+[164]Main!$M$5-[164]Main!$M$6</f>
        <v>1.9079999999999977</v>
      </c>
      <c r="J430" s="6">
        <f>+H430-I430</f>
        <v>144.23191650000004</v>
      </c>
      <c r="K430" s="3" t="s">
        <v>1280</v>
      </c>
      <c r="L430" s="6">
        <f>+[164]Main!$M$3</f>
        <v>32.475537000000003</v>
      </c>
      <c r="M430" s="9">
        <v>45630</v>
      </c>
    </row>
    <row r="431" spans="1:13" x14ac:dyDescent="0.25">
      <c r="D431" s="1">
        <f t="shared" si="27"/>
        <v>414</v>
      </c>
      <c r="E431" s="5" t="s">
        <v>1615</v>
      </c>
      <c r="F431" t="s">
        <v>1616</v>
      </c>
      <c r="G431" s="3">
        <v>1.53</v>
      </c>
      <c r="H431" s="6">
        <f t="shared" si="28"/>
        <v>192.47591862000002</v>
      </c>
      <c r="I431" s="6">
        <f>+[165]Main!$L$5-[165]Main!$L$6</f>
        <v>74.8</v>
      </c>
      <c r="J431" s="6">
        <f t="shared" si="29"/>
        <v>117.67591862000002</v>
      </c>
      <c r="K431" s="3" t="s">
        <v>1280</v>
      </c>
      <c r="L431" s="6">
        <f>+[165]Main!$L$3</f>
        <v>125.801254</v>
      </c>
      <c r="M431" s="9">
        <v>45608</v>
      </c>
    </row>
    <row r="432" spans="1:13" x14ac:dyDescent="0.25">
      <c r="D432" s="1">
        <f t="shared" si="27"/>
        <v>415</v>
      </c>
      <c r="E432" s="5" t="s">
        <v>1099</v>
      </c>
      <c r="F432" t="s">
        <v>1100</v>
      </c>
      <c r="G432" s="7">
        <v>5</v>
      </c>
      <c r="H432" s="6">
        <f t="shared" si="28"/>
        <v>216.57198499999998</v>
      </c>
      <c r="I432" s="6">
        <f>+[166]Main!$J$5-[166]Main!$J$6</f>
        <v>104.35299999999999</v>
      </c>
      <c r="J432" s="6">
        <f t="shared" si="29"/>
        <v>112.21898499999999</v>
      </c>
      <c r="K432" s="3" t="s">
        <v>1074</v>
      </c>
      <c r="L432" s="6">
        <f>+[166]Main!$J$3</f>
        <v>43.314397</v>
      </c>
      <c r="M432" s="9">
        <v>45525</v>
      </c>
    </row>
    <row r="433" spans="4:13" x14ac:dyDescent="0.25">
      <c r="D433" s="1">
        <f t="shared" si="27"/>
        <v>416</v>
      </c>
      <c r="E433" s="5" t="s">
        <v>1163</v>
      </c>
      <c r="F433" t="s">
        <v>1164</v>
      </c>
      <c r="G433" s="7">
        <v>3.6</v>
      </c>
      <c r="H433" s="6">
        <f t="shared" si="28"/>
        <v>132.55131599999999</v>
      </c>
      <c r="I433" s="6">
        <f>+[167]Main!$L$5-[167]Main!$L$6</f>
        <v>33.507724000000003</v>
      </c>
      <c r="J433" s="6">
        <f t="shared" si="29"/>
        <v>99.04359199999999</v>
      </c>
      <c r="K433" s="3" t="s">
        <v>1074</v>
      </c>
      <c r="L433" s="6">
        <f>+[167]Main!$L$3</f>
        <v>36.819809999999997</v>
      </c>
      <c r="M433" s="9">
        <v>45567</v>
      </c>
    </row>
    <row r="434" spans="4:13" x14ac:dyDescent="0.25">
      <c r="D434" s="1">
        <f t="shared" si="27"/>
        <v>417</v>
      </c>
      <c r="E434" s="5" t="s">
        <v>1613</v>
      </c>
      <c r="F434" t="s">
        <v>1614</v>
      </c>
      <c r="G434" s="7">
        <v>13.15</v>
      </c>
      <c r="H434" s="6">
        <f t="shared" si="28"/>
        <v>319.37594360000003</v>
      </c>
      <c r="I434" s="6">
        <f>+[168]Main!$K$5-[168]Main!$K$6</f>
        <v>225.55599999999998</v>
      </c>
      <c r="J434" s="6">
        <f t="shared" si="29"/>
        <v>93.819943600000045</v>
      </c>
      <c r="K434" s="3" t="s">
        <v>1280</v>
      </c>
      <c r="L434" s="6">
        <f>+[168]Main!$K$3</f>
        <v>24.287144000000001</v>
      </c>
      <c r="M434" s="9">
        <v>45608</v>
      </c>
    </row>
    <row r="435" spans="4:13" x14ac:dyDescent="0.25">
      <c r="D435" s="1">
        <f t="shared" si="27"/>
        <v>418</v>
      </c>
      <c r="E435" s="5" t="s">
        <v>1629</v>
      </c>
      <c r="F435" t="s">
        <v>1628</v>
      </c>
      <c r="G435" s="3">
        <v>2.83</v>
      </c>
      <c r="H435" s="6">
        <f>+G435*L435</f>
        <v>108.43964851000001</v>
      </c>
      <c r="I435" s="6">
        <f>+[169]Main!$K$5-[169]Main!$K$6</f>
        <v>62.823</v>
      </c>
      <c r="J435" s="6">
        <f>+H435-I435</f>
        <v>45.616648510000012</v>
      </c>
      <c r="K435" s="3" t="s">
        <v>1280</v>
      </c>
      <c r="L435" s="6">
        <f>+[169]Main!$K$3</f>
        <v>38.317897000000002</v>
      </c>
      <c r="M435" s="9">
        <v>45629</v>
      </c>
    </row>
    <row r="436" spans="4:13" x14ac:dyDescent="0.25">
      <c r="D436" s="1">
        <f>+D452+1</f>
        <v>435</v>
      </c>
      <c r="E436" t="s">
        <v>1646</v>
      </c>
      <c r="F436" t="s">
        <v>1647</v>
      </c>
      <c r="G436" s="7">
        <v>1.24</v>
      </c>
      <c r="H436" s="6">
        <f>+G436*L436</f>
        <v>41.467086759999994</v>
      </c>
      <c r="I436" s="6">
        <f>+[170]Main!$K$5-[170]Main!$K$6</f>
        <v>5.4758170000000002</v>
      </c>
      <c r="J436" s="6">
        <f>+H436-I436</f>
        <v>35.991269759999994</v>
      </c>
      <c r="K436" s="3" t="s">
        <v>1280</v>
      </c>
      <c r="L436" s="6">
        <f>+[170]Main!$K$3</f>
        <v>33.441198999999997</v>
      </c>
      <c r="M436" s="9">
        <v>45630</v>
      </c>
    </row>
    <row r="437" spans="4:13" x14ac:dyDescent="0.25">
      <c r="D437" s="1">
        <f>+D435+1</f>
        <v>419</v>
      </c>
      <c r="E437" s="5" t="s">
        <v>1437</v>
      </c>
      <c r="F437" s="1" t="s">
        <v>1438</v>
      </c>
      <c r="G437" s="3">
        <v>0.19</v>
      </c>
      <c r="H437" s="6">
        <f t="shared" si="28"/>
        <v>4.1807902100000005</v>
      </c>
      <c r="I437" s="6">
        <f>+[171]Main!$P$5-[171]Main!$P$6</f>
        <v>-4.3319999999999999</v>
      </c>
      <c r="J437" s="6">
        <f t="shared" si="29"/>
        <v>8.5127902100000004</v>
      </c>
      <c r="K437" s="3" t="s">
        <v>1074</v>
      </c>
      <c r="L437" s="6">
        <f>+[171]Main!$P$3</f>
        <v>22.004159000000001</v>
      </c>
      <c r="M437" s="9">
        <v>45587</v>
      </c>
    </row>
    <row r="438" spans="4:13" x14ac:dyDescent="0.25">
      <c r="D438" s="1">
        <f t="shared" si="27"/>
        <v>420</v>
      </c>
      <c r="E438" s="41" t="s">
        <v>1631</v>
      </c>
      <c r="F438" t="s">
        <v>1630</v>
      </c>
      <c r="G438" s="7">
        <v>3.71</v>
      </c>
      <c r="H438" s="6">
        <f>+G438*L438</f>
        <v>181.33427843999999</v>
      </c>
      <c r="I438" s="6">
        <f>+[172]Main!$K$5-[172]Main!$K$6</f>
        <v>183.012</v>
      </c>
      <c r="J438" s="6">
        <f>+H438-I438</f>
        <v>-1.677721560000009</v>
      </c>
      <c r="K438" s="3" t="s">
        <v>1280</v>
      </c>
      <c r="L438" s="6">
        <f>+[172]Main!$K$3</f>
        <v>48.877164</v>
      </c>
      <c r="M438" s="9">
        <v>45629</v>
      </c>
    </row>
    <row r="439" spans="4:13" x14ac:dyDescent="0.25">
      <c r="D439" s="1">
        <f t="shared" si="27"/>
        <v>421</v>
      </c>
      <c r="E439" s="5" t="s">
        <v>1634</v>
      </c>
      <c r="F439" s="1" t="s">
        <v>1635</v>
      </c>
      <c r="G439" s="7">
        <v>6</v>
      </c>
      <c r="H439" s="6">
        <f>+G439*L439</f>
        <v>327.199524</v>
      </c>
      <c r="I439" s="6">
        <f>+[173]Main!$L$5-[173]Main!$L$6</f>
        <v>371.02100000000002</v>
      </c>
      <c r="J439" s="6">
        <f>+H439-I439</f>
        <v>-43.821476000000018</v>
      </c>
      <c r="K439" s="3" t="s">
        <v>1074</v>
      </c>
      <c r="L439" s="6">
        <f>+[173]Main!$L$3</f>
        <v>54.533253999999999</v>
      </c>
      <c r="M439" s="9">
        <v>45629</v>
      </c>
    </row>
    <row r="440" spans="4:13" x14ac:dyDescent="0.25">
      <c r="D440" s="1">
        <f t="shared" si="27"/>
        <v>422</v>
      </c>
      <c r="E440" s="1" t="s">
        <v>1193</v>
      </c>
      <c r="F440" s="1" t="s">
        <v>1194</v>
      </c>
      <c r="G440" s="3">
        <v>0.28999999999999998</v>
      </c>
    </row>
    <row r="441" spans="4:13" x14ac:dyDescent="0.25">
      <c r="D441" s="1">
        <f t="shared" si="27"/>
        <v>423</v>
      </c>
      <c r="E441" s="1" t="s">
        <v>1275</v>
      </c>
      <c r="F441" t="s">
        <v>1276</v>
      </c>
    </row>
    <row r="442" spans="4:13" x14ac:dyDescent="0.25">
      <c r="D442" s="1">
        <f t="shared" si="27"/>
        <v>424</v>
      </c>
      <c r="E442" s="1" t="s">
        <v>1304</v>
      </c>
      <c r="F442" s="1" t="s">
        <v>1305</v>
      </c>
    </row>
    <row r="443" spans="4:13" x14ac:dyDescent="0.25">
      <c r="D443" s="1">
        <f t="shared" si="27"/>
        <v>425</v>
      </c>
      <c r="E443" t="s">
        <v>1306</v>
      </c>
      <c r="F443" t="s">
        <v>1307</v>
      </c>
    </row>
    <row r="444" spans="4:13" x14ac:dyDescent="0.25">
      <c r="D444" s="1">
        <f t="shared" si="27"/>
        <v>426</v>
      </c>
      <c r="E444" s="1" t="s">
        <v>1357</v>
      </c>
    </row>
    <row r="445" spans="4:13" x14ac:dyDescent="0.25">
      <c r="D445" s="1">
        <f t="shared" si="27"/>
        <v>427</v>
      </c>
      <c r="E445" s="5" t="s">
        <v>1442</v>
      </c>
      <c r="F445" s="1" t="s">
        <v>1443</v>
      </c>
      <c r="G445" s="7">
        <v>30</v>
      </c>
    </row>
    <row r="446" spans="4:13" x14ac:dyDescent="0.25">
      <c r="D446" s="1">
        <f t="shared" si="27"/>
        <v>428</v>
      </c>
      <c r="E446" t="s">
        <v>1505</v>
      </c>
    </row>
    <row r="447" spans="4:13" x14ac:dyDescent="0.25">
      <c r="D447" s="1">
        <f t="shared" si="27"/>
        <v>429</v>
      </c>
      <c r="E447" s="1" t="s">
        <v>1617</v>
      </c>
      <c r="F447" t="s">
        <v>1618</v>
      </c>
    </row>
    <row r="448" spans="4:13" x14ac:dyDescent="0.25">
      <c r="D448" s="1">
        <f t="shared" si="27"/>
        <v>430</v>
      </c>
      <c r="E448" t="s">
        <v>1622</v>
      </c>
      <c r="F448" s="1" t="s">
        <v>1623</v>
      </c>
    </row>
    <row r="449" spans="4:7" x14ac:dyDescent="0.25">
      <c r="D449" s="1">
        <f t="shared" si="27"/>
        <v>431</v>
      </c>
      <c r="E449" t="s">
        <v>1624</v>
      </c>
      <c r="F449" t="s">
        <v>1625</v>
      </c>
    </row>
    <row r="450" spans="4:7" x14ac:dyDescent="0.25">
      <c r="D450" s="1">
        <f t="shared" si="27"/>
        <v>432</v>
      </c>
      <c r="E450" t="s">
        <v>1632</v>
      </c>
      <c r="F450" t="s">
        <v>1633</v>
      </c>
    </row>
    <row r="451" spans="4:7" x14ac:dyDescent="0.25">
      <c r="D451" s="1">
        <f t="shared" si="27"/>
        <v>433</v>
      </c>
      <c r="E451" s="5" t="s">
        <v>1637</v>
      </c>
      <c r="F451" s="1" t="s">
        <v>1636</v>
      </c>
      <c r="G451" s="3">
        <v>26.71</v>
      </c>
    </row>
    <row r="452" spans="4:7" x14ac:dyDescent="0.25">
      <c r="D452" s="1">
        <f t="shared" si="27"/>
        <v>434</v>
      </c>
      <c r="E452" s="1" t="s">
        <v>1642</v>
      </c>
      <c r="F452" t="s">
        <v>1643</v>
      </c>
    </row>
    <row r="453" spans="4:7" x14ac:dyDescent="0.25">
      <c r="D453" s="1">
        <f t="shared" si="27"/>
        <v>435</v>
      </c>
      <c r="E453" t="s">
        <v>1648</v>
      </c>
      <c r="F453" s="1" t="s">
        <v>1649</v>
      </c>
    </row>
    <row r="454" spans="4:7" x14ac:dyDescent="0.25">
      <c r="D454" s="1">
        <f t="shared" si="27"/>
        <v>436</v>
      </c>
      <c r="E454" s="1" t="s">
        <v>1650</v>
      </c>
      <c r="F454" t="s">
        <v>1651</v>
      </c>
      <c r="G454" s="3">
        <v>4.1100000000000003</v>
      </c>
    </row>
    <row r="455" spans="4:7" x14ac:dyDescent="0.25">
      <c r="D455" s="1">
        <f t="shared" si="27"/>
        <v>437</v>
      </c>
      <c r="E455" t="s">
        <v>1656</v>
      </c>
      <c r="F455" t="s">
        <v>1657</v>
      </c>
    </row>
    <row r="456" spans="4:7" x14ac:dyDescent="0.25">
      <c r="D456" s="1">
        <f t="shared" si="27"/>
        <v>438</v>
      </c>
      <c r="E456" s="1" t="s">
        <v>1658</v>
      </c>
      <c r="F456" s="1" t="s">
        <v>1659</v>
      </c>
    </row>
    <row r="457" spans="4:7" x14ac:dyDescent="0.25">
      <c r="D457" s="1">
        <f t="shared" si="27"/>
        <v>439</v>
      </c>
      <c r="E457" t="s">
        <v>1660</v>
      </c>
      <c r="F457" t="s">
        <v>1661</v>
      </c>
    </row>
  </sheetData>
  <sortState xmlns:xlrd2="http://schemas.microsoft.com/office/spreadsheetml/2017/richdata2" ref="A162:AE209">
    <sortCondition descending="1" ref="H162:H209"/>
  </sortState>
  <mergeCells count="2">
    <mergeCell ref="S2:X2"/>
    <mergeCell ref="Y2:AD2"/>
  </mergeCells>
  <hyperlinks>
    <hyperlink ref="E7" r:id="rId1" xr:uid="{31FFFB9E-A269-4EC0-9451-78F4F00A4890}"/>
    <hyperlink ref="E9" r:id="rId2" xr:uid="{C156021C-BE99-4BC0-AA7F-F8904621CB69}"/>
    <hyperlink ref="E16" r:id="rId3" xr:uid="{087C38CF-D4BE-425F-8F38-C4129E6AE209}"/>
    <hyperlink ref="E12" r:id="rId4" xr:uid="{686D20FF-3704-45CC-8366-56508FB00F00}"/>
    <hyperlink ref="E10" r:id="rId5" xr:uid="{8513C491-1620-4390-AB90-9384BB1A043B}"/>
    <hyperlink ref="E4" r:id="rId6" xr:uid="{615921E7-8A8A-4F41-A8F3-1AF78A43F1AC}"/>
    <hyperlink ref="E26" r:id="rId7" xr:uid="{A38EC1E4-9170-422B-A9F5-3B6EB77DF40A}"/>
    <hyperlink ref="E5" r:id="rId8" xr:uid="{CCC45DFB-BF73-4A15-8527-F4C3C617F472}"/>
    <hyperlink ref="E22" r:id="rId9" xr:uid="{FC86E1B4-4BA7-43A8-8FCA-CC27867A7922}"/>
    <hyperlink ref="E19" r:id="rId10" xr:uid="{F9D09B0D-FACB-4CCA-872E-286E56965815}"/>
    <hyperlink ref="E17" r:id="rId11" xr:uid="{5A59EF45-A9EA-44F3-BECB-EFED8413DCF6}"/>
    <hyperlink ref="E8" r:id="rId12" xr:uid="{0888F4DA-9569-4326-990C-43015A33BD61}"/>
    <hyperlink ref="E20" r:id="rId13" xr:uid="{C2959A9B-7367-43D7-934F-562A915DC4DD}"/>
    <hyperlink ref="E21" r:id="rId14" xr:uid="{A069369A-FB97-4A4A-A581-321FA79E4250}"/>
    <hyperlink ref="E58" r:id="rId15" xr:uid="{6EF35D30-7113-4CE8-9077-C5BE97F74D36}"/>
    <hyperlink ref="E25" r:id="rId16" xr:uid="{1F769FA7-6B90-4B6B-9BCC-7D6679675B06}"/>
    <hyperlink ref="E27" r:id="rId17" xr:uid="{61277D68-67DC-475B-9B61-B7E2F3017110}"/>
    <hyperlink ref="E245" r:id="rId18" xr:uid="{14A63DAF-63A6-4B91-A2AF-AE28EA251457}"/>
    <hyperlink ref="E250" r:id="rId19" xr:uid="{4ACA7C7F-E42A-4687-A776-AB8065DB40FF}"/>
    <hyperlink ref="E244" r:id="rId20" xr:uid="{B3421391-7EC0-4253-8F62-5ED45A5BFA02}"/>
    <hyperlink ref="E251" r:id="rId21" xr:uid="{F6A45FC7-B73C-4143-9CAB-B3ADA19B5FD7}"/>
    <hyperlink ref="E246" r:id="rId22" xr:uid="{BBD267CB-7407-4913-9D05-6A6AA380019F}"/>
    <hyperlink ref="E253" r:id="rId23" xr:uid="{85368858-6D0F-4ABE-975C-AE5530342445}"/>
    <hyperlink ref="E241" r:id="rId24" xr:uid="{8B5BC1F5-14D4-45A0-B224-31FAF227EAF3}"/>
    <hyperlink ref="E252" r:id="rId25" xr:uid="{D5FB3BFE-F0A8-4C09-90A1-9F506EF0ADE4}"/>
    <hyperlink ref="E247" r:id="rId26" xr:uid="{11598046-2AED-42E7-ACA5-251A20A59427}"/>
    <hyperlink ref="E52" r:id="rId27" xr:uid="{A1C90F9B-FBBF-4C72-9A11-3798F692A0D2}"/>
    <hyperlink ref="E91" r:id="rId28" xr:uid="{F7B6503D-1F84-47C4-B87E-BDA7159D1B9F}"/>
    <hyperlink ref="E45" r:id="rId29" xr:uid="{D0EE43E7-C3F5-4256-99AE-DDCA9EC11DCF}"/>
    <hyperlink ref="E37" r:id="rId30" xr:uid="{1C25970A-A568-4869-A34A-5C6C7551D812}"/>
    <hyperlink ref="E211" r:id="rId31" xr:uid="{C3A06396-38CD-486E-9F4F-233A79292B4F}"/>
    <hyperlink ref="E123" r:id="rId32" xr:uid="{B83625D8-44D2-4842-9139-F29C8D5F2D8E}"/>
    <hyperlink ref="E216" r:id="rId33" xr:uid="{5FF32E6A-C6C7-4793-8271-BD230B9C7641}"/>
    <hyperlink ref="E73" r:id="rId34" xr:uid="{E5739E03-9FE4-4D05-90C8-36ABF7D078CB}"/>
    <hyperlink ref="E87" r:id="rId35" xr:uid="{25285F59-771C-40DB-8B78-E1E454C61406}"/>
    <hyperlink ref="E249" r:id="rId36" xr:uid="{C000061C-001D-4088-90A4-B672D181D3C5}"/>
    <hyperlink ref="E71" r:id="rId37" xr:uid="{6A1F812B-EA91-4B3C-B4DC-88F792A7D0DE}"/>
    <hyperlink ref="E99" r:id="rId38" xr:uid="{6930A656-C59A-465F-8634-B30B4FEF47BC}"/>
    <hyperlink ref="E94" r:id="rId39" xr:uid="{559FAD8A-D620-4B93-BE14-CC22630BD57E}"/>
    <hyperlink ref="E6" r:id="rId40" xr:uid="{467EEBCD-6BD7-4E71-B2C9-FCF3DB57F059}"/>
    <hyperlink ref="E242" r:id="rId41" xr:uid="{6A576FDB-A573-4A00-8381-4BECF13B35A1}"/>
    <hyperlink ref="E24" r:id="rId42" xr:uid="{994E2867-C411-41E7-8332-43A0B3B0CC2B}"/>
    <hyperlink ref="E158" r:id="rId43" xr:uid="{51C9506E-5D60-43F8-BADA-7F72A25DAFF6}"/>
    <hyperlink ref="E115" r:id="rId44" xr:uid="{9E4325F2-98CF-4735-96D0-66A9DC5A8E86}"/>
    <hyperlink ref="E217" r:id="rId45" xr:uid="{6D062383-838D-42C7-BFCD-E5C9DC258548}"/>
    <hyperlink ref="E30" r:id="rId46" xr:uid="{3F36D809-73FC-441C-88D2-EEB42A40734A}"/>
    <hyperlink ref="E31" r:id="rId47" xr:uid="{5D73AAA9-EBCA-4613-83CF-E75D37F58B6D}"/>
    <hyperlink ref="E33" r:id="rId48" xr:uid="{203E18C7-425E-49E1-9AA5-204AFBE41E2D}"/>
    <hyperlink ref="E29" r:id="rId49" xr:uid="{5670E9A9-D014-4D7B-962A-54CBDC766969}"/>
    <hyperlink ref="E64" r:id="rId50" xr:uid="{04E7711A-AB14-45D0-B73B-7EA804EC5564}"/>
    <hyperlink ref="E39" r:id="rId51" xr:uid="{76CA7CFE-7B9B-4C27-8561-3A158A30ED77}"/>
    <hyperlink ref="E14" r:id="rId52" xr:uid="{B0ABAFBD-FFC1-42E3-AFB4-259F4DD19FEC}"/>
    <hyperlink ref="E46" r:id="rId53" xr:uid="{F5D5A68A-4783-46B8-B717-79A0E802B6C4}"/>
    <hyperlink ref="E36" r:id="rId54" xr:uid="{DD930D2F-20A9-46C3-8AA4-5E62A88271DB}"/>
    <hyperlink ref="E38" r:id="rId55" xr:uid="{E248BEED-DD02-463E-BFAC-D02D5521E787}"/>
    <hyperlink ref="E41" r:id="rId56" xr:uid="{01444C35-CEE7-41B7-B694-AE47417B7019}"/>
    <hyperlink ref="E11" r:id="rId57" xr:uid="{57B03CDA-0325-4BAB-BDE9-EF73BAB7F2FB}"/>
    <hyperlink ref="E43" r:id="rId58" xr:uid="{BC97A7B7-8716-48D0-BA90-60A75E6A24CE}"/>
    <hyperlink ref="E40" r:id="rId59" xr:uid="{AD16E898-B1E4-4F25-8E21-E2BC1C6FE9AD}"/>
    <hyperlink ref="E60" r:id="rId60" xr:uid="{E9207892-DA1F-48D2-B2C3-EFA59FCA8A47}"/>
    <hyperlink ref="E86" r:id="rId61" xr:uid="{DE2D1DDB-B5B7-4055-B885-0CD9E7670070}"/>
    <hyperlink ref="E32" r:id="rId62" xr:uid="{9DD12163-063E-4F73-89A5-34D8E8AC0534}"/>
    <hyperlink ref="E92" r:id="rId63" xr:uid="{1D3A6A47-22C9-4CC1-94BD-20DE3BB08016}"/>
    <hyperlink ref="E50" r:id="rId64" xr:uid="{27FB3DB4-8430-405F-9558-F31A0B69ED5F}"/>
    <hyperlink ref="E42" r:id="rId65" xr:uid="{144D13FD-59BD-499B-A0B4-B06985623C68}"/>
    <hyperlink ref="E213" r:id="rId66" xr:uid="{E48CD1EB-CFA1-47B1-BD8B-09F09CDD4FA4}"/>
    <hyperlink ref="E116" r:id="rId67" xr:uid="{6E9AFF81-F520-4A86-9FC2-D5CFE68E7EB7}"/>
    <hyperlink ref="E72" r:id="rId68" xr:uid="{ED527D70-0B51-4151-8378-8C40B68FF19D}"/>
    <hyperlink ref="E44" r:id="rId69" xr:uid="{A902B26E-CA39-4DC5-9F23-4459D8D315E8}"/>
    <hyperlink ref="E51" r:id="rId70" xr:uid="{5F0313F8-3376-4F67-9822-E1412CAA5959}"/>
    <hyperlink ref="E106" r:id="rId71" xr:uid="{AE3A3FD9-E651-4A72-81DB-B29CC61B516B}"/>
    <hyperlink ref="E65" r:id="rId72" xr:uid="{6FA4EBE7-4729-4097-A12F-CAD4CB58FFA6}"/>
    <hyperlink ref="E114" r:id="rId73" xr:uid="{C6F461C3-F385-4BE1-8914-0B22F9A9FF52}"/>
    <hyperlink ref="E48" r:id="rId74" xr:uid="{98D02B7D-F218-457E-B156-7FE773CF515A}"/>
    <hyperlink ref="E47" r:id="rId75" xr:uid="{02CB6FD9-C55D-44A1-9F2E-6A96A222EE6B}"/>
    <hyperlink ref="E78" r:id="rId76" xr:uid="{C691BA46-1169-4CAF-84E5-2A83E1B5404A}"/>
    <hyperlink ref="E49" r:id="rId77" xr:uid="{425EA3DE-2A59-4B96-B380-B688A4EDE233}"/>
    <hyperlink ref="E59" r:id="rId78" xr:uid="{1F24E207-02BC-4A1F-B083-69F8E95AC067}"/>
    <hyperlink ref="E63" r:id="rId79" xr:uid="{CE56D1ED-1CAA-4667-A3D9-82426599D26C}"/>
    <hyperlink ref="E28" r:id="rId80" xr:uid="{A79848CD-7CC3-4C10-B9EC-DDD33362E673}"/>
    <hyperlink ref="E103" r:id="rId81" xr:uid="{ED810682-5208-4265-9E0E-6746A399EA34}"/>
    <hyperlink ref="E161" r:id="rId82" xr:uid="{44DEB74A-F098-4876-A279-D1E6237DF8DB}"/>
    <hyperlink ref="E69" r:id="rId83" xr:uid="{ADF59BEC-B8D8-4144-ADEB-041425B69409}"/>
    <hyperlink ref="E324" r:id="rId84" xr:uid="{69AB4316-2FED-44FC-B108-3CD00D6F57B9}"/>
    <hyperlink ref="E319" r:id="rId85" xr:uid="{172C358D-5501-4447-9FDE-DA046F6FED55}"/>
    <hyperlink ref="E113" r:id="rId86" xr:uid="{D181F941-FF02-423B-9F90-890B434046DD}"/>
    <hyperlink ref="E159" r:id="rId87" xr:uid="{1924D31B-B6B9-4CB2-936E-0F68E40FA2F5}"/>
    <hyperlink ref="E160" r:id="rId88" xr:uid="{8E97DA51-E6CD-4B11-B6F8-BD0A3CC93541}"/>
    <hyperlink ref="E95" r:id="rId89" xr:uid="{BACD6400-1341-654E-A5B2-576C65F8052B}"/>
    <hyperlink ref="E358" r:id="rId90" xr:uid="{C4CF7488-CAF7-4516-AB24-0FC50F0916A3}"/>
    <hyperlink ref="E98" r:id="rId91" xr:uid="{2B6C4E35-2657-4D1A-8D80-C54F892964F4}"/>
    <hyperlink ref="E13" r:id="rId92" xr:uid="{D4CC8F9A-CC3B-EE41-860B-629E01D90BFD}"/>
    <hyperlink ref="E432" r:id="rId93" xr:uid="{C4EB2FD5-19C2-4B46-A645-6A4B58B3BF48}"/>
    <hyperlink ref="E18" r:id="rId94" xr:uid="{29212F29-BB24-1048-9B2F-FC0168C49234}"/>
    <hyperlink ref="E220" r:id="rId95" xr:uid="{E2D5EE7E-5721-5749-A98C-474C4C00D036}"/>
    <hyperlink ref="E23" r:id="rId96" xr:uid="{AA34EED3-260C-48F6-B18F-9CB2123B2DB8}"/>
    <hyperlink ref="E34" r:id="rId97" xr:uid="{3556B95F-6CC1-4165-90C0-F95B358B441D}"/>
    <hyperlink ref="E426" r:id="rId98" xr:uid="{E9466C79-B428-4906-B5D4-8A65E345C46A}"/>
    <hyperlink ref="E70" r:id="rId99" xr:uid="{0F64F384-8187-4F0A-B6D5-472BB2A5904F}"/>
    <hyperlink ref="E105" r:id="rId100" xr:uid="{5475D411-362D-4662-900D-6279A7227B29}"/>
    <hyperlink ref="E56" r:id="rId101" xr:uid="{6DB2BB02-C4A0-49AF-BAFF-B0F94FD8A18F}"/>
    <hyperlink ref="E55" r:id="rId102" xr:uid="{207C989E-621C-4033-9CCE-48EE8FC87164}"/>
    <hyperlink ref="E35" r:id="rId103" xr:uid="{EAE06527-C521-4E27-80DB-BF20330157C9}"/>
    <hyperlink ref="E66" r:id="rId104" xr:uid="{5E221389-B42A-4ECC-B5CE-DEA05F90F52F}"/>
    <hyperlink ref="E107" r:id="rId105" xr:uid="{50F9FE65-F347-4AD5-8CB3-AEF68BBB9AA8}"/>
    <hyperlink ref="E117" r:id="rId106" xr:uid="{75D04E08-C11D-42F6-A0B8-9E185A6BA249}"/>
    <hyperlink ref="E118" r:id="rId107" xr:uid="{DD06A32A-D1AE-4DFA-957F-7E5F6848399D}"/>
    <hyperlink ref="E53" r:id="rId108" xr:uid="{A9CCEE93-948C-4958-9273-229E876026E5}"/>
    <hyperlink ref="E61" r:id="rId109" xr:uid="{8A039020-76D6-4648-8559-2E66BD4069E8}"/>
    <hyperlink ref="E76" r:id="rId110" xr:uid="{57A317C3-FCD5-4B9D-9890-302872D6263D}"/>
    <hyperlink ref="E109" r:id="rId111" xr:uid="{7DEB18EF-0653-42AE-848B-1CD34B6185B1}"/>
    <hyperlink ref="E321" r:id="rId112" xr:uid="{500E1EB4-5BFA-41DA-B498-9CADDCBC3BD8}"/>
    <hyperlink ref="E224" r:id="rId113" xr:uid="{DA843767-B487-45EC-B6B6-4CAF3C575C50}"/>
    <hyperlink ref="E80" r:id="rId114" xr:uid="{5DA9C2AA-A278-4FF3-A2FD-E53617E5E8B8}"/>
    <hyperlink ref="E255" r:id="rId115" xr:uid="{91A036B5-0E03-4930-B738-BF1C076ACF18}"/>
    <hyperlink ref="E104" r:id="rId116" xr:uid="{8068ED1A-3B17-4C79-9022-B1BEE306CC58}"/>
    <hyperlink ref="E102" r:id="rId117" xr:uid="{DEB94AB7-6F89-44AE-9C77-B3E2D1E51B70}"/>
    <hyperlink ref="E322" r:id="rId118" xr:uid="{C5AE6E9D-13C3-40F4-80F9-EB86590BF332}"/>
    <hyperlink ref="E214" r:id="rId119" xr:uid="{47C928EF-242B-4B5F-9296-FA878004232C}"/>
    <hyperlink ref="E365" r:id="rId120" xr:uid="{B0C9190D-D136-462D-B004-BE374B10A4F0}"/>
    <hyperlink ref="E85" r:id="rId121" xr:uid="{1C0EAF20-C59C-4E14-90E0-E67EED291627}"/>
    <hyperlink ref="E320" r:id="rId122" xr:uid="{820E74E5-32AF-43AF-A75C-37305E58D952}"/>
    <hyperlink ref="E212" r:id="rId123" xr:uid="{C2EF7A04-6E03-432E-AE39-F9FC0944E6B7}"/>
    <hyperlink ref="E90" r:id="rId124" xr:uid="{4A53B476-D8D4-4433-B5B3-B626DD5ECAA5}"/>
    <hyperlink ref="E323" r:id="rId125" xr:uid="{0E69FC1D-F608-42EA-B683-C53C409C70F7}"/>
    <hyperlink ref="E162" r:id="rId126" xr:uid="{058DC54B-6F58-47B5-B00D-CB85499F0661}"/>
    <hyperlink ref="E163" r:id="rId127" xr:uid="{E3F91124-A68C-481A-9F88-5F0B403E12FC}"/>
    <hyperlink ref="E228" r:id="rId128" xr:uid="{879666A1-6AD0-495B-B29D-1523E9F3BF37}"/>
    <hyperlink ref="E54" r:id="rId129" xr:uid="{3E4416C1-24BA-4833-B8A9-810255675E01}"/>
    <hyperlink ref="E122" r:id="rId130" xr:uid="{CEEF1ECE-36B3-482E-AA72-8B9DAE4D2730}"/>
    <hyperlink ref="E119" r:id="rId131" xr:uid="{80739158-DB58-4D0E-8015-4407904D5E4C}"/>
    <hyperlink ref="E62" r:id="rId132" xr:uid="{FAC64BC1-A38C-4704-8DED-7AC1F6D784BD}"/>
    <hyperlink ref="E325" r:id="rId133" xr:uid="{B8FF6BDF-ECF2-42BA-996C-B33320BF3BB8}"/>
    <hyperlink ref="E121" r:id="rId134" xr:uid="{3C9F7D37-C376-486A-BD65-0A06F1A1BA4E}"/>
    <hyperlink ref="E75" r:id="rId135" xr:uid="{A739B306-7AF4-4BC1-B603-405E1AD42DA9}"/>
    <hyperlink ref="E68" r:id="rId136" xr:uid="{D16D1630-A1AE-4CF8-B35B-01F574ECC4EC}"/>
    <hyperlink ref="E82" r:id="rId137" xr:uid="{A96FF32D-8546-4297-AE3C-E279BBEB2988}"/>
    <hyperlink ref="E74" r:id="rId138" xr:uid="{B2C89E35-9AED-4A34-8767-FB6CD96F1DF7}"/>
    <hyperlink ref="E112" r:id="rId139" xr:uid="{7A0C9405-40F2-4CD9-999B-9032EC028C8E}"/>
    <hyperlink ref="E318" r:id="rId140" xr:uid="{F79A5FA4-445D-4428-8347-8E6CA8EBA325}"/>
    <hyperlink ref="E433" r:id="rId141" xr:uid="{C5162717-DEF1-45A6-BAF5-F5909C72945C}"/>
    <hyperlink ref="E215" r:id="rId142" xr:uid="{DCA25E80-5EA2-4E2F-B5AD-7E00734C912A}"/>
    <hyperlink ref="E317" r:id="rId143" xr:uid="{6E543356-A92B-4C40-A4D8-0039FD9CF30E}"/>
    <hyperlink ref="E219" r:id="rId144" xr:uid="{18B5F0EF-CE16-458F-B2EC-C055E9592268}"/>
    <hyperlink ref="E218" r:id="rId145" xr:uid="{8452EEB1-E3C6-4709-93A8-E45683AE4BD4}"/>
    <hyperlink ref="E77" r:id="rId146" xr:uid="{8515586A-C9D5-4B3A-AB81-567CAF8711D8}"/>
    <hyperlink ref="E96" r:id="rId147" xr:uid="{05112419-511E-40D9-B365-E7FC8328F3E3}"/>
    <hyperlink ref="E399" r:id="rId148" xr:uid="{42ED5909-2E52-452C-9738-284A43C46BA0}"/>
    <hyperlink ref="E111" r:id="rId149" xr:uid="{7B9292BF-8007-4C13-92AA-E4F48B407B78}"/>
    <hyperlink ref="E97" r:id="rId150" xr:uid="{4455E1D2-0A06-49CD-B578-A39396AB2276}"/>
    <hyperlink ref="E100" r:id="rId151" xr:uid="{9DBA9CB6-4FFE-4633-8913-39BE132E7E63}"/>
    <hyperlink ref="E15" r:id="rId152" xr:uid="{60368EA6-8CB5-4BF4-AD11-2511F2B2CC10}"/>
    <hyperlink ref="E248" r:id="rId153" xr:uid="{909F79D0-EDBD-44C4-8C45-548124C5C81A}"/>
    <hyperlink ref="E173" r:id="rId154" xr:uid="{0A7AB162-5181-4ECD-BE39-067356A9A255}"/>
    <hyperlink ref="E101" r:id="rId155" xr:uid="{A780315D-7EE1-43B1-808B-CA1A9B40DACC}"/>
    <hyperlink ref="E108" r:id="rId156" xr:uid="{6EE007AF-F0B0-4EED-9CDD-3FC2319822A5}"/>
    <hyperlink ref="E254" r:id="rId157" xr:uid="{ED761473-51F4-41BF-8401-76685055518C}"/>
    <hyperlink ref="E79" r:id="rId158" xr:uid="{7F559409-F96D-4010-8F92-37C722C2B828}"/>
    <hyperlink ref="E93" r:id="rId159" xr:uid="{C48A4FCA-0630-EF43-9EEC-B6CAB37EFE4F}"/>
    <hyperlink ref="E89" r:id="rId160" xr:uid="{96899701-8AB6-4B30-9017-19357666F340}"/>
    <hyperlink ref="E81" r:id="rId161" xr:uid="{CFB41F62-0690-4C3D-B6CD-811E3E94C4EE}"/>
    <hyperlink ref="E128" r:id="rId162" xr:uid="{82A44C16-0029-4130-9750-D08BCC5182B4}"/>
    <hyperlink ref="E57" r:id="rId163" xr:uid="{C35461B3-E679-4CC0-9362-2A53FE04533B}"/>
    <hyperlink ref="E84" r:id="rId164" xr:uid="{31B2FC14-DD5D-4E0C-A012-B1FDA85DBE36}"/>
    <hyperlink ref="E67" r:id="rId165" xr:uid="{96AAF9F5-B005-400B-B62E-90DC1A7E8852}"/>
    <hyperlink ref="E142" r:id="rId166" xr:uid="{5BE55498-D8ED-41C4-A33E-57BE28B07449}"/>
    <hyperlink ref="E437" r:id="rId167" xr:uid="{2B1AAFD9-D8D6-4616-841E-10108CC8192B}"/>
    <hyperlink ref="E445" r:id="rId168" xr:uid="{D4B5A9D9-65BB-430A-A731-1152EA8D5DED}"/>
    <hyperlink ref="E88" r:id="rId169" xr:uid="{67670CCE-8D41-4404-8F2B-F79243E31585}"/>
    <hyperlink ref="E120" r:id="rId170" xr:uid="{C904B992-93FD-497A-93CC-2FE800E3CDD4}"/>
    <hyperlink ref="E425" r:id="rId171" xr:uid="{B24388CE-B704-4189-8171-2A7C078385AA}"/>
    <hyperlink ref="E434" r:id="rId172" xr:uid="{107ACC16-1AF2-463F-97B2-B3329D313681}"/>
    <hyperlink ref="E431" r:id="rId173" xr:uid="{C40615BB-48F8-4AB1-92A6-E4710DC43430}"/>
    <hyperlink ref="E356" r:id="rId174" xr:uid="{0695F03B-1E3F-0E41-B1ED-4F68787EFC35}"/>
    <hyperlink ref="E427" r:id="rId175" xr:uid="{0152517F-3480-4755-804B-768910043082}"/>
    <hyperlink ref="E110" r:id="rId176" xr:uid="{F0EE4F6E-0A2F-4906-8143-739E8257E38C}"/>
    <hyperlink ref="E429" r:id="rId177" xr:uid="{0F9B63DB-3B35-4E51-BD36-EC943559BF1E}"/>
    <hyperlink ref="E435" r:id="rId178" xr:uid="{7592EF22-0CF5-48F3-8744-24868E314045}"/>
    <hyperlink ref="E438" r:id="rId179" xr:uid="{66F30E61-4E4B-47C8-8D49-028CC77AA4C6}"/>
    <hyperlink ref="E439" r:id="rId180" xr:uid="{778D749F-0610-418A-A963-ADCD5A226677}"/>
    <hyperlink ref="E451" r:id="rId181" xr:uid="{8E820BFC-E26B-4A27-A962-89FF7A10589B}"/>
    <hyperlink ref="E428" r:id="rId182" xr:uid="{3DD5CDF4-E650-429E-97DF-ABC116C3584D}"/>
    <hyperlink ref="E347" r:id="rId183" xr:uid="{1292FD9E-BA4F-4B20-AD44-4B752114EEEF}"/>
    <hyperlink ref="E430" r:id="rId184" xr:uid="{35FB9AE4-5A31-48BA-9D76-BF10058F42EC}"/>
    <hyperlink ref="E368" r:id="rId185" xr:uid="{4C62C768-C471-4E03-BD75-AF60DDF17283}"/>
    <hyperlink ref="E83" r:id="rId186" xr:uid="{FCC7525B-426F-4D18-B356-CF6486A50A0F}"/>
    <hyperlink ref="E369" r:id="rId187" xr:uid="{3714C986-B632-4E2F-8857-1DCA6DFD79FD}"/>
    <hyperlink ref="E243" r:id="rId188" xr:uid="{CE44BEA4-012D-4699-8F08-C58713DDB2BE}"/>
    <hyperlink ref="E210" r:id="rId189" xr:uid="{0E4C0ACB-35E3-43D4-B0E1-F865F7ED59B8}"/>
    <hyperlink ref="E366" r:id="rId190" xr:uid="{5127CACD-341C-4DCA-B244-83466075BEBF}"/>
    <hyperlink ref="E240" r:id="rId191" xr:uid="{3573C1AD-06BF-427D-B677-BD1F3CB3985C}"/>
  </hyperlinks>
  <pageMargins left="0.7" right="0.7" top="0.75" bottom="0.75" header="0.3" footer="0.3"/>
  <pageSetup paperSize="9" orientation="portrait" r:id="rId1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1CB6-5651-471F-AAA8-5F905302D25A}">
  <dimension ref="A1:J58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57" sqref="D57"/>
    </sheetView>
  </sheetViews>
  <sheetFormatPr defaultColWidth="8.81640625" defaultRowHeight="12.5" x14ac:dyDescent="0.25"/>
  <cols>
    <col min="1" max="1" width="5" bestFit="1" customWidth="1"/>
    <col min="2" max="2" width="10.81640625" bestFit="1" customWidth="1"/>
    <col min="3" max="3" width="19.7265625" customWidth="1"/>
    <col min="4" max="4" width="9.1796875" style="28"/>
    <col min="5" max="5" width="20.81640625" style="28" customWidth="1"/>
    <col min="6" max="6" width="26.81640625" style="28" customWidth="1"/>
    <col min="7" max="7" width="9.1796875" style="30"/>
    <col min="9" max="9" width="13.453125" style="28" bestFit="1" customWidth="1"/>
  </cols>
  <sheetData>
    <row r="1" spans="1:10" x14ac:dyDescent="0.25">
      <c r="A1" s="5" t="s">
        <v>286</v>
      </c>
    </row>
    <row r="2" spans="1:10" x14ac:dyDescent="0.25">
      <c r="B2" t="s">
        <v>1445</v>
      </c>
      <c r="C2" t="s">
        <v>1446</v>
      </c>
      <c r="D2" s="28" t="s">
        <v>1444</v>
      </c>
      <c r="E2" s="28" t="s">
        <v>1452</v>
      </c>
      <c r="F2" s="28" t="s">
        <v>1448</v>
      </c>
      <c r="G2" s="30" t="s">
        <v>1456</v>
      </c>
      <c r="H2" s="28" t="s">
        <v>1462</v>
      </c>
      <c r="I2" s="28" t="s">
        <v>1464</v>
      </c>
      <c r="J2" s="28" t="s">
        <v>1467</v>
      </c>
    </row>
    <row r="3" spans="1:10" x14ac:dyDescent="0.25">
      <c r="B3" t="s">
        <v>1463</v>
      </c>
      <c r="C3" t="s">
        <v>1449</v>
      </c>
      <c r="D3" s="28">
        <v>1</v>
      </c>
      <c r="E3" s="28" t="s">
        <v>1453</v>
      </c>
      <c r="F3" s="28" t="s">
        <v>1468</v>
      </c>
      <c r="G3" s="30">
        <v>6979</v>
      </c>
      <c r="I3" s="28" t="s">
        <v>1465</v>
      </c>
      <c r="J3">
        <v>65</v>
      </c>
    </row>
    <row r="4" spans="1:10" x14ac:dyDescent="0.25">
      <c r="B4" t="s">
        <v>1450</v>
      </c>
      <c r="C4" t="s">
        <v>1451</v>
      </c>
      <c r="D4" s="28">
        <v>2</v>
      </c>
      <c r="E4" s="28" t="s">
        <v>1454</v>
      </c>
      <c r="F4" s="28" t="s">
        <v>1455</v>
      </c>
      <c r="G4" s="30">
        <v>145781.6</v>
      </c>
      <c r="I4" s="28" t="s">
        <v>1455</v>
      </c>
    </row>
    <row r="5" spans="1:10" x14ac:dyDescent="0.25">
      <c r="B5" t="s">
        <v>1457</v>
      </c>
      <c r="C5" t="s">
        <v>1458</v>
      </c>
      <c r="D5" s="28">
        <v>3</v>
      </c>
      <c r="E5" s="28" t="s">
        <v>1459</v>
      </c>
      <c r="F5" s="28" t="s">
        <v>1460</v>
      </c>
      <c r="G5" s="30">
        <v>29253.9</v>
      </c>
      <c r="I5" s="28" t="s">
        <v>1465</v>
      </c>
      <c r="J5">
        <v>260</v>
      </c>
    </row>
    <row r="6" spans="1:10" x14ac:dyDescent="0.25">
      <c r="B6" t="s">
        <v>1471</v>
      </c>
      <c r="C6" t="s">
        <v>1469</v>
      </c>
      <c r="D6" s="28">
        <v>4</v>
      </c>
      <c r="E6" s="28" t="s">
        <v>1472</v>
      </c>
      <c r="F6" s="28" t="s">
        <v>1473</v>
      </c>
      <c r="G6" s="30">
        <v>58000</v>
      </c>
      <c r="I6" s="28" t="s">
        <v>1470</v>
      </c>
      <c r="J6">
        <f>387+133</f>
        <v>520</v>
      </c>
    </row>
    <row r="7" spans="1:10" x14ac:dyDescent="0.25">
      <c r="B7" t="s">
        <v>1475</v>
      </c>
      <c r="C7" t="s">
        <v>1474</v>
      </c>
      <c r="D7" s="28">
        <v>5</v>
      </c>
      <c r="E7" s="28" t="s">
        <v>1476</v>
      </c>
      <c r="F7" s="28" t="s">
        <v>1477</v>
      </c>
      <c r="G7" s="30">
        <v>51235</v>
      </c>
      <c r="I7" s="28" t="s">
        <v>1465</v>
      </c>
      <c r="J7">
        <v>934</v>
      </c>
    </row>
    <row r="8" spans="1:10" x14ac:dyDescent="0.25">
      <c r="B8" t="s">
        <v>1479</v>
      </c>
      <c r="C8" t="s">
        <v>1478</v>
      </c>
      <c r="D8" s="28">
        <v>6</v>
      </c>
      <c r="E8" s="28" t="s">
        <v>1453</v>
      </c>
      <c r="F8" s="28" t="s">
        <v>1468</v>
      </c>
      <c r="G8" s="30">
        <v>2180</v>
      </c>
      <c r="I8" s="28" t="s">
        <v>1466</v>
      </c>
      <c r="J8">
        <v>20</v>
      </c>
    </row>
    <row r="9" spans="1:10" x14ac:dyDescent="0.25">
      <c r="B9" t="s">
        <v>1480</v>
      </c>
      <c r="C9" t="s">
        <v>1481</v>
      </c>
      <c r="D9" s="28">
        <v>7</v>
      </c>
      <c r="E9" s="28" t="s">
        <v>1483</v>
      </c>
      <c r="F9" s="28" t="s">
        <v>1482</v>
      </c>
      <c r="G9" s="30">
        <v>1209</v>
      </c>
      <c r="I9" s="28" t="s">
        <v>1466</v>
      </c>
      <c r="J9">
        <v>9</v>
      </c>
    </row>
    <row r="10" spans="1:10" x14ac:dyDescent="0.25">
      <c r="B10" t="s">
        <v>1486</v>
      </c>
      <c r="C10" t="s">
        <v>1484</v>
      </c>
      <c r="D10" s="28">
        <v>8</v>
      </c>
      <c r="E10" s="28" t="s">
        <v>1485</v>
      </c>
      <c r="F10" s="28" t="s">
        <v>1500</v>
      </c>
      <c r="G10" s="30">
        <v>60000</v>
      </c>
      <c r="I10" s="28" t="s">
        <v>1465</v>
      </c>
      <c r="J10">
        <v>165</v>
      </c>
    </row>
    <row r="11" spans="1:10" x14ac:dyDescent="0.25">
      <c r="B11" t="s">
        <v>1489</v>
      </c>
      <c r="C11" t="s">
        <v>1487</v>
      </c>
      <c r="D11" s="28">
        <v>9</v>
      </c>
      <c r="E11" s="28" t="s">
        <v>1488</v>
      </c>
      <c r="F11" s="28" t="s">
        <v>1460</v>
      </c>
      <c r="G11" s="30">
        <v>59000</v>
      </c>
      <c r="I11" s="28" t="s">
        <v>1465</v>
      </c>
      <c r="J11">
        <v>527</v>
      </c>
    </row>
    <row r="12" spans="1:10" x14ac:dyDescent="0.25">
      <c r="B12" t="s">
        <v>1493</v>
      </c>
      <c r="C12" t="s">
        <v>1490</v>
      </c>
      <c r="D12" s="28">
        <v>10</v>
      </c>
      <c r="E12" s="28" t="s">
        <v>1491</v>
      </c>
      <c r="F12" s="28" t="s">
        <v>1492</v>
      </c>
      <c r="G12" s="30">
        <v>3358</v>
      </c>
      <c r="I12" s="28" t="s">
        <v>1466</v>
      </c>
      <c r="J12">
        <v>29</v>
      </c>
    </row>
    <row r="13" spans="1:10" x14ac:dyDescent="0.25">
      <c r="B13" t="s">
        <v>1495</v>
      </c>
      <c r="C13" t="s">
        <v>1494</v>
      </c>
      <c r="D13" s="28">
        <v>11</v>
      </c>
      <c r="E13" s="28" t="s">
        <v>1485</v>
      </c>
      <c r="F13" s="28" t="s">
        <v>1500</v>
      </c>
      <c r="G13" s="30">
        <v>19241</v>
      </c>
      <c r="I13" s="28" t="s">
        <v>1519</v>
      </c>
      <c r="J13">
        <v>166</v>
      </c>
    </row>
    <row r="14" spans="1:10" x14ac:dyDescent="0.25">
      <c r="B14" t="s">
        <v>1496</v>
      </c>
      <c r="C14" t="s">
        <v>1497</v>
      </c>
      <c r="D14" s="28">
        <v>12</v>
      </c>
      <c r="E14" s="28" t="s">
        <v>1498</v>
      </c>
      <c r="F14" s="28" t="s">
        <v>1499</v>
      </c>
      <c r="G14" s="30">
        <v>18396</v>
      </c>
      <c r="I14" s="28" t="s">
        <v>1465</v>
      </c>
    </row>
    <row r="15" spans="1:10" x14ac:dyDescent="0.25">
      <c r="B15" t="s">
        <v>1504</v>
      </c>
      <c r="C15" t="s">
        <v>1501</v>
      </c>
      <c r="D15" s="28">
        <v>13</v>
      </c>
      <c r="E15" s="28" t="s">
        <v>1503</v>
      </c>
      <c r="F15" s="28" t="s">
        <v>1502</v>
      </c>
      <c r="G15" s="30">
        <v>31126.5</v>
      </c>
      <c r="I15" s="28" t="s">
        <v>1465</v>
      </c>
    </row>
    <row r="16" spans="1:10" x14ac:dyDescent="0.25">
      <c r="B16" t="s">
        <v>1506</v>
      </c>
      <c r="C16" t="s">
        <v>1507</v>
      </c>
      <c r="D16" s="28">
        <v>14</v>
      </c>
      <c r="E16" s="28" t="s">
        <v>1483</v>
      </c>
      <c r="F16" s="28" t="s">
        <v>1508</v>
      </c>
      <c r="G16" s="30">
        <v>1269</v>
      </c>
      <c r="I16" s="28" t="s">
        <v>1509</v>
      </c>
      <c r="J16" s="28" t="s">
        <v>1510</v>
      </c>
    </row>
    <row r="17" spans="2:10" x14ac:dyDescent="0.25">
      <c r="C17" t="s">
        <v>1511</v>
      </c>
      <c r="D17" s="28">
        <v>15</v>
      </c>
      <c r="E17" s="28" t="s">
        <v>1503</v>
      </c>
      <c r="F17" s="28" t="s">
        <v>1512</v>
      </c>
      <c r="G17" s="30">
        <v>39589.599999999999</v>
      </c>
      <c r="I17" s="28" t="s">
        <v>1465</v>
      </c>
      <c r="J17" s="28">
        <v>355</v>
      </c>
    </row>
    <row r="18" spans="2:10" x14ac:dyDescent="0.25">
      <c r="B18" t="s">
        <v>1514</v>
      </c>
      <c r="C18" t="s">
        <v>1513</v>
      </c>
      <c r="D18" s="28">
        <v>16</v>
      </c>
      <c r="E18" s="28" t="s">
        <v>1498</v>
      </c>
      <c r="F18" s="28" t="s">
        <v>1499</v>
      </c>
      <c r="G18" s="30">
        <v>18396</v>
      </c>
      <c r="I18" s="28" t="s">
        <v>1465</v>
      </c>
      <c r="J18" s="28">
        <v>165</v>
      </c>
    </row>
    <row r="19" spans="2:10" x14ac:dyDescent="0.25">
      <c r="C19" t="s">
        <v>1515</v>
      </c>
      <c r="D19" s="28">
        <v>17</v>
      </c>
      <c r="E19" s="28" t="s">
        <v>1517</v>
      </c>
      <c r="F19" s="28" t="s">
        <v>1516</v>
      </c>
      <c r="G19" s="30">
        <v>3431.8530000000001</v>
      </c>
      <c r="I19" s="28" t="s">
        <v>1466</v>
      </c>
      <c r="J19" s="28">
        <v>32</v>
      </c>
    </row>
    <row r="20" spans="2:10" x14ac:dyDescent="0.25">
      <c r="C20" t="s">
        <v>1518</v>
      </c>
      <c r="D20" s="28">
        <v>18</v>
      </c>
      <c r="E20" s="28" t="s">
        <v>1485</v>
      </c>
      <c r="F20" s="28" t="s">
        <v>1500</v>
      </c>
      <c r="I20" s="28" t="s">
        <v>1519</v>
      </c>
      <c r="J20" s="28">
        <v>166</v>
      </c>
    </row>
    <row r="21" spans="2:10" x14ac:dyDescent="0.25">
      <c r="B21" t="s">
        <v>1521</v>
      </c>
      <c r="C21" t="s">
        <v>1520</v>
      </c>
      <c r="D21" s="28">
        <v>19</v>
      </c>
      <c r="E21" s="28" t="s">
        <v>1523</v>
      </c>
      <c r="F21" s="28" t="s">
        <v>1522</v>
      </c>
      <c r="G21" s="30">
        <v>39000</v>
      </c>
      <c r="I21" s="28" t="s">
        <v>1465</v>
      </c>
      <c r="J21" s="28"/>
    </row>
    <row r="22" spans="2:10" x14ac:dyDescent="0.25">
      <c r="B22" t="s">
        <v>1525</v>
      </c>
      <c r="C22" s="56" t="s">
        <v>1524</v>
      </c>
      <c r="D22" s="28">
        <v>20</v>
      </c>
      <c r="E22" s="28" t="s">
        <v>1527</v>
      </c>
      <c r="F22" s="28" t="s">
        <v>1526</v>
      </c>
      <c r="G22" s="30">
        <v>14434.5</v>
      </c>
      <c r="I22" s="28" t="s">
        <v>1465</v>
      </c>
      <c r="J22" s="28">
        <v>127</v>
      </c>
    </row>
    <row r="23" spans="2:10" x14ac:dyDescent="0.25">
      <c r="C23" s="56" t="s">
        <v>1528</v>
      </c>
      <c r="D23" s="28">
        <v>21</v>
      </c>
      <c r="E23" s="28" t="s">
        <v>1529</v>
      </c>
      <c r="F23" s="28" t="s">
        <v>1530</v>
      </c>
      <c r="G23" s="30">
        <v>3039</v>
      </c>
      <c r="I23" s="28" t="s">
        <v>1466</v>
      </c>
      <c r="J23" s="28">
        <v>27</v>
      </c>
    </row>
    <row r="24" spans="2:10" x14ac:dyDescent="0.25">
      <c r="C24" s="56" t="s">
        <v>1531</v>
      </c>
      <c r="D24" s="28">
        <v>22</v>
      </c>
      <c r="E24" s="28" t="s">
        <v>1485</v>
      </c>
      <c r="F24" s="28" t="s">
        <v>1500</v>
      </c>
      <c r="G24" s="30">
        <v>31000</v>
      </c>
      <c r="I24" s="28" t="s">
        <v>1465</v>
      </c>
      <c r="J24" s="28"/>
    </row>
    <row r="25" spans="2:10" x14ac:dyDescent="0.25">
      <c r="B25" t="s">
        <v>1533</v>
      </c>
      <c r="C25" s="56" t="s">
        <v>1532</v>
      </c>
      <c r="D25" s="28">
        <v>23</v>
      </c>
      <c r="E25" s="28" t="s">
        <v>1534</v>
      </c>
      <c r="F25" s="28" t="s">
        <v>1460</v>
      </c>
      <c r="J25" s="28"/>
    </row>
    <row r="26" spans="2:10" x14ac:dyDescent="0.25">
      <c r="B26" t="s">
        <v>1535</v>
      </c>
      <c r="C26" s="56" t="s">
        <v>1536</v>
      </c>
      <c r="D26" s="28">
        <v>24</v>
      </c>
      <c r="E26" s="28" t="s">
        <v>1537</v>
      </c>
      <c r="F26" s="28" t="s">
        <v>1538</v>
      </c>
      <c r="G26" s="30">
        <v>22673</v>
      </c>
      <c r="I26" s="28" t="s">
        <v>1465</v>
      </c>
      <c r="J26" s="28"/>
    </row>
    <row r="27" spans="2:10" x14ac:dyDescent="0.25">
      <c r="B27" t="s">
        <v>1539</v>
      </c>
      <c r="C27" s="56" t="s">
        <v>1540</v>
      </c>
      <c r="D27" s="28">
        <v>25</v>
      </c>
      <c r="E27" s="28" t="s">
        <v>1541</v>
      </c>
      <c r="F27" s="28" t="s">
        <v>1542</v>
      </c>
      <c r="G27" s="30">
        <v>264726</v>
      </c>
      <c r="I27" s="28" t="s">
        <v>1465</v>
      </c>
      <c r="J27" s="28">
        <v>2332</v>
      </c>
    </row>
    <row r="28" spans="2:10" x14ac:dyDescent="0.25">
      <c r="B28" t="s">
        <v>1543</v>
      </c>
      <c r="C28" s="56" t="s">
        <v>1544</v>
      </c>
      <c r="D28" s="28">
        <v>26</v>
      </c>
      <c r="E28" s="28" t="s">
        <v>1545</v>
      </c>
      <c r="F28" s="28" t="s">
        <v>1477</v>
      </c>
      <c r="G28" s="30">
        <v>17257.599999999999</v>
      </c>
      <c r="I28" s="28" t="s">
        <v>1465</v>
      </c>
      <c r="J28" s="28">
        <v>153</v>
      </c>
    </row>
    <row r="29" spans="2:10" x14ac:dyDescent="0.25">
      <c r="C29" s="56" t="s">
        <v>1546</v>
      </c>
      <c r="D29" s="28">
        <v>27</v>
      </c>
      <c r="G29" s="30">
        <v>1811.2529999999999</v>
      </c>
      <c r="I29" s="28" t="s">
        <v>1466</v>
      </c>
      <c r="J29" s="28">
        <v>15</v>
      </c>
    </row>
    <row r="30" spans="2:10" x14ac:dyDescent="0.25">
      <c r="B30" t="s">
        <v>1547</v>
      </c>
      <c r="C30" s="56" t="s">
        <v>1548</v>
      </c>
      <c r="D30" s="28">
        <v>28</v>
      </c>
      <c r="G30" s="30">
        <v>142682.29999999999</v>
      </c>
      <c r="I30" s="28" t="s">
        <v>1519</v>
      </c>
      <c r="J30" s="28"/>
    </row>
    <row r="31" spans="2:10" x14ac:dyDescent="0.25">
      <c r="C31" s="56" t="s">
        <v>1549</v>
      </c>
      <c r="D31" s="28">
        <v>29</v>
      </c>
      <c r="E31" s="28" t="s">
        <v>1503</v>
      </c>
      <c r="F31" s="28" t="s">
        <v>1460</v>
      </c>
      <c r="G31" s="30">
        <v>59042.3</v>
      </c>
      <c r="I31" s="28" t="s">
        <v>1465</v>
      </c>
      <c r="J31" s="28">
        <v>527</v>
      </c>
    </row>
    <row r="32" spans="2:10" x14ac:dyDescent="0.25">
      <c r="B32" t="s">
        <v>1551</v>
      </c>
      <c r="C32" s="56" t="s">
        <v>1550</v>
      </c>
      <c r="D32" s="28">
        <v>30</v>
      </c>
      <c r="E32" s="28" t="s">
        <v>1552</v>
      </c>
      <c r="F32" s="28" t="s">
        <v>1553</v>
      </c>
      <c r="G32" s="30">
        <v>5808</v>
      </c>
      <c r="I32" s="28" t="s">
        <v>1465</v>
      </c>
      <c r="J32" s="28">
        <v>51</v>
      </c>
    </row>
    <row r="33" spans="2:10" x14ac:dyDescent="0.25">
      <c r="B33" t="s">
        <v>1554</v>
      </c>
      <c r="C33" s="56" t="s">
        <v>1555</v>
      </c>
      <c r="D33" s="28">
        <v>31</v>
      </c>
      <c r="E33" s="28" t="s">
        <v>1503</v>
      </c>
      <c r="F33" s="28" t="s">
        <v>1512</v>
      </c>
      <c r="G33" s="30">
        <v>58951.199999999997</v>
      </c>
      <c r="I33" s="28" t="s">
        <v>1465</v>
      </c>
      <c r="J33" s="28">
        <v>527</v>
      </c>
    </row>
    <row r="34" spans="2:10" x14ac:dyDescent="0.25">
      <c r="B34" t="s">
        <v>1556</v>
      </c>
      <c r="C34" s="56" t="s">
        <v>1557</v>
      </c>
      <c r="D34" s="28">
        <v>32</v>
      </c>
      <c r="E34" s="28" t="s">
        <v>1558</v>
      </c>
      <c r="F34" s="28" t="s">
        <v>1559</v>
      </c>
      <c r="G34" s="30">
        <v>23390.3</v>
      </c>
      <c r="I34" s="28" t="s">
        <v>1519</v>
      </c>
      <c r="J34" s="28"/>
    </row>
    <row r="35" spans="2:10" x14ac:dyDescent="0.25">
      <c r="B35" t="s">
        <v>1560</v>
      </c>
      <c r="C35" s="56" t="s">
        <v>1561</v>
      </c>
      <c r="D35" s="28">
        <v>33</v>
      </c>
      <c r="E35" s="28" t="s">
        <v>1485</v>
      </c>
      <c r="F35" s="28" t="s">
        <v>1500</v>
      </c>
      <c r="G35" s="30">
        <v>17145.599999999999</v>
      </c>
      <c r="I35" s="28" t="s">
        <v>1465</v>
      </c>
      <c r="J35" s="28">
        <v>140</v>
      </c>
    </row>
    <row r="36" spans="2:10" x14ac:dyDescent="0.25">
      <c r="C36" s="56" t="s">
        <v>1562</v>
      </c>
      <c r="D36" s="28">
        <v>34</v>
      </c>
      <c r="E36" s="28" t="s">
        <v>1485</v>
      </c>
      <c r="F36" s="28" t="s">
        <v>1500</v>
      </c>
      <c r="G36" s="30">
        <v>19241.099999999999</v>
      </c>
      <c r="I36" s="28" t="s">
        <v>1465</v>
      </c>
      <c r="J36" s="28">
        <v>165</v>
      </c>
    </row>
    <row r="37" spans="2:10" x14ac:dyDescent="0.25">
      <c r="B37" t="s">
        <v>1566</v>
      </c>
      <c r="C37" s="56" t="s">
        <v>1563</v>
      </c>
      <c r="D37" s="28">
        <v>35</v>
      </c>
      <c r="E37" s="28" t="s">
        <v>1564</v>
      </c>
      <c r="F37" s="28" t="s">
        <v>1565</v>
      </c>
      <c r="G37" s="30">
        <v>1069</v>
      </c>
      <c r="I37" s="28" t="s">
        <v>1466</v>
      </c>
      <c r="J37" s="28">
        <v>8</v>
      </c>
    </row>
    <row r="38" spans="2:10" x14ac:dyDescent="0.25">
      <c r="B38" t="s">
        <v>1568</v>
      </c>
      <c r="C38" s="56" t="s">
        <v>1567</v>
      </c>
      <c r="D38" s="28">
        <v>36</v>
      </c>
      <c r="E38" s="28" t="s">
        <v>1569</v>
      </c>
      <c r="F38" s="28" t="s">
        <v>1460</v>
      </c>
      <c r="G38" s="30">
        <v>45079</v>
      </c>
      <c r="J38" s="28"/>
    </row>
    <row r="39" spans="2:10" x14ac:dyDescent="0.25">
      <c r="C39" s="56" t="s">
        <v>1562</v>
      </c>
      <c r="D39" s="28">
        <v>37</v>
      </c>
      <c r="E39" s="28" t="s">
        <v>1485</v>
      </c>
      <c r="F39" s="28" t="s">
        <v>1500</v>
      </c>
      <c r="G39" s="30">
        <v>19241.099999999999</v>
      </c>
      <c r="I39" s="28" t="s">
        <v>1465</v>
      </c>
      <c r="J39" s="28">
        <v>165</v>
      </c>
    </row>
    <row r="40" spans="2:10" x14ac:dyDescent="0.25">
      <c r="B40" t="s">
        <v>1571</v>
      </c>
      <c r="C40" s="56" t="s">
        <v>1570</v>
      </c>
      <c r="D40" s="28">
        <v>38</v>
      </c>
      <c r="E40" s="28" t="s">
        <v>1572</v>
      </c>
      <c r="F40" s="28" t="s">
        <v>1573</v>
      </c>
      <c r="G40" s="30">
        <v>19047</v>
      </c>
      <c r="I40" s="28" t="s">
        <v>1465</v>
      </c>
      <c r="J40" s="28">
        <v>177</v>
      </c>
    </row>
    <row r="41" spans="2:10" x14ac:dyDescent="0.25">
      <c r="B41" t="s">
        <v>1574</v>
      </c>
      <c r="C41" s="56" t="s">
        <v>1575</v>
      </c>
      <c r="D41" s="28">
        <v>39</v>
      </c>
      <c r="E41" s="28" t="s">
        <v>1576</v>
      </c>
      <c r="F41" s="28" t="s">
        <v>1577</v>
      </c>
      <c r="G41" s="30">
        <v>16192.7</v>
      </c>
      <c r="I41" s="28" t="s">
        <v>1465</v>
      </c>
      <c r="J41" s="28">
        <v>140</v>
      </c>
    </row>
    <row r="42" spans="2:10" x14ac:dyDescent="0.25">
      <c r="B42" t="s">
        <v>1579</v>
      </c>
      <c r="C42" s="56" t="s">
        <v>1578</v>
      </c>
      <c r="D42" s="28">
        <v>40</v>
      </c>
      <c r="E42" s="28" t="s">
        <v>1580</v>
      </c>
      <c r="F42" s="28" t="s">
        <v>1581</v>
      </c>
      <c r="G42" s="30">
        <v>3767.1</v>
      </c>
      <c r="I42" s="28" t="s">
        <v>1466</v>
      </c>
      <c r="J42" s="28">
        <v>29</v>
      </c>
    </row>
    <row r="43" spans="2:10" x14ac:dyDescent="0.25">
      <c r="B43" t="s">
        <v>1582</v>
      </c>
      <c r="C43" s="56" t="s">
        <v>1583</v>
      </c>
      <c r="D43" s="28">
        <v>41</v>
      </c>
      <c r="E43" s="28" t="s">
        <v>1584</v>
      </c>
      <c r="F43" s="28" t="s">
        <v>1585</v>
      </c>
      <c r="G43" s="30">
        <v>15314.8</v>
      </c>
      <c r="I43" s="28" t="s">
        <v>1465</v>
      </c>
      <c r="J43" s="28">
        <v>12</v>
      </c>
    </row>
    <row r="44" spans="2:10" x14ac:dyDescent="0.25">
      <c r="B44" t="s">
        <v>1586</v>
      </c>
      <c r="C44" s="56" t="s">
        <v>1587</v>
      </c>
      <c r="D44" s="28">
        <v>42</v>
      </c>
      <c r="G44" s="30">
        <v>150804</v>
      </c>
      <c r="J44" s="28"/>
    </row>
    <row r="45" spans="2:10" x14ac:dyDescent="0.25">
      <c r="B45" t="s">
        <v>1588</v>
      </c>
      <c r="C45" s="56" t="s">
        <v>1589</v>
      </c>
      <c r="D45" s="28">
        <v>43</v>
      </c>
      <c r="E45" s="28" t="s">
        <v>1590</v>
      </c>
      <c r="F45" s="28" t="s">
        <v>1455</v>
      </c>
      <c r="G45" s="30">
        <v>149000</v>
      </c>
      <c r="I45" s="28" t="s">
        <v>1455</v>
      </c>
      <c r="J45" s="28"/>
    </row>
    <row r="46" spans="2:10" x14ac:dyDescent="0.25">
      <c r="C46" s="56" t="s">
        <v>1591</v>
      </c>
      <c r="D46" s="28">
        <v>44</v>
      </c>
      <c r="E46" s="28" t="s">
        <v>1592</v>
      </c>
      <c r="F46" s="28" t="s">
        <v>1593</v>
      </c>
      <c r="G46" s="30">
        <v>30000</v>
      </c>
      <c r="I46" s="28" t="s">
        <v>1465</v>
      </c>
      <c r="J46" s="28"/>
    </row>
    <row r="47" spans="2:10" x14ac:dyDescent="0.25">
      <c r="C47" s="56" t="s">
        <v>1594</v>
      </c>
      <c r="D47" s="28">
        <v>45</v>
      </c>
      <c r="G47" s="30">
        <v>27743</v>
      </c>
      <c r="J47" s="28"/>
    </row>
    <row r="48" spans="2:10" x14ac:dyDescent="0.25">
      <c r="B48" t="s">
        <v>1420</v>
      </c>
      <c r="C48" s="56" t="s">
        <v>1595</v>
      </c>
      <c r="D48" s="28">
        <v>46</v>
      </c>
      <c r="E48" s="28" t="s">
        <v>1552</v>
      </c>
      <c r="F48" s="28" t="s">
        <v>1553</v>
      </c>
      <c r="G48" s="30">
        <v>5808</v>
      </c>
      <c r="I48" s="28" t="s">
        <v>1465</v>
      </c>
      <c r="J48" s="28">
        <v>51</v>
      </c>
    </row>
    <row r="49" spans="2:10" x14ac:dyDescent="0.25">
      <c r="B49" t="s">
        <v>1597</v>
      </c>
      <c r="C49" s="56" t="s">
        <v>1596</v>
      </c>
      <c r="D49" s="28">
        <v>47</v>
      </c>
      <c r="E49" s="28" t="s">
        <v>1552</v>
      </c>
      <c r="F49" s="28" t="s">
        <v>1553</v>
      </c>
      <c r="G49" s="30">
        <v>6063</v>
      </c>
      <c r="I49" s="28" t="s">
        <v>1465</v>
      </c>
      <c r="J49" s="28"/>
    </row>
    <row r="50" spans="2:10" x14ac:dyDescent="0.25">
      <c r="B50" t="s">
        <v>1599</v>
      </c>
      <c r="C50" s="56" t="s">
        <v>1598</v>
      </c>
      <c r="D50" s="28">
        <v>48</v>
      </c>
      <c r="F50" s="28" t="s">
        <v>1460</v>
      </c>
      <c r="J50" s="28"/>
    </row>
    <row r="51" spans="2:10" x14ac:dyDescent="0.25">
      <c r="B51" t="s">
        <v>1601</v>
      </c>
      <c r="C51" s="56" t="s">
        <v>1600</v>
      </c>
      <c r="D51" s="28">
        <v>49</v>
      </c>
      <c r="G51" s="30">
        <v>34109.5</v>
      </c>
      <c r="J51" s="28"/>
    </row>
    <row r="52" spans="2:10" x14ac:dyDescent="0.25">
      <c r="C52" s="56" t="s">
        <v>1602</v>
      </c>
      <c r="D52" s="28">
        <v>50</v>
      </c>
      <c r="E52" s="28" t="s">
        <v>1483</v>
      </c>
      <c r="F52" s="28" t="s">
        <v>1482</v>
      </c>
      <c r="G52" s="30">
        <v>1431</v>
      </c>
      <c r="I52" s="28" t="s">
        <v>1466</v>
      </c>
      <c r="J52" s="28">
        <v>10</v>
      </c>
    </row>
    <row r="53" spans="2:10" x14ac:dyDescent="0.25">
      <c r="B53" t="s">
        <v>1412</v>
      </c>
      <c r="C53" s="56" t="s">
        <v>1603</v>
      </c>
      <c r="D53" s="28">
        <v>51</v>
      </c>
      <c r="E53" s="28" t="s">
        <v>1476</v>
      </c>
      <c r="F53" s="28" t="s">
        <v>1455</v>
      </c>
      <c r="G53" s="30">
        <v>144190</v>
      </c>
      <c r="I53" s="28" t="s">
        <v>1455</v>
      </c>
      <c r="J53" s="28"/>
    </row>
    <row r="54" spans="2:10" x14ac:dyDescent="0.25">
      <c r="B54" t="s">
        <v>1607</v>
      </c>
      <c r="C54" s="56" t="s">
        <v>1606</v>
      </c>
      <c r="D54" s="28">
        <v>52</v>
      </c>
      <c r="E54" s="28" t="s">
        <v>1608</v>
      </c>
      <c r="F54" s="28" t="s">
        <v>1609</v>
      </c>
      <c r="G54" s="30">
        <v>22129</v>
      </c>
      <c r="I54" s="28" t="s">
        <v>1465</v>
      </c>
      <c r="J54" s="28"/>
    </row>
    <row r="55" spans="2:10" x14ac:dyDescent="0.25">
      <c r="B55" t="s">
        <v>1605</v>
      </c>
      <c r="C55" s="56" t="s">
        <v>1604</v>
      </c>
      <c r="D55" s="28">
        <v>53</v>
      </c>
      <c r="F55" s="28" t="s">
        <v>1460</v>
      </c>
      <c r="G55" s="30">
        <v>55597.4</v>
      </c>
      <c r="I55" s="28" t="s">
        <v>1465</v>
      </c>
      <c r="J55" s="28">
        <v>497</v>
      </c>
    </row>
    <row r="56" spans="2:10" x14ac:dyDescent="0.25">
      <c r="C56" s="56" t="s">
        <v>1610</v>
      </c>
      <c r="D56" s="28">
        <v>54</v>
      </c>
      <c r="F56" s="28" t="s">
        <v>1455</v>
      </c>
      <c r="G56" s="30">
        <v>145651</v>
      </c>
      <c r="I56" s="28" t="s">
        <v>1455</v>
      </c>
      <c r="J56" s="28"/>
    </row>
    <row r="57" spans="2:10" x14ac:dyDescent="0.25">
      <c r="B57" t="s">
        <v>1315</v>
      </c>
      <c r="C57" t="s">
        <v>1447</v>
      </c>
      <c r="D57" s="28">
        <v>9029</v>
      </c>
      <c r="E57" s="28" t="s">
        <v>1461</v>
      </c>
      <c r="F57" s="28" t="s">
        <v>1455</v>
      </c>
      <c r="I57" s="28" t="s">
        <v>1455</v>
      </c>
    </row>
    <row r="58" spans="2:10" x14ac:dyDescent="0.25">
      <c r="C58" s="56" t="s">
        <v>1528</v>
      </c>
      <c r="D58" s="28">
        <v>9532</v>
      </c>
      <c r="E58" s="28" t="s">
        <v>1529</v>
      </c>
      <c r="F58" s="28" t="s">
        <v>1530</v>
      </c>
      <c r="G58" s="30">
        <v>3039</v>
      </c>
      <c r="I58" s="28" t="s">
        <v>1466</v>
      </c>
      <c r="J58" s="28">
        <v>27</v>
      </c>
    </row>
  </sheetData>
  <hyperlinks>
    <hyperlink ref="A1" location="Main!A1" display="Main" xr:uid="{9B4C975A-472F-4AC3-A5DF-EA00FA63D9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F603-26EF-460C-BE47-994A641FADD0}">
  <dimension ref="A1:J26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8" sqref="B8"/>
    </sheetView>
  </sheetViews>
  <sheetFormatPr defaultColWidth="8.81640625" defaultRowHeight="12.5" outlineLevelRow="1" x14ac:dyDescent="0.25"/>
  <cols>
    <col min="1" max="1" width="5" bestFit="1" customWidth="1"/>
    <col min="2" max="2" width="13.1796875" bestFit="1" customWidth="1"/>
    <col min="3" max="10" width="9.1796875" style="28"/>
  </cols>
  <sheetData>
    <row r="1" spans="1:10" x14ac:dyDescent="0.25">
      <c r="A1" s="5" t="s">
        <v>286</v>
      </c>
    </row>
    <row r="2" spans="1:10" x14ac:dyDescent="0.25">
      <c r="C2" s="28" t="s">
        <v>649</v>
      </c>
      <c r="D2" s="28" t="s">
        <v>1292</v>
      </c>
      <c r="E2" s="28" t="s">
        <v>1293</v>
      </c>
      <c r="F2" s="28" t="s">
        <v>1117</v>
      </c>
      <c r="G2" s="28" t="s">
        <v>1044</v>
      </c>
      <c r="H2" s="28" t="s">
        <v>1074</v>
      </c>
      <c r="I2" s="28" t="s">
        <v>1280</v>
      </c>
      <c r="J2" s="28" t="s">
        <v>1281</v>
      </c>
    </row>
    <row r="3" spans="1:10" x14ac:dyDescent="0.25">
      <c r="B3" t="s">
        <v>14</v>
      </c>
      <c r="C3" s="30"/>
      <c r="D3" s="30"/>
      <c r="G3" s="30">
        <v>21382</v>
      </c>
      <c r="H3" s="30">
        <v>22453</v>
      </c>
    </row>
    <row r="4" spans="1:10" x14ac:dyDescent="0.25">
      <c r="B4" t="s">
        <v>27</v>
      </c>
      <c r="C4" s="30"/>
      <c r="D4" s="30"/>
      <c r="G4" s="30">
        <v>15775</v>
      </c>
      <c r="H4" s="30">
        <v>16112</v>
      </c>
    </row>
    <row r="5" spans="1:10" x14ac:dyDescent="0.25">
      <c r="B5" t="s">
        <v>17</v>
      </c>
      <c r="C5" s="30"/>
      <c r="D5" s="30"/>
      <c r="G5" s="30">
        <v>12310</v>
      </c>
      <c r="H5" s="30">
        <v>14462</v>
      </c>
    </row>
    <row r="6" spans="1:10" x14ac:dyDescent="0.25">
      <c r="B6" t="s">
        <v>1255</v>
      </c>
      <c r="C6" s="30"/>
      <c r="D6" s="30"/>
      <c r="G6" s="30">
        <v>8768</v>
      </c>
      <c r="H6" s="30">
        <v>11303</v>
      </c>
    </row>
    <row r="7" spans="1:10" x14ac:dyDescent="0.25">
      <c r="B7" t="s">
        <v>1289</v>
      </c>
      <c r="C7" s="30"/>
      <c r="D7" s="30"/>
      <c r="G7" s="30">
        <f>65349/DKK</f>
        <v>9260.1672098625477</v>
      </c>
      <c r="H7" s="30">
        <f>68060/DKK</f>
        <v>9644.324783902508</v>
      </c>
    </row>
    <row r="8" spans="1:10" s="25" customFormat="1" ht="13" x14ac:dyDescent="0.3">
      <c r="B8" s="25" t="s">
        <v>1282</v>
      </c>
      <c r="C8" s="27">
        <f t="shared" ref="C8:F8" si="0">SUM(C3:C7)</f>
        <v>0</v>
      </c>
      <c r="D8" s="27">
        <f t="shared" si="0"/>
        <v>0</v>
      </c>
      <c r="E8" s="27">
        <f t="shared" si="0"/>
        <v>0</v>
      </c>
      <c r="F8" s="27">
        <f t="shared" si="0"/>
        <v>0</v>
      </c>
      <c r="G8" s="27">
        <f>SUM(G3:G7)</f>
        <v>67495.167209862542</v>
      </c>
      <c r="H8" s="27">
        <f>SUM(H3:H7)</f>
        <v>73974.324783902513</v>
      </c>
      <c r="I8" s="26"/>
      <c r="J8" s="26"/>
    </row>
    <row r="9" spans="1:10" s="25" customFormat="1" ht="13" hidden="1" outlineLevel="1" x14ac:dyDescent="0.3">
      <c r="B9" t="s">
        <v>1284</v>
      </c>
      <c r="C9" s="30"/>
      <c r="D9" s="30"/>
      <c r="E9" s="26"/>
      <c r="F9" s="26"/>
      <c r="G9" s="30">
        <v>1534.4</v>
      </c>
      <c r="H9" s="30">
        <v>2031.1</v>
      </c>
      <c r="I9" s="26"/>
      <c r="J9" s="26"/>
    </row>
    <row r="10" spans="1:10" s="25" customFormat="1" ht="13" hidden="1" outlineLevel="1" x14ac:dyDescent="0.3">
      <c r="B10" t="s">
        <v>1285</v>
      </c>
      <c r="C10" s="30"/>
      <c r="D10" s="30"/>
      <c r="E10" s="26"/>
      <c r="F10" s="26"/>
      <c r="G10" s="30">
        <v>5404</v>
      </c>
      <c r="H10" s="30">
        <v>6869</v>
      </c>
      <c r="I10" s="26"/>
      <c r="J10" s="26"/>
    </row>
    <row r="11" spans="1:10" hidden="1" outlineLevel="1" x14ac:dyDescent="0.25">
      <c r="B11" t="s">
        <v>1283</v>
      </c>
      <c r="C11" s="30"/>
      <c r="D11" s="30"/>
      <c r="G11" s="30">
        <v>2108</v>
      </c>
      <c r="H11" s="30">
        <v>2135</v>
      </c>
    </row>
    <row r="12" spans="1:10" hidden="1" outlineLevel="1" x14ac:dyDescent="0.25">
      <c r="B12" t="s">
        <v>1291</v>
      </c>
      <c r="C12" s="30"/>
      <c r="D12" s="30"/>
      <c r="G12" s="30">
        <v>2961</v>
      </c>
      <c r="H12" s="30">
        <v>3073</v>
      </c>
    </row>
    <row r="13" spans="1:10" hidden="1" outlineLevel="1" x14ac:dyDescent="0.25">
      <c r="B13" t="s">
        <v>1290</v>
      </c>
      <c r="C13" s="30"/>
      <c r="D13" s="30"/>
      <c r="G13" s="30">
        <f>9916/DKK</f>
        <v>1405.1296584951112</v>
      </c>
      <c r="H13" s="30">
        <f>10274/DKK</f>
        <v>1455.8594303528412</v>
      </c>
    </row>
    <row r="14" spans="1:10" collapsed="1" x14ac:dyDescent="0.25">
      <c r="B14" t="s">
        <v>1286</v>
      </c>
      <c r="C14" s="30"/>
      <c r="D14" s="30"/>
      <c r="G14" s="30">
        <f>SUM(G9:G13)</f>
        <v>13412.52965849511</v>
      </c>
      <c r="H14" s="30">
        <f>SUM(H9:H13)</f>
        <v>15563.959430352841</v>
      </c>
    </row>
    <row r="15" spans="1:10" x14ac:dyDescent="0.25">
      <c r="B15" t="s">
        <v>1287</v>
      </c>
      <c r="C15" s="30"/>
      <c r="D15" s="30"/>
      <c r="G15" s="30">
        <f>+G8-G14</f>
        <v>54082.637551367428</v>
      </c>
      <c r="H15" s="30">
        <f>+H8-H14</f>
        <v>58410.365353549671</v>
      </c>
    </row>
    <row r="26" spans="2:8" x14ac:dyDescent="0.25">
      <c r="B26" t="s">
        <v>1288</v>
      </c>
      <c r="C26" s="54" t="e">
        <f>+C15/C8</f>
        <v>#DIV/0!</v>
      </c>
      <c r="D26" s="54" t="e">
        <f>+D15/D8</f>
        <v>#DIV/0!</v>
      </c>
      <c r="G26" s="54">
        <f>+G15/G8</f>
        <v>0.80128162929367119</v>
      </c>
      <c r="H26" s="54">
        <f>+H15/H8</f>
        <v>0.7896032241481209</v>
      </c>
    </row>
  </sheetData>
  <hyperlinks>
    <hyperlink ref="A1" location="Main!A1" display="Main" xr:uid="{C14A8F61-F322-4018-B099-3F41413BB9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ColWidth="8.81640625" defaultRowHeight="12.5" x14ac:dyDescent="0.25"/>
  <sheetData>
    <row r="2" spans="2:2" x14ac:dyDescent="0.25">
      <c r="B2" t="s">
        <v>1132</v>
      </c>
    </row>
    <row r="3" spans="2:2" x14ac:dyDescent="0.25">
      <c r="B3" t="s">
        <v>1133</v>
      </c>
    </row>
    <row r="4" spans="2:2" x14ac:dyDescent="0.25">
      <c r="B4" t="s">
        <v>1146</v>
      </c>
    </row>
    <row r="5" spans="2:2" x14ac:dyDescent="0.25">
      <c r="B5" t="s">
        <v>1158</v>
      </c>
    </row>
    <row r="6" spans="2:2" x14ac:dyDescent="0.25">
      <c r="B6" t="s">
        <v>1155</v>
      </c>
    </row>
    <row r="7" spans="2:2" x14ac:dyDescent="0.25">
      <c r="B7" t="s">
        <v>1156</v>
      </c>
    </row>
    <row r="8" spans="2:2" x14ac:dyDescent="0.25">
      <c r="B8" t="s">
        <v>1148</v>
      </c>
    </row>
    <row r="9" spans="2:2" x14ac:dyDescent="0.25">
      <c r="B9" t="s">
        <v>1160</v>
      </c>
    </row>
    <row r="10" spans="2:2" x14ac:dyDescent="0.25">
      <c r="B10" t="s">
        <v>1157</v>
      </c>
    </row>
    <row r="11" spans="2:2" x14ac:dyDescent="0.25">
      <c r="B11" t="s">
        <v>1159</v>
      </c>
    </row>
    <row r="12" spans="2:2" x14ac:dyDescent="0.25">
      <c r="B12" t="s">
        <v>1134</v>
      </c>
    </row>
    <row r="13" spans="2:2" x14ac:dyDescent="0.25">
      <c r="B13" t="s">
        <v>235</v>
      </c>
    </row>
    <row r="14" spans="2:2" x14ac:dyDescent="0.25">
      <c r="B14" t="s">
        <v>1135</v>
      </c>
    </row>
    <row r="15" spans="2:2" x14ac:dyDescent="0.25">
      <c r="B15" t="s">
        <v>1136</v>
      </c>
    </row>
    <row r="16" spans="2:2" x14ac:dyDescent="0.25">
      <c r="B16" t="s">
        <v>1137</v>
      </c>
    </row>
    <row r="17" spans="2:2" x14ac:dyDescent="0.25">
      <c r="B17" t="s">
        <v>1138</v>
      </c>
    </row>
    <row r="18" spans="2:2" x14ac:dyDescent="0.25">
      <c r="B18" t="s">
        <v>1139</v>
      </c>
    </row>
    <row r="19" spans="2:2" x14ac:dyDescent="0.25">
      <c r="B19" t="s">
        <v>1140</v>
      </c>
    </row>
    <row r="20" spans="2:2" x14ac:dyDescent="0.25">
      <c r="B20" t="s">
        <v>1141</v>
      </c>
    </row>
    <row r="21" spans="2:2" x14ac:dyDescent="0.25">
      <c r="B21" t="s">
        <v>1142</v>
      </c>
    </row>
    <row r="22" spans="2:2" x14ac:dyDescent="0.25">
      <c r="B22" t="s">
        <v>1147</v>
      </c>
    </row>
    <row r="23" spans="2:2" x14ac:dyDescent="0.25">
      <c r="B23" t="s">
        <v>1168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EJ80"/>
  <sheetViews>
    <sheetView zoomScale="205" zoomScaleNormal="205" workbookViewId="0">
      <pane xSplit="2" ySplit="2" topLeftCell="M3" activePane="bottomRight" state="frozen"/>
      <selection pane="topRight" activeCell="C1" sqref="C1"/>
      <selection pane="bottomLeft" activeCell="A3" sqref="A3"/>
      <selection pane="bottomRight" activeCell="S5" sqref="S5"/>
    </sheetView>
  </sheetViews>
  <sheetFormatPr defaultColWidth="8.81640625" defaultRowHeight="12.5" x14ac:dyDescent="0.25"/>
  <cols>
    <col min="1" max="1" width="5" bestFit="1" customWidth="1"/>
    <col min="2" max="2" width="13.1796875" customWidth="1"/>
    <col min="6" max="7" width="10.453125" customWidth="1"/>
    <col min="8" max="8" width="5.453125" customWidth="1"/>
    <col min="9" max="18" width="7.453125" style="28" customWidth="1"/>
    <col min="19" max="27" width="7.453125" customWidth="1"/>
    <col min="28" max="28" width="10.453125" customWidth="1"/>
    <col min="29" max="31" width="9.1796875" style="28"/>
  </cols>
  <sheetData>
    <row r="1" spans="1:140" x14ac:dyDescent="0.25">
      <c r="A1" s="5" t="s">
        <v>286</v>
      </c>
    </row>
    <row r="2" spans="1:140" x14ac:dyDescent="0.25">
      <c r="A2" s="28" t="s">
        <v>1391</v>
      </c>
      <c r="B2" t="s">
        <v>1095</v>
      </c>
      <c r="C2" t="s">
        <v>635</v>
      </c>
      <c r="D2" t="s">
        <v>1382</v>
      </c>
      <c r="E2" t="s">
        <v>1392</v>
      </c>
      <c r="F2" t="s">
        <v>632</v>
      </c>
      <c r="G2" s="28" t="s">
        <v>1374</v>
      </c>
      <c r="H2" s="28"/>
      <c r="I2" s="28" t="s">
        <v>1088</v>
      </c>
      <c r="J2" s="28" t="s">
        <v>1089</v>
      </c>
      <c r="K2" s="28" t="s">
        <v>1090</v>
      </c>
      <c r="L2" s="28" t="s">
        <v>1091</v>
      </c>
      <c r="M2" s="28" t="s">
        <v>1092</v>
      </c>
      <c r="N2" s="28" t="s">
        <v>1093</v>
      </c>
      <c r="O2" s="28" t="s">
        <v>1094</v>
      </c>
      <c r="P2" s="28" t="s">
        <v>1201</v>
      </c>
      <c r="Q2" s="28" t="s">
        <v>1396</v>
      </c>
      <c r="R2" s="28" t="s">
        <v>1397</v>
      </c>
      <c r="S2" s="28" t="s">
        <v>1398</v>
      </c>
      <c r="T2" s="28" t="s">
        <v>1399</v>
      </c>
      <c r="U2" s="28" t="s">
        <v>1404</v>
      </c>
      <c r="V2" s="28" t="s">
        <v>1405</v>
      </c>
      <c r="W2" s="28" t="s">
        <v>1406</v>
      </c>
      <c r="X2" s="28" t="s">
        <v>1407</v>
      </c>
      <c r="Y2" s="28" t="s">
        <v>1421</v>
      </c>
      <c r="Z2" s="28" t="s">
        <v>1422</v>
      </c>
      <c r="AA2" s="28" t="s">
        <v>1423</v>
      </c>
      <c r="AB2" s="28"/>
      <c r="AC2" s="28" t="s">
        <v>625</v>
      </c>
      <c r="AD2" s="28" t="s">
        <v>626</v>
      </c>
      <c r="AE2" s="28" t="s">
        <v>627</v>
      </c>
      <c r="AF2" s="28" t="s">
        <v>628</v>
      </c>
      <c r="AG2" s="28" t="s">
        <v>629</v>
      </c>
      <c r="AH2" s="28" t="s">
        <v>630</v>
      </c>
      <c r="AI2" s="28" t="s">
        <v>1045</v>
      </c>
      <c r="AJ2" s="28" t="s">
        <v>1046</v>
      </c>
      <c r="AK2" s="28" t="s">
        <v>1047</v>
      </c>
      <c r="AL2" s="28" t="s">
        <v>1048</v>
      </c>
      <c r="AM2" s="28" t="s">
        <v>1049</v>
      </c>
      <c r="AN2" s="28" t="s">
        <v>1050</v>
      </c>
      <c r="AO2" s="28" t="s">
        <v>1054</v>
      </c>
      <c r="AP2" s="28" t="s">
        <v>1055</v>
      </c>
      <c r="AQ2" s="28" t="s">
        <v>1056</v>
      </c>
      <c r="AR2" s="28" t="s">
        <v>1057</v>
      </c>
      <c r="AS2" s="28" t="s">
        <v>1075</v>
      </c>
      <c r="AT2" s="28" t="s">
        <v>1076</v>
      </c>
      <c r="AU2" s="28" t="s">
        <v>1077</v>
      </c>
      <c r="AV2" s="28" t="s">
        <v>1078</v>
      </c>
      <c r="AW2" s="28" t="s">
        <v>1079</v>
      </c>
      <c r="AX2" s="28" t="s">
        <v>1080</v>
      </c>
      <c r="AY2" s="28" t="s">
        <v>1081</v>
      </c>
      <c r="AZ2" s="28" t="s">
        <v>1082</v>
      </c>
      <c r="BA2" s="28" t="s">
        <v>1083</v>
      </c>
      <c r="BB2" s="28" t="s">
        <v>1084</v>
      </c>
      <c r="BC2" s="28" t="s">
        <v>1085</v>
      </c>
      <c r="BD2" s="28" t="s">
        <v>1086</v>
      </c>
      <c r="BE2" s="28" t="s">
        <v>1087</v>
      </c>
    </row>
    <row r="3" spans="1:140" x14ac:dyDescent="0.25">
      <c r="A3" s="28">
        <v>1</v>
      </c>
      <c r="B3" t="s">
        <v>1412</v>
      </c>
      <c r="C3" t="s">
        <v>18</v>
      </c>
      <c r="D3" t="s">
        <v>1386</v>
      </c>
      <c r="E3">
        <v>3</v>
      </c>
      <c r="F3" t="s">
        <v>1413</v>
      </c>
      <c r="G3" s="31">
        <f t="shared" ref="G3:G4" si="0">SUM(AC3:FZ3)</f>
        <v>233470</v>
      </c>
      <c r="H3" s="31"/>
      <c r="I3" s="30">
        <v>942</v>
      </c>
      <c r="J3" s="30">
        <v>3774</v>
      </c>
      <c r="K3" s="30">
        <v>4948</v>
      </c>
      <c r="L3" s="30">
        <v>6735</v>
      </c>
      <c r="M3" s="30">
        <v>7204</v>
      </c>
      <c r="N3" s="30">
        <v>6992</v>
      </c>
      <c r="O3" s="30">
        <v>7523</v>
      </c>
      <c r="P3" s="30">
        <f t="shared" ref="P3" si="1">SUM(BE3:BH3)</f>
        <v>6548</v>
      </c>
      <c r="Q3" s="30">
        <f t="shared" ref="Q3" si="2">SUM(BI3:BL3)</f>
        <v>7932</v>
      </c>
      <c r="R3" s="30">
        <f t="shared" ref="R3" si="3">SUM(BM3:BP3)</f>
        <v>9266</v>
      </c>
      <c r="S3" s="30">
        <f t="shared" ref="S3" si="4">SUM(BQ3:BT3)</f>
        <v>10659</v>
      </c>
      <c r="T3" s="30">
        <f t="shared" ref="T3" si="5">SUM(BU3:BX3)</f>
        <v>12543</v>
      </c>
      <c r="U3" s="30">
        <f t="shared" ref="U3" si="6">SUM(BY3:CB3)</f>
        <v>14012</v>
      </c>
      <c r="V3" s="30">
        <f t="shared" ref="V3" si="7">SUM(CC3:CF3)</f>
        <v>16078</v>
      </c>
      <c r="W3" s="30">
        <f t="shared" ref="W3" si="8">SUM(CG3:CJ3)</f>
        <v>18427</v>
      </c>
      <c r="X3" s="30">
        <f t="shared" ref="X3" si="9">SUM(CK3:CN3)</f>
        <v>19936</v>
      </c>
      <c r="Y3" s="30"/>
      <c r="Z3" s="30"/>
      <c r="AA3" s="30"/>
      <c r="AB3" s="28"/>
      <c r="AC3" s="28">
        <v>30</v>
      </c>
      <c r="AD3" s="28">
        <v>60</v>
      </c>
      <c r="AE3" s="28">
        <v>80</v>
      </c>
      <c r="AF3" s="28">
        <v>110</v>
      </c>
      <c r="AG3" s="28">
        <v>149</v>
      </c>
      <c r="AH3" s="28">
        <v>203</v>
      </c>
      <c r="AI3" s="28">
        <v>227</v>
      </c>
      <c r="AJ3" s="28">
        <v>273</v>
      </c>
      <c r="AK3" s="28">
        <v>282</v>
      </c>
      <c r="AL3" s="28">
        <v>321</v>
      </c>
      <c r="AM3" s="28">
        <v>356</v>
      </c>
      <c r="AN3" s="28">
        <v>441</v>
      </c>
      <c r="AO3" s="28">
        <v>392</v>
      </c>
      <c r="AP3" s="28">
        <v>491</v>
      </c>
      <c r="AQ3" s="28">
        <v>541</v>
      </c>
      <c r="AR3" s="28">
        <v>620</v>
      </c>
      <c r="AS3" s="28">
        <v>571</v>
      </c>
      <c r="AT3" s="28">
        <v>735</v>
      </c>
      <c r="AU3" s="28">
        <v>803</v>
      </c>
      <c r="AV3" s="28">
        <v>954</v>
      </c>
      <c r="AW3" s="28">
        <v>878</v>
      </c>
      <c r="AX3" s="28">
        <v>1089</v>
      </c>
      <c r="AY3" s="28">
        <v>1204</v>
      </c>
      <c r="AZ3" s="28">
        <v>1351</v>
      </c>
      <c r="BA3" s="28">
        <v>1024</v>
      </c>
      <c r="BB3" s="28">
        <v>1311</v>
      </c>
      <c r="BC3" s="28">
        <v>1491</v>
      </c>
      <c r="BD3" s="28">
        <v>1662</v>
      </c>
      <c r="BE3" s="28">
        <v>1397</v>
      </c>
      <c r="BF3">
        <v>1593</v>
      </c>
      <c r="BG3">
        <v>1679</v>
      </c>
      <c r="BH3">
        <v>1879</v>
      </c>
      <c r="BI3">
        <v>1646</v>
      </c>
      <c r="BJ3">
        <v>1997</v>
      </c>
      <c r="BK3">
        <v>2111</v>
      </c>
      <c r="BL3">
        <v>2178</v>
      </c>
      <c r="BM3">
        <v>1934</v>
      </c>
      <c r="BN3">
        <v>2326</v>
      </c>
      <c r="BO3">
        <v>2325</v>
      </c>
      <c r="BP3">
        <v>2681</v>
      </c>
      <c r="BQ3">
        <v>2244</v>
      </c>
      <c r="BR3">
        <v>2606</v>
      </c>
      <c r="BS3">
        <v>2770</v>
      </c>
      <c r="BT3">
        <v>3039</v>
      </c>
      <c r="BU3">
        <v>2637</v>
      </c>
      <c r="BV3">
        <v>3288</v>
      </c>
      <c r="BW3">
        <v>3255</v>
      </c>
      <c r="BX3">
        <v>3363</v>
      </c>
      <c r="BY3">
        <v>3111</v>
      </c>
      <c r="BZ3">
        <v>3537</v>
      </c>
      <c r="CA3">
        <v>3647</v>
      </c>
      <c r="CB3">
        <v>3717</v>
      </c>
      <c r="CC3">
        <v>3577</v>
      </c>
      <c r="CD3">
        <v>4149</v>
      </c>
      <c r="CE3">
        <v>4060</v>
      </c>
      <c r="CF3">
        <v>4292</v>
      </c>
      <c r="CG3">
        <v>4118</v>
      </c>
      <c r="CH3">
        <v>4716</v>
      </c>
      <c r="CI3">
        <v>4701</v>
      </c>
      <c r="CJ3">
        <v>4892</v>
      </c>
      <c r="CK3">
        <v>4709</v>
      </c>
      <c r="CL3">
        <v>5185</v>
      </c>
      <c r="CM3">
        <v>5124</v>
      </c>
      <c r="CN3">
        <v>4918</v>
      </c>
      <c r="CO3">
        <v>4446</v>
      </c>
      <c r="CP3">
        <v>4870</v>
      </c>
      <c r="CQ3">
        <v>4936</v>
      </c>
      <c r="CR3">
        <v>4917</v>
      </c>
      <c r="CS3">
        <v>4703</v>
      </c>
      <c r="CT3">
        <v>4837</v>
      </c>
      <c r="CU3">
        <v>5140</v>
      </c>
      <c r="CV3">
        <v>5152</v>
      </c>
      <c r="CW3">
        <v>4867</v>
      </c>
      <c r="CX3">
        <v>5068</v>
      </c>
      <c r="CY3">
        <v>5425</v>
      </c>
      <c r="CZ3">
        <v>5334</v>
      </c>
      <c r="DA3">
        <v>4736</v>
      </c>
      <c r="DB3">
        <v>5363</v>
      </c>
      <c r="DC3">
        <v>5559</v>
      </c>
      <c r="DD3">
        <v>5579</v>
      </c>
      <c r="DE3">
        <v>3541</v>
      </c>
      <c r="DF3">
        <v>4012</v>
      </c>
      <c r="DG3">
        <v>3547</v>
      </c>
      <c r="DH3">
        <v>3304</v>
      </c>
      <c r="DI3">
        <v>2270</v>
      </c>
      <c r="DJ3">
        <v>2814</v>
      </c>
    </row>
    <row r="4" spans="1:140" x14ac:dyDescent="0.25">
      <c r="A4" s="28">
        <v>2</v>
      </c>
      <c r="B4" t="s">
        <v>1402</v>
      </c>
      <c r="C4" t="s">
        <v>24</v>
      </c>
      <c r="D4" t="s">
        <v>1385</v>
      </c>
      <c r="F4" t="s">
        <v>1403</v>
      </c>
      <c r="G4" s="31">
        <f t="shared" si="0"/>
        <v>146735</v>
      </c>
      <c r="H4" s="31"/>
      <c r="I4" s="30">
        <v>942</v>
      </c>
      <c r="J4" s="30">
        <v>3774</v>
      </c>
      <c r="K4" s="30">
        <v>4948</v>
      </c>
      <c r="L4" s="30">
        <v>6735</v>
      </c>
      <c r="M4" s="30">
        <v>7204</v>
      </c>
      <c r="N4" s="30">
        <v>6992</v>
      </c>
      <c r="O4" s="30">
        <v>7523</v>
      </c>
      <c r="P4" s="30">
        <f t="shared" ref="P4" si="10">SUM(BE4:BH4)</f>
        <v>10862</v>
      </c>
      <c r="Q4" s="30">
        <f t="shared" ref="Q4" si="11">SUM(BI4:BL4)</f>
        <v>12187</v>
      </c>
      <c r="R4" s="30">
        <f t="shared" ref="R4" si="12">SUM(BM4:BP4)</f>
        <v>12886</v>
      </c>
      <c r="S4" s="30">
        <f t="shared" ref="S4" si="13">SUM(BQ4:BT4)</f>
        <v>12675</v>
      </c>
      <c r="T4" s="30">
        <f>SUM(BU4:BX4)</f>
        <v>12401</v>
      </c>
      <c r="U4" s="30">
        <f>SUM(BY4:CB4)</f>
        <v>11434</v>
      </c>
      <c r="V4" s="30">
        <f>SUM(CC4:CF4)</f>
        <v>10733</v>
      </c>
      <c r="W4" s="30">
        <f>SUM(CG4:CJ4)</f>
        <v>9577</v>
      </c>
      <c r="X4" s="30">
        <f>SUM(CK4:CN4)</f>
        <v>3948</v>
      </c>
      <c r="Y4" s="30"/>
      <c r="Z4" s="30"/>
      <c r="AA4" s="30"/>
      <c r="AB4" s="28"/>
      <c r="AC4" s="28">
        <v>49</v>
      </c>
      <c r="AD4" s="28">
        <v>151</v>
      </c>
      <c r="AE4" s="28">
        <v>257</v>
      </c>
      <c r="AF4" s="28">
        <v>408</v>
      </c>
      <c r="AG4" s="28">
        <v>375</v>
      </c>
      <c r="AH4" s="28">
        <v>536</v>
      </c>
      <c r="AI4" s="28">
        <v>578</v>
      </c>
      <c r="AJ4" s="28">
        <v>719</v>
      </c>
      <c r="AK4" s="28">
        <v>767</v>
      </c>
      <c r="AL4" s="28">
        <v>900</v>
      </c>
      <c r="AM4" s="28">
        <v>995</v>
      </c>
      <c r="AN4" s="28">
        <v>1134</v>
      </c>
      <c r="AO4" s="28">
        <v>1119</v>
      </c>
      <c r="AP4" s="28">
        <v>1262</v>
      </c>
      <c r="AQ4" s="28">
        <v>1216</v>
      </c>
      <c r="AR4" s="28">
        <v>1434</v>
      </c>
      <c r="AS4" s="28">
        <v>1467</v>
      </c>
      <c r="AT4" s="28">
        <v>1439</v>
      </c>
      <c r="AU4" s="28">
        <v>1660</v>
      </c>
      <c r="AV4" s="28">
        <v>1883</v>
      </c>
      <c r="AW4" s="28">
        <v>1852</v>
      </c>
      <c r="AX4" s="28">
        <v>1783</v>
      </c>
      <c r="AY4" s="28">
        <v>2020</v>
      </c>
      <c r="AZ4" s="28">
        <v>2317</v>
      </c>
      <c r="BA4" s="28">
        <v>2099</v>
      </c>
      <c r="BB4" s="28">
        <v>2015</v>
      </c>
      <c r="BC4" s="28">
        <v>2468</v>
      </c>
      <c r="BD4" s="28">
        <v>2648</v>
      </c>
      <c r="BE4" s="28">
        <v>2497</v>
      </c>
      <c r="BF4">
        <v>2363</v>
      </c>
      <c r="BG4">
        <v>2738</v>
      </c>
      <c r="BH4">
        <v>3264</v>
      </c>
      <c r="BI4">
        <v>3075</v>
      </c>
      <c r="BJ4">
        <v>2858</v>
      </c>
      <c r="BK4">
        <v>2897</v>
      </c>
      <c r="BL4">
        <v>3357</v>
      </c>
      <c r="BM4">
        <v>3107</v>
      </c>
      <c r="BN4">
        <v>3123</v>
      </c>
      <c r="BO4">
        <v>3321</v>
      </c>
      <c r="BP4">
        <v>3335</v>
      </c>
      <c r="BQ4">
        <v>3358</v>
      </c>
      <c r="BR4">
        <v>2719</v>
      </c>
      <c r="BS4">
        <v>3170</v>
      </c>
      <c r="BT4">
        <v>3428</v>
      </c>
      <c r="BU4">
        <v>3137</v>
      </c>
      <c r="BV4">
        <v>2976</v>
      </c>
      <c r="BW4">
        <v>3142</v>
      </c>
      <c r="BX4">
        <v>3146</v>
      </c>
      <c r="BY4">
        <v>2721</v>
      </c>
      <c r="BZ4">
        <v>2685</v>
      </c>
      <c r="CA4">
        <v>2853</v>
      </c>
      <c r="CB4">
        <v>3175</v>
      </c>
      <c r="CC4">
        <v>2757</v>
      </c>
      <c r="CD4">
        <v>2813</v>
      </c>
      <c r="CE4">
        <v>2534</v>
      </c>
      <c r="CF4">
        <v>2629</v>
      </c>
      <c r="CG4">
        <v>2385</v>
      </c>
      <c r="CH4">
        <v>2591</v>
      </c>
      <c r="CI4">
        <v>2602</v>
      </c>
      <c r="CJ4">
        <v>1999</v>
      </c>
      <c r="CK4">
        <v>1395</v>
      </c>
      <c r="CL4">
        <v>1220</v>
      </c>
      <c r="CM4">
        <v>749</v>
      </c>
      <c r="CN4">
        <v>584</v>
      </c>
      <c r="CO4">
        <v>626</v>
      </c>
      <c r="CP4">
        <v>545</v>
      </c>
      <c r="CQ4">
        <v>533</v>
      </c>
      <c r="CR4">
        <v>611</v>
      </c>
      <c r="CS4">
        <v>457</v>
      </c>
      <c r="CT4">
        <v>543</v>
      </c>
      <c r="CU4">
        <v>490</v>
      </c>
      <c r="CV4">
        <v>572</v>
      </c>
      <c r="CW4">
        <v>441</v>
      </c>
      <c r="CX4">
        <v>509</v>
      </c>
      <c r="CY4">
        <v>454</v>
      </c>
      <c r="CZ4">
        <v>456</v>
      </c>
      <c r="DA4">
        <v>411</v>
      </c>
      <c r="DB4">
        <v>461</v>
      </c>
      <c r="DC4">
        <v>422</v>
      </c>
      <c r="DD4">
        <v>464</v>
      </c>
      <c r="DE4">
        <v>404</v>
      </c>
      <c r="DF4">
        <v>445</v>
      </c>
      <c r="DG4">
        <v>491</v>
      </c>
      <c r="DH4">
        <v>574</v>
      </c>
      <c r="DI4">
        <v>511</v>
      </c>
      <c r="DJ4">
        <v>521</v>
      </c>
      <c r="DK4">
        <v>507</v>
      </c>
      <c r="DL4">
        <v>524</v>
      </c>
      <c r="DM4">
        <v>622</v>
      </c>
      <c r="DN4">
        <v>107</v>
      </c>
      <c r="DO4">
        <v>476</v>
      </c>
      <c r="DP4">
        <v>468</v>
      </c>
      <c r="DQ4">
        <v>405</v>
      </c>
      <c r="DR4">
        <v>431</v>
      </c>
    </row>
    <row r="5" spans="1:140" s="25" customFormat="1" ht="13" x14ac:dyDescent="0.3">
      <c r="A5" s="28">
        <v>2</v>
      </c>
      <c r="B5" t="s">
        <v>654</v>
      </c>
      <c r="C5" t="s">
        <v>28</v>
      </c>
      <c r="D5" t="s">
        <v>1384</v>
      </c>
      <c r="E5">
        <v>2</v>
      </c>
      <c r="G5" s="31">
        <f>SUM(AC5:FZ5)</f>
        <v>123247</v>
      </c>
      <c r="H5" s="31"/>
      <c r="I5" s="27">
        <f>SUM(AC5:AF5)</f>
        <v>247</v>
      </c>
      <c r="J5" s="27">
        <f>SUM(AG5:AJ5)</f>
        <v>936</v>
      </c>
      <c r="K5" s="27">
        <f>SUM(AK5:AN5)</f>
        <v>2304</v>
      </c>
      <c r="L5" s="27">
        <f>SUM(AO5:AR5)</f>
        <v>5475</v>
      </c>
      <c r="M5" s="27">
        <f>SUM(AS5:AV5)</f>
        <v>8943</v>
      </c>
      <c r="N5" s="27">
        <f>SUM(AW5:AZ5)</f>
        <v>12853</v>
      </c>
      <c r="O5" s="27">
        <f>SUM(BA5:BD5)</f>
        <v>15783</v>
      </c>
      <c r="P5" s="27">
        <f>SUM(BE5:BH5)</f>
        <v>19172</v>
      </c>
      <c r="Q5" s="30">
        <f>SUM(BI5:BL5)</f>
        <v>22942</v>
      </c>
      <c r="R5" s="30">
        <f>SUM(BM5:BP5)</f>
        <v>27163</v>
      </c>
      <c r="S5" s="30">
        <f>SUM(BQ5:BT5)</f>
        <v>7429</v>
      </c>
      <c r="T5" s="30">
        <f>SUM(BU5:BX5)</f>
        <v>0</v>
      </c>
      <c r="U5" s="30">
        <f>SUM(BY5:CB5)</f>
        <v>0</v>
      </c>
      <c r="V5" s="30">
        <f>SUM(CC5:CF5)</f>
        <v>0</v>
      </c>
      <c r="W5" s="30"/>
      <c r="X5" s="30"/>
      <c r="Y5" s="30"/>
      <c r="Z5" s="30"/>
      <c r="AA5" s="30"/>
      <c r="AC5" s="27">
        <v>4</v>
      </c>
      <c r="AD5" s="27">
        <v>50</v>
      </c>
      <c r="AE5" s="27">
        <v>83</v>
      </c>
      <c r="AF5" s="25">
        <v>110</v>
      </c>
      <c r="AG5" s="25">
        <v>159</v>
      </c>
      <c r="AH5" s="35">
        <v>214</v>
      </c>
      <c r="AI5" s="35">
        <v>249</v>
      </c>
      <c r="AJ5" s="35">
        <v>314</v>
      </c>
      <c r="AK5" s="35">
        <v>356</v>
      </c>
      <c r="AL5" s="35">
        <v>483</v>
      </c>
      <c r="AM5" s="25">
        <v>584</v>
      </c>
      <c r="AN5" s="25">
        <v>881</v>
      </c>
      <c r="AO5" s="35">
        <v>1047</v>
      </c>
      <c r="AP5" s="35">
        <v>1297</v>
      </c>
      <c r="AQ5" s="35">
        <v>1464</v>
      </c>
      <c r="AR5" s="35">
        <v>1667</v>
      </c>
      <c r="AS5" s="35">
        <v>1889</v>
      </c>
      <c r="AT5" s="35">
        <v>2151</v>
      </c>
      <c r="AU5" s="35">
        <v>2269</v>
      </c>
      <c r="AV5" s="35">
        <v>2634</v>
      </c>
      <c r="AW5" s="35">
        <v>3070</v>
      </c>
      <c r="AX5" s="35">
        <v>3111</v>
      </c>
      <c r="AY5" s="35">
        <v>3284</v>
      </c>
      <c r="AZ5" s="35">
        <v>3388</v>
      </c>
      <c r="BA5" s="35">
        <v>3715</v>
      </c>
      <c r="BB5" s="35">
        <v>3993</v>
      </c>
      <c r="BC5" s="35">
        <v>3899</v>
      </c>
      <c r="BD5" s="35">
        <v>4176</v>
      </c>
      <c r="BE5" s="35">
        <v>4534</v>
      </c>
      <c r="BF5" s="35">
        <v>4577</v>
      </c>
      <c r="BG5" s="35">
        <v>4809</v>
      </c>
      <c r="BH5" s="35">
        <v>5252</v>
      </c>
      <c r="BI5" s="35">
        <v>5426</v>
      </c>
      <c r="BJ5" s="35">
        <v>5450</v>
      </c>
      <c r="BK5" s="35">
        <v>5795</v>
      </c>
      <c r="BL5" s="35">
        <v>6271</v>
      </c>
      <c r="BM5" s="35">
        <v>6338</v>
      </c>
      <c r="BN5" s="35">
        <v>6608</v>
      </c>
      <c r="BO5" s="35">
        <v>6947</v>
      </c>
      <c r="BP5" s="35">
        <v>7270</v>
      </c>
      <c r="BQ5" s="35">
        <v>7429</v>
      </c>
    </row>
    <row r="6" spans="1:140" x14ac:dyDescent="0.25">
      <c r="A6" s="28">
        <v>3</v>
      </c>
      <c r="B6" t="s">
        <v>1393</v>
      </c>
      <c r="C6" t="s">
        <v>1394</v>
      </c>
      <c r="D6" t="s">
        <v>1385</v>
      </c>
      <c r="E6">
        <v>2</v>
      </c>
      <c r="F6" t="s">
        <v>1395</v>
      </c>
      <c r="G6" s="30">
        <f>+G77+G78</f>
        <v>118779</v>
      </c>
      <c r="H6" s="30"/>
      <c r="I6" s="30">
        <f t="shared" ref="I6:V6" si="14">+I77+I78</f>
        <v>412</v>
      </c>
      <c r="J6" s="30">
        <f t="shared" si="14"/>
        <v>1562</v>
      </c>
      <c r="K6" s="30">
        <f t="shared" si="14"/>
        <v>3260</v>
      </c>
      <c r="L6" s="30">
        <f t="shared" si="14"/>
        <v>5005</v>
      </c>
      <c r="M6" s="30">
        <f t="shared" si="14"/>
        <v>7395</v>
      </c>
      <c r="N6" s="30">
        <f t="shared" si="14"/>
        <v>9872</v>
      </c>
      <c r="O6" s="30">
        <f t="shared" si="14"/>
        <v>12149</v>
      </c>
      <c r="P6" s="30">
        <f t="shared" si="14"/>
        <v>13881</v>
      </c>
      <c r="Q6" s="30">
        <f t="shared" si="14"/>
        <v>16330</v>
      </c>
      <c r="R6" s="30">
        <f t="shared" si="14"/>
        <v>18253</v>
      </c>
      <c r="S6" s="30">
        <f t="shared" si="14"/>
        <v>18766</v>
      </c>
      <c r="T6" s="30">
        <f t="shared" si="14"/>
        <v>13927</v>
      </c>
      <c r="U6" s="30">
        <f t="shared" si="14"/>
        <v>0</v>
      </c>
      <c r="V6" s="30">
        <f t="shared" si="14"/>
        <v>0</v>
      </c>
      <c r="W6" s="30"/>
      <c r="X6" s="30"/>
      <c r="Y6" s="30"/>
      <c r="Z6" s="30"/>
      <c r="AA6" s="30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</row>
    <row r="7" spans="1:140" x14ac:dyDescent="0.25">
      <c r="A7">
        <f t="shared" ref="A7:A26" si="15">+A6+1</f>
        <v>4</v>
      </c>
      <c r="B7" t="s">
        <v>1425</v>
      </c>
      <c r="C7" t="s">
        <v>15</v>
      </c>
      <c r="D7" t="s">
        <v>1386</v>
      </c>
      <c r="E7">
        <v>1</v>
      </c>
      <c r="G7" s="31">
        <f t="shared" ref="G7:G13" si="16">SUM(AC7:FZ7)</f>
        <v>92404</v>
      </c>
      <c r="H7" s="31"/>
      <c r="I7" s="30">
        <f>SUM(AC7:AF7)</f>
        <v>115</v>
      </c>
      <c r="J7" s="30">
        <f>SUM(AG7:AJ7)</f>
        <v>370</v>
      </c>
      <c r="K7" s="30">
        <f>SUM(AK7:AN7)</f>
        <v>721</v>
      </c>
      <c r="L7" s="30">
        <f>SUM(AO7:AR7)</f>
        <v>1297</v>
      </c>
      <c r="M7" s="30">
        <f>SUM(AS7:AV7)</f>
        <v>1730</v>
      </c>
      <c r="N7" s="30">
        <f>SUM(AW7:AZ7)</f>
        <v>2146</v>
      </c>
      <c r="O7" s="30">
        <f>SUM(BA7:BD7)</f>
        <v>2535</v>
      </c>
      <c r="P7" s="30">
        <f>SUM(BE7:BH7)</f>
        <v>3014</v>
      </c>
      <c r="Q7" s="30">
        <f>SUM(BI7:BL7)</f>
        <v>3327</v>
      </c>
      <c r="R7" s="30">
        <f>SUM(BM7:BP7)</f>
        <v>3748</v>
      </c>
      <c r="S7" s="30">
        <f>SUM(BQ7:BT7)</f>
        <v>4304</v>
      </c>
      <c r="T7" s="30">
        <f>SUM(BU7:BX7)</f>
        <v>4610</v>
      </c>
      <c r="U7" s="30">
        <f>SUM(BY7:CB7)</f>
        <v>5492</v>
      </c>
      <c r="V7" s="30">
        <f>SUM(CC7:CF7)</f>
        <v>6139</v>
      </c>
      <c r="W7" s="30"/>
      <c r="X7" s="30"/>
      <c r="Y7" s="30"/>
      <c r="Z7" s="30"/>
      <c r="AA7" s="30"/>
      <c r="AC7" s="28">
        <v>21</v>
      </c>
      <c r="AD7" s="28">
        <v>26</v>
      </c>
      <c r="AE7" s="28">
        <v>27</v>
      </c>
      <c r="AF7">
        <v>41</v>
      </c>
      <c r="AG7">
        <v>49</v>
      </c>
      <c r="AH7" s="31">
        <v>91.2</v>
      </c>
      <c r="AI7" s="31">
        <v>90.8</v>
      </c>
      <c r="AJ7" s="31">
        <v>139</v>
      </c>
      <c r="AK7" s="31">
        <v>131</v>
      </c>
      <c r="AL7" s="31">
        <v>171</v>
      </c>
      <c r="AM7">
        <v>209</v>
      </c>
      <c r="AN7">
        <v>210</v>
      </c>
      <c r="AO7">
        <v>245</v>
      </c>
      <c r="AP7">
        <v>332</v>
      </c>
      <c r="AQ7">
        <v>341</v>
      </c>
      <c r="AR7">
        <v>379</v>
      </c>
      <c r="AS7">
        <v>409</v>
      </c>
      <c r="AT7">
        <v>421</v>
      </c>
      <c r="AU7">
        <v>444</v>
      </c>
      <c r="AV7">
        <v>456</v>
      </c>
      <c r="AW7">
        <v>464</v>
      </c>
      <c r="AX7">
        <v>539</v>
      </c>
      <c r="AY7">
        <v>545</v>
      </c>
      <c r="AZ7">
        <v>598</v>
      </c>
      <c r="BA7">
        <v>577</v>
      </c>
      <c r="BB7">
        <v>642</v>
      </c>
      <c r="BC7">
        <v>624</v>
      </c>
      <c r="BD7">
        <v>692</v>
      </c>
      <c r="BE7">
        <v>681</v>
      </c>
      <c r="BF7">
        <v>777</v>
      </c>
      <c r="BG7">
        <v>776</v>
      </c>
      <c r="BH7">
        <v>780</v>
      </c>
      <c r="BI7">
        <v>731</v>
      </c>
      <c r="BJ7">
        <v>869</v>
      </c>
      <c r="BK7">
        <v>819</v>
      </c>
      <c r="BL7">
        <v>908</v>
      </c>
      <c r="BM7">
        <v>998</v>
      </c>
      <c r="BN7">
        <v>886</v>
      </c>
      <c r="BO7">
        <v>978</v>
      </c>
      <c r="BP7">
        <v>886</v>
      </c>
      <c r="BQ7">
        <v>1028</v>
      </c>
      <c r="BR7">
        <v>1102</v>
      </c>
      <c r="BS7">
        <v>1036</v>
      </c>
      <c r="BT7">
        <v>1138</v>
      </c>
      <c r="BU7">
        <v>1186</v>
      </c>
      <c r="BV7">
        <v>1130</v>
      </c>
      <c r="BW7">
        <v>1229</v>
      </c>
      <c r="BX7">
        <v>1065</v>
      </c>
      <c r="BY7">
        <v>1285</v>
      </c>
      <c r="BZ7">
        <v>1371</v>
      </c>
      <c r="CA7">
        <v>1408</v>
      </c>
      <c r="CB7">
        <v>1428</v>
      </c>
      <c r="CC7">
        <v>1521</v>
      </c>
      <c r="CD7">
        <v>1523</v>
      </c>
      <c r="CE7">
        <v>1591</v>
      </c>
      <c r="CF7">
        <v>1504</v>
      </c>
      <c r="CG7">
        <v>1600</v>
      </c>
      <c r="CH7">
        <v>1672</v>
      </c>
      <c r="CI7">
        <v>1689</v>
      </c>
      <c r="CJ7">
        <v>1712</v>
      </c>
      <c r="CK7">
        <v>1610</v>
      </c>
      <c r="CL7">
        <v>1804</v>
      </c>
      <c r="CM7">
        <v>1782</v>
      </c>
      <c r="CN7">
        <v>1672</v>
      </c>
      <c r="CO7">
        <v>1600</v>
      </c>
      <c r="CP7">
        <v>1668</v>
      </c>
      <c r="CQ7">
        <v>1613</v>
      </c>
      <c r="CR7">
        <v>1680</v>
      </c>
      <c r="CS7">
        <v>1779</v>
      </c>
      <c r="CT7">
        <v>1780</v>
      </c>
      <c r="CU7">
        <v>1783</v>
      </c>
      <c r="CV7">
        <v>1624</v>
      </c>
      <c r="CW7">
        <v>1672</v>
      </c>
      <c r="CX7">
        <v>1530</v>
      </c>
      <c r="CY7">
        <v>1647</v>
      </c>
      <c r="CZ7">
        <v>1466</v>
      </c>
      <c r="DA7">
        <v>1389</v>
      </c>
      <c r="DB7">
        <v>1320</v>
      </c>
      <c r="DC7">
        <v>1379</v>
      </c>
      <c r="DD7">
        <v>1238</v>
      </c>
      <c r="DE7">
        <v>1102</v>
      </c>
      <c r="DF7">
        <v>1107</v>
      </c>
      <c r="DG7">
        <v>1136</v>
      </c>
      <c r="DH7">
        <v>1035</v>
      </c>
      <c r="DI7">
        <v>990</v>
      </c>
      <c r="DJ7">
        <v>935</v>
      </c>
      <c r="DK7">
        <v>921</v>
      </c>
      <c r="DL7">
        <v>901</v>
      </c>
      <c r="DM7">
        <v>777</v>
      </c>
      <c r="DN7">
        <v>888</v>
      </c>
      <c r="DO7">
        <v>761</v>
      </c>
      <c r="DP7">
        <v>764</v>
      </c>
      <c r="DQ7">
        <v>663</v>
      </c>
      <c r="DR7">
        <v>647</v>
      </c>
      <c r="DS7">
        <v>558</v>
      </c>
      <c r="DT7">
        <v>475</v>
      </c>
      <c r="DU7">
        <v>487</v>
      </c>
    </row>
    <row r="8" spans="1:140" x14ac:dyDescent="0.25">
      <c r="A8">
        <f t="shared" si="15"/>
        <v>5</v>
      </c>
      <c r="B8" t="s">
        <v>1378</v>
      </c>
      <c r="C8" t="s">
        <v>24</v>
      </c>
      <c r="D8" t="s">
        <v>1434</v>
      </c>
      <c r="G8" s="31">
        <f t="shared" si="16"/>
        <v>86510</v>
      </c>
      <c r="H8" s="31"/>
      <c r="I8" s="30">
        <f>SUM(AC8:AF8)</f>
        <v>24431</v>
      </c>
      <c r="J8" s="30">
        <f>SUM(AG8:AJ8)</f>
        <v>38981</v>
      </c>
      <c r="K8" s="30">
        <f>SUM(AK8:AN8)</f>
        <v>17188</v>
      </c>
      <c r="L8" s="30">
        <f>SUM(AO8:AR8)</f>
        <v>5910</v>
      </c>
      <c r="M8" s="30">
        <f>SUM(AS8:AV8)</f>
        <v>0</v>
      </c>
      <c r="N8" s="30">
        <f>SUM(AW8:AZ8)</f>
        <v>0</v>
      </c>
      <c r="O8" s="30">
        <f>SUM(BA8:BD8)</f>
        <v>0</v>
      </c>
      <c r="P8" s="30">
        <f t="shared" ref="P8:P13" si="17">SUM(BE8:BH8)</f>
        <v>0</v>
      </c>
      <c r="Q8" s="30">
        <f t="shared" ref="Q8:Q13" si="18">SUM(BI8:BL8)</f>
        <v>0</v>
      </c>
      <c r="R8" s="30">
        <f t="shared" ref="R8:R13" si="19">SUM(BM8:BP8)</f>
        <v>0</v>
      </c>
      <c r="S8" s="30">
        <f t="shared" ref="S8:S13" si="20">SUM(BQ8:BT8)</f>
        <v>0</v>
      </c>
      <c r="T8" s="30">
        <f t="shared" ref="T8:T13" si="21">SUM(BU8:BX8)</f>
        <v>0</v>
      </c>
      <c r="U8" s="30">
        <f t="shared" ref="U8:U35" si="22">SUM(BY8:CB8)</f>
        <v>0</v>
      </c>
      <c r="V8" s="30">
        <f t="shared" ref="V8:V35" si="23">SUM(CC8:CF8)</f>
        <v>0</v>
      </c>
      <c r="W8" s="30"/>
      <c r="X8" s="30"/>
      <c r="Y8" s="30"/>
      <c r="Z8" s="30"/>
      <c r="AA8" s="30"/>
      <c r="AC8" s="30">
        <v>154</v>
      </c>
      <c r="AD8" s="30">
        <v>3462</v>
      </c>
      <c r="AE8" s="30">
        <v>7838</v>
      </c>
      <c r="AF8" s="31">
        <v>12977</v>
      </c>
      <c r="AG8">
        <v>12504</v>
      </c>
      <c r="AH8" s="31">
        <v>13227</v>
      </c>
      <c r="AI8" s="31">
        <v>8848</v>
      </c>
      <c r="AJ8" s="31">
        <v>4402</v>
      </c>
      <c r="AK8" s="31">
        <v>11329</v>
      </c>
      <c r="AL8" s="31">
        <v>3064</v>
      </c>
      <c r="AM8">
        <v>1488</v>
      </c>
      <c r="AN8">
        <v>1307</v>
      </c>
      <c r="AO8">
        <v>5361</v>
      </c>
      <c r="AP8">
        <v>354</v>
      </c>
      <c r="AQ8">
        <v>195</v>
      </c>
    </row>
    <row r="9" spans="1:140" x14ac:dyDescent="0.25">
      <c r="A9">
        <f t="shared" si="15"/>
        <v>6</v>
      </c>
      <c r="B9" t="s">
        <v>1433</v>
      </c>
      <c r="C9" t="s">
        <v>24</v>
      </c>
      <c r="D9" t="s">
        <v>1434</v>
      </c>
      <c r="G9" s="31">
        <f>SUM(I9:BF9)</f>
        <v>85745.364999999991</v>
      </c>
      <c r="H9" s="31"/>
      <c r="I9" s="30">
        <v>460.6</v>
      </c>
      <c r="J9" s="30">
        <v>798.2</v>
      </c>
      <c r="K9" s="30">
        <v>647.5</v>
      </c>
      <c r="L9" s="30">
        <v>945.6</v>
      </c>
      <c r="M9" s="30">
        <v>1053.5999999999999</v>
      </c>
      <c r="N9" s="30">
        <v>1508.3</v>
      </c>
      <c r="O9" s="30">
        <v>1961.3</v>
      </c>
      <c r="P9" s="30" t="s">
        <v>1435</v>
      </c>
      <c r="Q9" s="30" t="s">
        <v>1436</v>
      </c>
      <c r="R9" s="30">
        <v>1825.2649999999999</v>
      </c>
      <c r="S9" s="30">
        <v>3669</v>
      </c>
      <c r="T9" s="30">
        <v>4145</v>
      </c>
      <c r="U9" s="30">
        <v>4117</v>
      </c>
      <c r="V9" s="30">
        <v>3974</v>
      </c>
      <c r="W9" s="30">
        <v>4464</v>
      </c>
      <c r="X9" s="30">
        <v>6247</v>
      </c>
      <c r="Y9" s="30">
        <v>5719</v>
      </c>
      <c r="Z9" s="30">
        <v>5601</v>
      </c>
      <c r="AA9" s="30">
        <v>5802</v>
      </c>
      <c r="AB9">
        <v>5847</v>
      </c>
      <c r="AC9" s="30">
        <v>5850</v>
      </c>
      <c r="AD9" s="30">
        <v>5274</v>
      </c>
      <c r="AE9" s="30">
        <v>6337</v>
      </c>
      <c r="AF9">
        <v>6449</v>
      </c>
      <c r="AG9" s="29">
        <v>1691</v>
      </c>
      <c r="AH9" s="29">
        <v>1359</v>
      </c>
    </row>
    <row r="10" spans="1:140" x14ac:dyDescent="0.25">
      <c r="A10">
        <f t="shared" si="15"/>
        <v>7</v>
      </c>
      <c r="B10" t="s">
        <v>658</v>
      </c>
      <c r="C10" t="s">
        <v>28</v>
      </c>
      <c r="D10" t="s">
        <v>1388</v>
      </c>
      <c r="E10">
        <v>1</v>
      </c>
      <c r="G10" s="31">
        <f>SUM(AC10:FZ10)</f>
        <v>74776.5</v>
      </c>
      <c r="H10" s="31"/>
      <c r="I10" s="30">
        <f>SUM(AC10:AF10)</f>
        <v>589</v>
      </c>
      <c r="J10" s="30">
        <f>SUM(AG10:AJ10)</f>
        <v>1600.5</v>
      </c>
      <c r="K10" s="30">
        <f>SUM(AK10:AN10)</f>
        <v>2095</v>
      </c>
      <c r="L10" s="30">
        <f>SUM(AO10:AR10)</f>
        <v>3327</v>
      </c>
      <c r="M10" s="30">
        <f>SUM(AS10:AV10)</f>
        <v>4488</v>
      </c>
      <c r="N10" s="30">
        <f>SUM(AW10:AZ10)</f>
        <v>5589</v>
      </c>
      <c r="O10" s="30">
        <f>SUM(BA10:BD10)</f>
        <v>5912</v>
      </c>
      <c r="P10" s="30">
        <f>SUM(BE10:BH10)</f>
        <v>6073</v>
      </c>
      <c r="Q10" s="30">
        <f>SUM(BI10:BL10)</f>
        <v>6172</v>
      </c>
      <c r="R10" s="30">
        <f>SUM(BM10:BP10)</f>
        <v>6087</v>
      </c>
      <c r="S10" s="30">
        <f>SUM(BQ10:BT10)</f>
        <v>5937</v>
      </c>
      <c r="T10" s="30">
        <f>SUM(BU10:BX10)</f>
        <v>5907</v>
      </c>
      <c r="U10" s="30">
        <f>SUM(BY10:CB10)</f>
        <v>5483</v>
      </c>
      <c r="V10" s="30">
        <f>SUM(CC10:CF10)</f>
        <v>5346</v>
      </c>
      <c r="W10" s="30"/>
      <c r="X10" s="30"/>
      <c r="Y10" s="30"/>
      <c r="Z10" s="30"/>
      <c r="AA10" s="30"/>
      <c r="AC10" s="30">
        <f t="shared" ref="AC10:BH10" si="24">AC79+AC80</f>
        <v>66</v>
      </c>
      <c r="AD10" s="30">
        <f t="shared" si="24"/>
        <v>106</v>
      </c>
      <c r="AE10" s="30">
        <f t="shared" si="24"/>
        <v>174</v>
      </c>
      <c r="AF10" s="30">
        <f t="shared" si="24"/>
        <v>243</v>
      </c>
      <c r="AG10" s="30">
        <f t="shared" si="24"/>
        <v>272</v>
      </c>
      <c r="AH10" s="30">
        <f t="shared" si="24"/>
        <v>373</v>
      </c>
      <c r="AI10" s="30">
        <f t="shared" si="24"/>
        <v>448.5</v>
      </c>
      <c r="AJ10" s="30">
        <f t="shared" si="24"/>
        <v>507</v>
      </c>
      <c r="AK10" s="30">
        <f t="shared" si="24"/>
        <v>155</v>
      </c>
      <c r="AL10" s="30">
        <f t="shared" si="24"/>
        <v>584</v>
      </c>
      <c r="AM10" s="30">
        <f t="shared" si="24"/>
        <v>664</v>
      </c>
      <c r="AN10" s="30">
        <f t="shared" si="24"/>
        <v>692</v>
      </c>
      <c r="AO10" s="30">
        <f t="shared" si="24"/>
        <v>776</v>
      </c>
      <c r="AP10" s="30">
        <f t="shared" si="24"/>
        <v>758</v>
      </c>
      <c r="AQ10" s="30">
        <f t="shared" si="24"/>
        <v>888</v>
      </c>
      <c r="AR10" s="30">
        <f t="shared" si="24"/>
        <v>905</v>
      </c>
      <c r="AS10" s="30">
        <f t="shared" si="24"/>
        <v>996</v>
      </c>
      <c r="AT10" s="30">
        <f t="shared" si="24"/>
        <v>1089</v>
      </c>
      <c r="AU10" s="30">
        <f t="shared" si="24"/>
        <v>1165</v>
      </c>
      <c r="AV10" s="30">
        <f t="shared" si="24"/>
        <v>1238</v>
      </c>
      <c r="AW10" s="30">
        <f t="shared" si="24"/>
        <v>1371</v>
      </c>
      <c r="AX10" s="30">
        <f t="shared" si="24"/>
        <v>1324</v>
      </c>
      <c r="AY10" s="30">
        <f t="shared" si="24"/>
        <v>1510</v>
      </c>
      <c r="AZ10" s="30">
        <f t="shared" si="24"/>
        <v>1384</v>
      </c>
      <c r="BA10" s="30">
        <f t="shared" si="24"/>
        <v>1608</v>
      </c>
      <c r="BB10" s="30">
        <f t="shared" si="24"/>
        <v>1326</v>
      </c>
      <c r="BC10" s="30">
        <f t="shared" si="24"/>
        <v>1575</v>
      </c>
      <c r="BD10" s="30">
        <f t="shared" si="24"/>
        <v>1403</v>
      </c>
      <c r="BE10" s="30">
        <f t="shared" si="24"/>
        <v>1640</v>
      </c>
      <c r="BF10" s="30">
        <f t="shared" si="24"/>
        <v>1363</v>
      </c>
      <c r="BG10" s="30">
        <f t="shared" si="24"/>
        <v>1628</v>
      </c>
      <c r="BH10" s="30">
        <f t="shared" si="24"/>
        <v>1442</v>
      </c>
      <c r="BI10" s="30">
        <f t="shared" ref="BI10:CR10" si="25">BI79+BI80</f>
        <v>1636</v>
      </c>
      <c r="BJ10" s="30">
        <f t="shared" si="25"/>
        <v>1446</v>
      </c>
      <c r="BK10" s="30">
        <f t="shared" si="25"/>
        <v>1570</v>
      </c>
      <c r="BL10" s="30">
        <f t="shared" si="25"/>
        <v>1520</v>
      </c>
      <c r="BM10" s="30">
        <f t="shared" si="25"/>
        <v>1490</v>
      </c>
      <c r="BN10" s="30">
        <f t="shared" si="25"/>
        <v>1454</v>
      </c>
      <c r="BO10" s="30">
        <f t="shared" si="25"/>
        <v>1641</v>
      </c>
      <c r="BP10" s="30">
        <f t="shared" si="25"/>
        <v>1502</v>
      </c>
      <c r="BQ10" s="30">
        <f t="shared" si="25"/>
        <v>1495</v>
      </c>
      <c r="BR10" s="30">
        <f t="shared" si="25"/>
        <v>1352</v>
      </c>
      <c r="BS10" s="30">
        <f t="shared" si="25"/>
        <v>1534</v>
      </c>
      <c r="BT10" s="30">
        <f t="shared" si="25"/>
        <v>1556</v>
      </c>
      <c r="BU10" s="30">
        <f t="shared" si="25"/>
        <v>1523</v>
      </c>
      <c r="BV10" s="30">
        <f t="shared" si="25"/>
        <v>1443</v>
      </c>
      <c r="BW10" s="30">
        <f t="shared" si="25"/>
        <v>1484</v>
      </c>
      <c r="BX10" s="30">
        <f t="shared" si="25"/>
        <v>1457</v>
      </c>
      <c r="BY10" s="30">
        <f t="shared" si="25"/>
        <v>1463</v>
      </c>
      <c r="BZ10" s="30">
        <f t="shared" si="25"/>
        <v>1327</v>
      </c>
      <c r="CA10" s="30">
        <f t="shared" si="25"/>
        <v>1383</v>
      </c>
      <c r="CB10" s="30">
        <f t="shared" si="25"/>
        <v>1310</v>
      </c>
      <c r="CC10" s="30">
        <f t="shared" si="25"/>
        <v>1433</v>
      </c>
      <c r="CD10" s="30">
        <f t="shared" si="25"/>
        <v>1280</v>
      </c>
      <c r="CE10" s="30">
        <f t="shared" si="25"/>
        <v>1326</v>
      </c>
      <c r="CF10" s="30">
        <f t="shared" si="25"/>
        <v>1307</v>
      </c>
      <c r="CG10" s="30">
        <f t="shared" si="25"/>
        <v>1334</v>
      </c>
      <c r="CH10" s="30">
        <f t="shared" si="25"/>
        <v>1296</v>
      </c>
      <c r="CI10" s="30">
        <f t="shared" si="25"/>
        <v>1298</v>
      </c>
      <c r="CJ10" s="30">
        <f t="shared" si="25"/>
        <v>1306</v>
      </c>
      <c r="CK10" s="30">
        <f t="shared" si="25"/>
        <v>1354</v>
      </c>
      <c r="CL10" s="30">
        <f t="shared" si="25"/>
        <v>1196</v>
      </c>
      <c r="CM10" s="30">
        <f t="shared" si="25"/>
        <v>1109</v>
      </c>
      <c r="CN10" s="30">
        <f t="shared" si="25"/>
        <v>717</v>
      </c>
      <c r="CO10" s="30">
        <f t="shared" si="25"/>
        <v>561</v>
      </c>
      <c r="CP10" s="30">
        <f t="shared" si="25"/>
        <v>0</v>
      </c>
      <c r="CQ10" s="30">
        <f t="shared" si="25"/>
        <v>0</v>
      </c>
      <c r="CR10" s="30">
        <f t="shared" si="25"/>
        <v>0</v>
      </c>
    </row>
    <row r="11" spans="1:140" s="25" customFormat="1" ht="13" x14ac:dyDescent="0.3">
      <c r="A11">
        <f t="shared" si="15"/>
        <v>8</v>
      </c>
      <c r="B11" t="s">
        <v>1416</v>
      </c>
      <c r="C11" t="s">
        <v>20</v>
      </c>
      <c r="D11" t="s">
        <v>1390</v>
      </c>
      <c r="E11"/>
      <c r="F11"/>
      <c r="G11" s="31">
        <f t="shared" si="16"/>
        <v>63086.7</v>
      </c>
      <c r="H11" s="31"/>
      <c r="I11" s="30">
        <f t="shared" ref="I11" si="26">SUM(AC11:AF11)</f>
        <v>550.20000000000005</v>
      </c>
      <c r="J11" s="30">
        <f t="shared" ref="J11" si="27">SUM(AG11:AJ11)</f>
        <v>1278</v>
      </c>
      <c r="K11" s="30">
        <f t="shared" ref="K11" si="28">SUM(AK11:AN11)</f>
        <v>1726.1</v>
      </c>
      <c r="L11" s="30">
        <f t="shared" ref="L11" si="29">SUM(AO11:AR11)</f>
        <v>2246.6</v>
      </c>
      <c r="M11" s="30">
        <f t="shared" ref="M11" si="30">SUM(AS11:AV11)</f>
        <v>2882.3999999999996</v>
      </c>
      <c r="N11" s="30">
        <f t="shared" ref="N11" si="31">SUM(AW11:AZ11)</f>
        <v>3604.1000000000004</v>
      </c>
      <c r="O11" s="30">
        <f t="shared" ref="O11" si="32">SUM(BA11:BD11)</f>
        <v>4128.1000000000004</v>
      </c>
      <c r="P11" s="30">
        <f t="shared" ref="P11" si="33">SUM(BE11:BH11)</f>
        <v>4479.8</v>
      </c>
      <c r="Q11" s="30">
        <f t="shared" ref="Q11" si="34">SUM(BI11:BL11)</f>
        <v>4255.6000000000004</v>
      </c>
      <c r="R11" s="30">
        <f t="shared" ref="R11" si="35">SUM(BM11:BP11)</f>
        <v>4239.3</v>
      </c>
      <c r="S11" s="30">
        <f t="shared" ref="S11" si="36">SUM(BQ11:BT11)</f>
        <v>4643.6000000000004</v>
      </c>
      <c r="T11" s="30">
        <f t="shared" ref="T11" si="37">SUM(BU11:BX11)</f>
        <v>4823.3</v>
      </c>
      <c r="U11" s="30">
        <f t="shared" ref="U11" si="38">SUM(BY11:CB11)</f>
        <v>4695.8999999999996</v>
      </c>
      <c r="V11" s="30">
        <f t="shared" ref="V11" si="39">SUM(CC11:CF11)</f>
        <v>5057.1000000000004</v>
      </c>
      <c r="W11" s="30"/>
      <c r="X11" s="30"/>
      <c r="Y11" s="30"/>
      <c r="Z11" s="30"/>
      <c r="AA11" s="30"/>
      <c r="AB11"/>
      <c r="AC11" s="30">
        <v>87</v>
      </c>
      <c r="AD11" s="30">
        <v>105.4</v>
      </c>
      <c r="AE11" s="30">
        <v>156</v>
      </c>
      <c r="AF11" s="31">
        <v>201.8</v>
      </c>
      <c r="AG11">
        <v>267.00000000000011</v>
      </c>
      <c r="AH11">
        <v>287</v>
      </c>
      <c r="AI11">
        <v>328</v>
      </c>
      <c r="AJ11">
        <v>396</v>
      </c>
      <c r="AK11">
        <v>429</v>
      </c>
      <c r="AL11">
        <v>401.2</v>
      </c>
      <c r="AM11">
        <v>393</v>
      </c>
      <c r="AN11">
        <v>502.9</v>
      </c>
      <c r="AO11">
        <v>592.89999999999986</v>
      </c>
      <c r="AP11">
        <v>458.1</v>
      </c>
      <c r="AQ11">
        <v>550.70000000000005</v>
      </c>
      <c r="AR11">
        <v>644.9</v>
      </c>
      <c r="AS11">
        <v>696.29999999999984</v>
      </c>
      <c r="AT11">
        <v>637</v>
      </c>
      <c r="AU11">
        <v>736.6</v>
      </c>
      <c r="AV11">
        <v>812.5</v>
      </c>
      <c r="AW11">
        <v>903.90000000000009</v>
      </c>
      <c r="AX11">
        <v>819.4</v>
      </c>
      <c r="AY11">
        <v>906.8</v>
      </c>
      <c r="AZ11">
        <v>974</v>
      </c>
      <c r="BA11">
        <v>989.80000000000007</v>
      </c>
      <c r="BB11">
        <v>958.3</v>
      </c>
      <c r="BC11">
        <v>1050</v>
      </c>
      <c r="BD11">
        <v>1130</v>
      </c>
      <c r="BE11">
        <v>1145.5</v>
      </c>
      <c r="BF11" s="31">
        <v>1098.3</v>
      </c>
      <c r="BG11" s="31">
        <v>1212.3</v>
      </c>
      <c r="BH11" s="31">
        <v>1023.7</v>
      </c>
      <c r="BI11" s="31">
        <v>1085.5</v>
      </c>
      <c r="BJ11" s="31">
        <v>1038.2</v>
      </c>
      <c r="BK11" s="31">
        <v>1096.8</v>
      </c>
      <c r="BL11" s="31">
        <v>1035.0999999999999</v>
      </c>
      <c r="BM11" s="31">
        <v>1032.2</v>
      </c>
      <c r="BN11" s="31">
        <v>1007.4</v>
      </c>
      <c r="BO11" s="31">
        <v>1115</v>
      </c>
      <c r="BP11" s="31">
        <v>1084.7</v>
      </c>
      <c r="BQ11" s="31">
        <v>1156.5</v>
      </c>
      <c r="BR11">
        <v>1108</v>
      </c>
      <c r="BS11">
        <v>1213</v>
      </c>
      <c r="BT11">
        <v>1166.0999999999999</v>
      </c>
      <c r="BU11">
        <v>1273.9000000000001</v>
      </c>
      <c r="BV11">
        <v>1120.2</v>
      </c>
      <c r="BW11">
        <v>1239.7</v>
      </c>
      <c r="BX11">
        <v>1189.5</v>
      </c>
      <c r="BY11">
        <v>1146.7</v>
      </c>
      <c r="BZ11">
        <v>1123</v>
      </c>
      <c r="CA11">
        <v>1203.2</v>
      </c>
      <c r="CB11">
        <v>1223</v>
      </c>
      <c r="CC11">
        <v>1366.5</v>
      </c>
      <c r="CD11">
        <v>1215</v>
      </c>
      <c r="CE11">
        <v>1262.9000000000001</v>
      </c>
      <c r="CF11">
        <v>1212.7</v>
      </c>
      <c r="CG11">
        <v>1335.8</v>
      </c>
      <c r="CH11">
        <v>1281.9000000000001</v>
      </c>
      <c r="CI11">
        <v>1408.3</v>
      </c>
      <c r="CJ11">
        <v>1182.3</v>
      </c>
      <c r="CK11">
        <v>749.6</v>
      </c>
      <c r="CL11">
        <v>562.70000000000005</v>
      </c>
      <c r="CM11">
        <v>379.5</v>
      </c>
      <c r="CN11">
        <v>374.5</v>
      </c>
      <c r="CO11">
        <v>384.8</v>
      </c>
      <c r="CP11">
        <v>284.8</v>
      </c>
      <c r="CQ11">
        <v>283.2</v>
      </c>
      <c r="CR11">
        <v>278.7</v>
      </c>
      <c r="CS11">
        <v>348.2</v>
      </c>
      <c r="CT11">
        <v>283.10000000000002</v>
      </c>
      <c r="CU11">
        <v>243.8</v>
      </c>
      <c r="CV11">
        <v>257.39999999999998</v>
      </c>
      <c r="CW11">
        <v>253.1</v>
      </c>
      <c r="CX11">
        <v>219.5</v>
      </c>
      <c r="CY11">
        <v>253.7</v>
      </c>
      <c r="CZ11">
        <v>237.9</v>
      </c>
      <c r="DA11">
        <v>229.1</v>
      </c>
      <c r="DB11">
        <v>212.8</v>
      </c>
      <c r="DC11">
        <v>210.7</v>
      </c>
      <c r="DD11">
        <v>148.9</v>
      </c>
      <c r="DE11">
        <v>153</v>
      </c>
      <c r="DF11">
        <v>147.5</v>
      </c>
      <c r="DG11">
        <v>140.80000000000001</v>
      </c>
      <c r="DH11">
        <v>140.6</v>
      </c>
      <c r="DI11">
        <v>152.19999999999999</v>
      </c>
      <c r="DJ11">
        <v>122.6</v>
      </c>
      <c r="DK11">
        <v>128</v>
      </c>
      <c r="DL11">
        <v>109.9</v>
      </c>
      <c r="DM11">
        <v>110.8</v>
      </c>
      <c r="DN11">
        <v>107.2</v>
      </c>
      <c r="DO11">
        <v>104.3</v>
      </c>
      <c r="DP11">
        <v>105.4</v>
      </c>
      <c r="DQ11">
        <v>101.79999999999994</v>
      </c>
      <c r="DR11">
        <v>98.4</v>
      </c>
      <c r="DS11">
        <v>96.6</v>
      </c>
      <c r="DT11">
        <v>112.7</v>
      </c>
      <c r="DU11">
        <v>98.900000000000034</v>
      </c>
      <c r="DV11" s="25">
        <v>95.8</v>
      </c>
      <c r="DW11" s="25">
        <v>95.4</v>
      </c>
      <c r="DX11" s="25">
        <v>101.7</v>
      </c>
      <c r="DY11" s="25">
        <v>137.40000000000003</v>
      </c>
      <c r="DZ11" s="25">
        <v>93.1</v>
      </c>
      <c r="EA11" s="25">
        <v>87.3</v>
      </c>
      <c r="EB11" s="25">
        <v>81.400000000000006</v>
      </c>
      <c r="EC11" s="25">
        <v>75.099999999999994</v>
      </c>
      <c r="ED11" s="25">
        <v>106.5</v>
      </c>
      <c r="EE11" s="25">
        <v>106.5</v>
      </c>
      <c r="EF11" s="25">
        <v>61.400000000000091</v>
      </c>
      <c r="EG11" s="25">
        <v>0</v>
      </c>
      <c r="EH11" s="25">
        <v>0</v>
      </c>
      <c r="EI11" s="25">
        <v>0</v>
      </c>
    </row>
    <row r="12" spans="1:140" s="25" customFormat="1" ht="13" x14ac:dyDescent="0.3">
      <c r="A12">
        <f t="shared" si="15"/>
        <v>9</v>
      </c>
      <c r="B12" t="s">
        <v>1096</v>
      </c>
      <c r="C12" t="s">
        <v>32</v>
      </c>
      <c r="D12" t="s">
        <v>1384</v>
      </c>
      <c r="E12">
        <v>1</v>
      </c>
      <c r="G12" s="31">
        <f t="shared" si="16"/>
        <v>59847</v>
      </c>
      <c r="H12" s="31"/>
      <c r="I12" s="27">
        <v>942</v>
      </c>
      <c r="J12" s="27">
        <v>3774</v>
      </c>
      <c r="K12" s="27">
        <v>4948</v>
      </c>
      <c r="L12" s="27">
        <v>6735</v>
      </c>
      <c r="M12" s="27">
        <v>7204</v>
      </c>
      <c r="N12" s="27">
        <v>6992</v>
      </c>
      <c r="O12" s="27">
        <v>7523</v>
      </c>
      <c r="P12" s="27">
        <f t="shared" si="17"/>
        <v>7879</v>
      </c>
      <c r="Q12" s="30">
        <f t="shared" si="18"/>
        <v>8610</v>
      </c>
      <c r="R12" s="30">
        <f t="shared" si="19"/>
        <v>9127</v>
      </c>
      <c r="S12" s="30">
        <f t="shared" si="20"/>
        <v>0</v>
      </c>
      <c r="T12" s="30">
        <f t="shared" si="21"/>
        <v>0</v>
      </c>
      <c r="U12" s="30">
        <f t="shared" si="22"/>
        <v>0</v>
      </c>
      <c r="V12" s="30">
        <f t="shared" si="23"/>
        <v>0</v>
      </c>
      <c r="W12" s="30"/>
      <c r="X12" s="30"/>
      <c r="Y12" s="30"/>
      <c r="Z12" s="30"/>
      <c r="AA12" s="30"/>
      <c r="AC12" s="27">
        <v>1</v>
      </c>
      <c r="AD12" s="27">
        <v>5</v>
      </c>
      <c r="AE12" s="27">
        <v>40</v>
      </c>
      <c r="AF12" s="27">
        <v>122</v>
      </c>
      <c r="AG12" s="27">
        <v>305</v>
      </c>
      <c r="AH12" s="27">
        <v>475</v>
      </c>
      <c r="AI12" s="27">
        <v>704</v>
      </c>
      <c r="AJ12" s="27">
        <v>840</v>
      </c>
      <c r="AK12" s="27">
        <v>920</v>
      </c>
      <c r="AL12" s="27">
        <v>1310</v>
      </c>
      <c r="AM12" s="27">
        <v>1127</v>
      </c>
      <c r="AN12" s="27">
        <v>1195</v>
      </c>
      <c r="AO12" s="27">
        <v>1265</v>
      </c>
      <c r="AP12" s="27">
        <v>1361</v>
      </c>
      <c r="AQ12" s="27">
        <v>1511</v>
      </c>
      <c r="AR12" s="27">
        <v>1627</v>
      </c>
      <c r="AS12" s="27">
        <v>1793</v>
      </c>
      <c r="AT12" s="27">
        <v>1804</v>
      </c>
      <c r="AU12" s="27">
        <v>1801</v>
      </c>
      <c r="AV12" s="27">
        <v>1823</v>
      </c>
      <c r="AW12" s="27">
        <v>1817</v>
      </c>
      <c r="AX12" s="27">
        <v>1763</v>
      </c>
      <c r="AY12" s="27">
        <v>1766</v>
      </c>
      <c r="AZ12" s="27">
        <v>1653</v>
      </c>
      <c r="BA12" s="27">
        <v>1780</v>
      </c>
      <c r="BB12" s="27">
        <v>1793</v>
      </c>
      <c r="BC12" s="27">
        <v>1720</v>
      </c>
      <c r="BD12" s="27">
        <v>1910</v>
      </c>
      <c r="BE12" s="27">
        <v>1905</v>
      </c>
      <c r="BF12" s="27">
        <v>1988</v>
      </c>
      <c r="BG12" s="27">
        <v>1923</v>
      </c>
      <c r="BH12" s="27">
        <v>2063</v>
      </c>
      <c r="BI12" s="27">
        <v>2047</v>
      </c>
      <c r="BJ12" s="27">
        <v>2216</v>
      </c>
      <c r="BK12" s="27">
        <v>2202</v>
      </c>
      <c r="BL12" s="27">
        <v>2145</v>
      </c>
      <c r="BM12" s="27">
        <v>2275</v>
      </c>
      <c r="BN12" s="27">
        <v>2387</v>
      </c>
      <c r="BO12" s="27">
        <v>2078</v>
      </c>
      <c r="BP12" s="27">
        <v>2387</v>
      </c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</row>
    <row r="13" spans="1:140" s="25" customFormat="1" ht="13" x14ac:dyDescent="0.3">
      <c r="A13">
        <f t="shared" si="15"/>
        <v>10</v>
      </c>
      <c r="B13" t="s">
        <v>1372</v>
      </c>
      <c r="C13" t="s">
        <v>46</v>
      </c>
      <c r="D13" t="s">
        <v>1387</v>
      </c>
      <c r="E13"/>
      <c r="F13"/>
      <c r="G13" s="31">
        <f t="shared" si="16"/>
        <v>50224</v>
      </c>
      <c r="H13" s="31"/>
      <c r="I13" s="30">
        <f>SUM(AC13:AF13)</f>
        <v>1184</v>
      </c>
      <c r="J13" s="30">
        <f>SUM(AG13:AJ13)</f>
        <v>4738</v>
      </c>
      <c r="K13" s="30">
        <f>SUM(AK13:AN13)</f>
        <v>7259</v>
      </c>
      <c r="L13" s="30">
        <f>SUM(AO13:AR13)</f>
        <v>8624</v>
      </c>
      <c r="M13" s="30">
        <f>SUM(AS13:AV13)</f>
        <v>10391</v>
      </c>
      <c r="N13" s="30">
        <f>SUM(AW13:AZ13)</f>
        <v>11850</v>
      </c>
      <c r="O13" s="30">
        <f>SUM(BA13:BD13)</f>
        <v>6178</v>
      </c>
      <c r="P13" s="30">
        <f t="shared" si="17"/>
        <v>0</v>
      </c>
      <c r="Q13" s="30">
        <f t="shared" si="18"/>
        <v>0</v>
      </c>
      <c r="R13" s="30">
        <f t="shared" si="19"/>
        <v>0</v>
      </c>
      <c r="S13" s="30">
        <f t="shared" si="20"/>
        <v>0</v>
      </c>
      <c r="T13" s="30">
        <f t="shared" si="21"/>
        <v>0</v>
      </c>
      <c r="U13" s="30">
        <f t="shared" si="22"/>
        <v>0</v>
      </c>
      <c r="V13" s="30">
        <f t="shared" si="23"/>
        <v>0</v>
      </c>
      <c r="W13" s="30"/>
      <c r="X13" s="30"/>
      <c r="Y13" s="30"/>
      <c r="Z13" s="30"/>
      <c r="AA13" s="30"/>
      <c r="AB13"/>
      <c r="AC13" s="30">
        <v>35</v>
      </c>
      <c r="AD13" s="30">
        <v>185</v>
      </c>
      <c r="AE13" s="30">
        <v>386</v>
      </c>
      <c r="AF13" s="31">
        <v>578</v>
      </c>
      <c r="AG13">
        <v>793</v>
      </c>
      <c r="AH13">
        <v>1116</v>
      </c>
      <c r="AI13">
        <v>1259</v>
      </c>
      <c r="AJ13">
        <v>1570</v>
      </c>
      <c r="AK13">
        <v>1693</v>
      </c>
      <c r="AL13">
        <v>1604</v>
      </c>
      <c r="AM13">
        <v>1891</v>
      </c>
      <c r="AN13">
        <v>2071</v>
      </c>
      <c r="AO13">
        <v>1824</v>
      </c>
      <c r="AP13">
        <v>1994</v>
      </c>
      <c r="AQ13">
        <v>2276</v>
      </c>
      <c r="AR13">
        <v>2530</v>
      </c>
      <c r="AS13">
        <v>2151</v>
      </c>
      <c r="AT13">
        <v>2556</v>
      </c>
      <c r="AU13">
        <v>2766</v>
      </c>
      <c r="AV13">
        <v>2918</v>
      </c>
      <c r="AW13">
        <v>2677</v>
      </c>
      <c r="AX13">
        <v>2979</v>
      </c>
      <c r="AY13">
        <v>3085</v>
      </c>
      <c r="AZ13">
        <v>3109</v>
      </c>
      <c r="BA13">
        <v>2946</v>
      </c>
      <c r="BB13">
        <v>3232</v>
      </c>
      <c r="BC13"/>
      <c r="BD13"/>
      <c r="BE13"/>
      <c r="BF13" s="31"/>
      <c r="BG13" s="31"/>
      <c r="BH13" s="31"/>
      <c r="BI13" s="31"/>
      <c r="BJ13" s="31"/>
      <c r="BK13" s="31"/>
      <c r="BL13" s="31"/>
      <c r="BM13" s="31"/>
      <c r="BN13" s="31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</row>
    <row r="14" spans="1:140" x14ac:dyDescent="0.25">
      <c r="A14">
        <f t="shared" si="15"/>
        <v>11</v>
      </c>
      <c r="B14" t="s">
        <v>1420</v>
      </c>
      <c r="C14" t="s">
        <v>20</v>
      </c>
      <c r="D14" t="s">
        <v>1388</v>
      </c>
      <c r="G14" s="31">
        <f>SUM(AC14:FZ14)</f>
        <v>48471.866666666661</v>
      </c>
      <c r="H14" s="31"/>
      <c r="I14" s="30">
        <f t="shared" ref="I14" si="40">SUM(AC14:AF14)</f>
        <v>11</v>
      </c>
      <c r="J14" s="30">
        <f t="shared" ref="J14" si="41">SUM(AG14:AJ14)</f>
        <v>80</v>
      </c>
      <c r="K14" s="30">
        <f t="shared" ref="K14" si="42">SUM(AK14:AN14)</f>
        <v>167.5</v>
      </c>
      <c r="L14" s="30">
        <f t="shared" ref="L14" si="43">SUM(AO14:AR14)</f>
        <v>280.40000000000003</v>
      </c>
      <c r="M14" s="30">
        <f t="shared" ref="M14" si="44">SUM(AS14:AV14)</f>
        <v>472.20000000000005</v>
      </c>
      <c r="N14" s="30">
        <f t="shared" ref="N14" si="45">SUM(AW14:AZ14)</f>
        <v>739.2</v>
      </c>
      <c r="O14" s="30">
        <f t="shared" ref="O14" si="46">SUM(BA14:BD14)</f>
        <v>954.9</v>
      </c>
      <c r="P14" s="30">
        <f t="shared" ref="P14" si="47">SUM(BE14:BH14)</f>
        <v>1069.5999999999999</v>
      </c>
      <c r="Q14" s="30">
        <f t="shared" ref="Q14" si="48">SUM(BI14:BL14)</f>
        <v>1131.6000000000001</v>
      </c>
      <c r="R14" s="30">
        <f t="shared" ref="R14" si="49">SUM(BM14:BP14)</f>
        <v>1241.7666666666667</v>
      </c>
      <c r="S14" s="30">
        <f t="shared" ref="S14" si="50">SUM(BQ14:BT14)</f>
        <v>1372.1</v>
      </c>
      <c r="T14" s="30">
        <f t="shared" ref="T14" si="51">SUM(BU14:BX14)</f>
        <v>1622</v>
      </c>
      <c r="U14" s="30">
        <f t="shared" ref="U14" si="52">SUM(BY14:CB14)</f>
        <v>1818.6</v>
      </c>
      <c r="V14" s="30">
        <f t="shared" ref="V14" si="53">SUM(CC14:CF14)</f>
        <v>2042</v>
      </c>
      <c r="W14" s="30">
        <f>SUM(CG14:CJ14)</f>
        <v>2155.4</v>
      </c>
      <c r="X14" s="30">
        <f>SUM(CK14:CN14)</f>
        <v>2458.9</v>
      </c>
      <c r="Y14" s="30">
        <f>SUM(CO14:CR14)</f>
        <v>2453.1</v>
      </c>
      <c r="Z14" s="30">
        <f>SUM(CS14:CV14)</f>
        <v>2700</v>
      </c>
      <c r="AA14" s="30">
        <f>SUM(CW14:CZ14)</f>
        <v>2773.5</v>
      </c>
      <c r="AC14" s="30">
        <v>1</v>
      </c>
      <c r="AD14" s="30">
        <v>2</v>
      </c>
      <c r="AE14" s="30">
        <v>3</v>
      </c>
      <c r="AF14">
        <v>5</v>
      </c>
      <c r="AG14">
        <v>10</v>
      </c>
      <c r="AH14">
        <v>15</v>
      </c>
      <c r="AI14">
        <v>25</v>
      </c>
      <c r="AJ14">
        <v>30</v>
      </c>
      <c r="AK14">
        <v>32</v>
      </c>
      <c r="AL14">
        <v>42.599999999999994</v>
      </c>
      <c r="AM14">
        <v>42.5</v>
      </c>
      <c r="AN14">
        <v>50.4</v>
      </c>
      <c r="AO14">
        <v>58.7</v>
      </c>
      <c r="AP14">
        <v>72.900000000000006</v>
      </c>
      <c r="AQ14">
        <v>72.099999999999994</v>
      </c>
      <c r="AR14">
        <v>76.7</v>
      </c>
      <c r="AS14">
        <v>90.6</v>
      </c>
      <c r="AT14">
        <v>110.80000000000004</v>
      </c>
      <c r="AU14">
        <v>125.2</v>
      </c>
      <c r="AV14">
        <v>145.6</v>
      </c>
      <c r="AW14">
        <v>164.3</v>
      </c>
      <c r="AX14">
        <v>192.7</v>
      </c>
      <c r="AY14">
        <v>177.4</v>
      </c>
      <c r="AZ14">
        <v>204.8</v>
      </c>
      <c r="BA14">
        <v>214.1</v>
      </c>
      <c r="BB14">
        <v>237.9</v>
      </c>
      <c r="BC14">
        <v>248.8</v>
      </c>
      <c r="BD14">
        <v>254.1</v>
      </c>
      <c r="BE14">
        <v>240.2</v>
      </c>
      <c r="BF14" s="31">
        <v>276.89999999999992</v>
      </c>
      <c r="BG14" s="31">
        <v>267.2</v>
      </c>
      <c r="BH14" s="31">
        <v>285.3</v>
      </c>
      <c r="BI14" s="31">
        <v>264.60000000000002</v>
      </c>
      <c r="BJ14" s="31">
        <v>284.60000000000002</v>
      </c>
      <c r="BK14" s="31">
        <v>286.2</v>
      </c>
      <c r="BL14" s="31">
        <v>296.2</v>
      </c>
      <c r="BM14" s="31">
        <v>306.66666666666663</v>
      </c>
      <c r="BN14" s="31">
        <v>309.10000000000002</v>
      </c>
      <c r="BO14">
        <v>305</v>
      </c>
      <c r="BP14">
        <v>321</v>
      </c>
      <c r="BQ14">
        <v>322</v>
      </c>
      <c r="BR14">
        <v>352.2</v>
      </c>
      <c r="BS14">
        <v>339.5</v>
      </c>
      <c r="BT14">
        <v>358.4</v>
      </c>
      <c r="BU14">
        <v>362.5</v>
      </c>
      <c r="BV14">
        <v>414.2</v>
      </c>
      <c r="BW14">
        <v>407.4</v>
      </c>
      <c r="BX14">
        <v>437.9</v>
      </c>
      <c r="BY14">
        <v>432.6</v>
      </c>
      <c r="BZ14">
        <v>457.9</v>
      </c>
      <c r="CA14">
        <v>450.6</v>
      </c>
      <c r="CB14">
        <v>477.5</v>
      </c>
      <c r="CC14">
        <v>500.2</v>
      </c>
      <c r="CD14">
        <v>530.79999999999995</v>
      </c>
      <c r="CE14">
        <v>506.4</v>
      </c>
      <c r="CF14">
        <v>504.6</v>
      </c>
      <c r="CG14">
        <v>494</v>
      </c>
      <c r="CH14">
        <v>549.1</v>
      </c>
      <c r="CI14">
        <v>525.4</v>
      </c>
      <c r="CJ14">
        <v>586.9</v>
      </c>
      <c r="CK14">
        <v>593.20000000000005</v>
      </c>
      <c r="CL14">
        <v>662</v>
      </c>
      <c r="CM14">
        <v>590.29999999999995</v>
      </c>
      <c r="CN14">
        <v>613.4</v>
      </c>
      <c r="CO14">
        <v>575.79999999999995</v>
      </c>
      <c r="CP14">
        <v>616</v>
      </c>
      <c r="CQ14">
        <v>632.70000000000005</v>
      </c>
      <c r="CR14">
        <v>628.6</v>
      </c>
      <c r="CS14">
        <v>616</v>
      </c>
      <c r="CT14">
        <v>733.9</v>
      </c>
      <c r="CU14">
        <v>650</v>
      </c>
      <c r="CV14">
        <v>700.1</v>
      </c>
      <c r="CW14">
        <v>706.1</v>
      </c>
      <c r="CX14">
        <v>729.1</v>
      </c>
      <c r="CY14">
        <v>684</v>
      </c>
      <c r="CZ14">
        <v>654.29999999999995</v>
      </c>
      <c r="DA14">
        <v>705</v>
      </c>
      <c r="DB14">
        <v>798.7</v>
      </c>
      <c r="DC14">
        <v>606.29999999999995</v>
      </c>
      <c r="DD14">
        <v>701.9</v>
      </c>
      <c r="DE14">
        <v>640.79999999999995</v>
      </c>
      <c r="DF14">
        <v>819.8</v>
      </c>
      <c r="DG14">
        <v>708.4</v>
      </c>
      <c r="DH14">
        <v>678.4</v>
      </c>
      <c r="DI14">
        <v>696.2</v>
      </c>
      <c r="DJ14">
        <v>782.2</v>
      </c>
      <c r="DK14">
        <v>791.7</v>
      </c>
      <c r="DL14">
        <v>769.8</v>
      </c>
      <c r="DM14">
        <v>664.6</v>
      </c>
      <c r="DN14">
        <v>770.4</v>
      </c>
      <c r="DO14">
        <v>730.8</v>
      </c>
      <c r="DP14">
        <v>677.6</v>
      </c>
      <c r="DQ14">
        <v>648.9</v>
      </c>
      <c r="DR14">
        <v>763.4</v>
      </c>
      <c r="DS14">
        <v>695.8</v>
      </c>
      <c r="DT14">
        <v>555.1</v>
      </c>
      <c r="DU14">
        <v>656.9</v>
      </c>
      <c r="DV14">
        <v>718.1</v>
      </c>
      <c r="DW14">
        <v>617.09999999999991</v>
      </c>
      <c r="DX14">
        <v>607.6</v>
      </c>
      <c r="DY14">
        <v>626.70000000000005</v>
      </c>
      <c r="DZ14">
        <v>601.70000000000005</v>
      </c>
      <c r="EA14">
        <v>618.20000000000005</v>
      </c>
      <c r="EB14">
        <v>447.1</v>
      </c>
      <c r="EC14">
        <v>447</v>
      </c>
      <c r="ED14">
        <v>548.29999999999995</v>
      </c>
      <c r="EE14">
        <v>460.9</v>
      </c>
      <c r="EF14">
        <v>440.4</v>
      </c>
      <c r="EG14">
        <v>395.4</v>
      </c>
      <c r="EH14">
        <v>366.6</v>
      </c>
      <c r="EI14">
        <v>538.70000000000005</v>
      </c>
      <c r="EJ14">
        <v>631.6</v>
      </c>
    </row>
    <row r="15" spans="1:140" s="25" customFormat="1" ht="13" x14ac:dyDescent="0.3">
      <c r="A15">
        <f t="shared" si="15"/>
        <v>12</v>
      </c>
      <c r="B15" t="s">
        <v>652</v>
      </c>
      <c r="C15" t="s">
        <v>15</v>
      </c>
      <c r="D15" t="s">
        <v>1384</v>
      </c>
      <c r="E15">
        <v>1</v>
      </c>
      <c r="F15"/>
      <c r="G15" s="31">
        <f>SUM(AC15:FZ15)</f>
        <v>43368</v>
      </c>
      <c r="H15" s="31"/>
      <c r="I15" s="30">
        <f>SUM(AC15:AF15)</f>
        <v>383</v>
      </c>
      <c r="J15" s="30">
        <f>SUM(AG15:AJ15)</f>
        <v>1071</v>
      </c>
      <c r="K15" s="30">
        <f>SUM(AK15:AN15)</f>
        <v>1812</v>
      </c>
      <c r="L15" s="30">
        <f>SUM(AO15:AR15)</f>
        <v>2752</v>
      </c>
      <c r="M15" s="30">
        <f>SUM(AS15:AV15)</f>
        <v>3767</v>
      </c>
      <c r="N15" s="30">
        <f>SUM(AW15:AZ15)</f>
        <v>5631</v>
      </c>
      <c r="O15" s="30">
        <f>SUM(BA15:BD15)</f>
        <v>7539</v>
      </c>
      <c r="P15" s="30">
        <f>SUM(BE15:BH15)</f>
        <v>9277</v>
      </c>
      <c r="Q15" s="30">
        <f>SUM(BI15:BL15)</f>
        <v>11136</v>
      </c>
      <c r="R15" s="30">
        <f>SUM(BM15:BP15)</f>
        <v>0</v>
      </c>
      <c r="S15" s="30">
        <f>SUM(BQ15:BT15)</f>
        <v>0</v>
      </c>
      <c r="T15" s="30">
        <f>SUM(BU15:BX15)</f>
        <v>0</v>
      </c>
      <c r="U15" s="30">
        <f>SUM(BY15:CB15)</f>
        <v>0</v>
      </c>
      <c r="V15" s="30">
        <f>SUM(CC15:CF15)</f>
        <v>0</v>
      </c>
      <c r="W15" s="30"/>
      <c r="X15" s="30"/>
      <c r="Y15" s="30"/>
      <c r="Z15" s="30"/>
      <c r="AA15" s="30"/>
      <c r="AB15"/>
      <c r="AC15" s="30">
        <v>20</v>
      </c>
      <c r="AD15" s="30">
        <v>101</v>
      </c>
      <c r="AE15" s="30">
        <v>108</v>
      </c>
      <c r="AF15" s="34">
        <f>AVERAGE(AE15,AG15)</f>
        <v>154</v>
      </c>
      <c r="AG15">
        <v>200</v>
      </c>
      <c r="AH15">
        <v>255</v>
      </c>
      <c r="AI15">
        <v>299</v>
      </c>
      <c r="AJ15">
        <v>317</v>
      </c>
      <c r="AK15">
        <v>371</v>
      </c>
      <c r="AL15">
        <v>432</v>
      </c>
      <c r="AM15">
        <v>511</v>
      </c>
      <c r="AN15">
        <v>498</v>
      </c>
      <c r="AO15">
        <v>584</v>
      </c>
      <c r="AP15">
        <v>629</v>
      </c>
      <c r="AQ15">
        <v>774</v>
      </c>
      <c r="AR15">
        <v>765</v>
      </c>
      <c r="AS15">
        <v>830</v>
      </c>
      <c r="AT15">
        <v>937</v>
      </c>
      <c r="AU15">
        <v>901</v>
      </c>
      <c r="AV15">
        <v>1099</v>
      </c>
      <c r="AW15">
        <v>1253</v>
      </c>
      <c r="AX15">
        <v>1365</v>
      </c>
      <c r="AY15">
        <v>1433</v>
      </c>
      <c r="AZ15">
        <v>1580</v>
      </c>
      <c r="BA15">
        <v>1645</v>
      </c>
      <c r="BB15">
        <v>1856</v>
      </c>
      <c r="BC15">
        <v>1986</v>
      </c>
      <c r="BD15">
        <v>2052</v>
      </c>
      <c r="BE15">
        <v>2083</v>
      </c>
      <c r="BF15" s="31">
        <v>2264</v>
      </c>
      <c r="BG15" s="30">
        <v>2431</v>
      </c>
      <c r="BH15" s="30">
        <v>2499</v>
      </c>
      <c r="BI15" s="30">
        <v>2550</v>
      </c>
      <c r="BJ15" s="30">
        <v>2692</v>
      </c>
      <c r="BK15" s="30">
        <v>2878</v>
      </c>
      <c r="BL15" s="30">
        <v>3016</v>
      </c>
      <c r="BM15" s="31"/>
      <c r="BN15" s="31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</row>
    <row r="16" spans="1:140" ht="13" x14ac:dyDescent="0.3">
      <c r="A16">
        <f t="shared" si="15"/>
        <v>13</v>
      </c>
      <c r="B16" t="s">
        <v>655</v>
      </c>
      <c r="C16" t="s">
        <v>28</v>
      </c>
      <c r="D16" t="s">
        <v>1389</v>
      </c>
      <c r="E16" s="25">
        <v>1</v>
      </c>
      <c r="G16" s="31">
        <f t="shared" ref="G16:G65" si="54">SUM(AC16:FZ16)</f>
        <v>41658</v>
      </c>
      <c r="H16" s="31"/>
      <c r="I16" s="30">
        <f>SUM(AC16:AF16)</f>
        <v>600</v>
      </c>
      <c r="J16" s="30">
        <f>SUM(AG16:AJ16)</f>
        <v>1616</v>
      </c>
      <c r="K16" s="30">
        <f>SUM(AK16:AN16)</f>
        <v>1400</v>
      </c>
      <c r="L16" s="30">
        <f>SUM(AO16:AR16)</f>
        <v>1089</v>
      </c>
      <c r="M16" s="30">
        <f>SUM(AS16:AV16)</f>
        <v>970</v>
      </c>
      <c r="N16" s="30">
        <f>SUM(AW16:AZ16)</f>
        <v>1280</v>
      </c>
      <c r="O16" s="30">
        <f>SUM(BA16:BD16)</f>
        <v>1737</v>
      </c>
      <c r="P16" s="30">
        <f>SUM(BE16:BH16)</f>
        <v>1825</v>
      </c>
      <c r="Q16" s="30">
        <f>SUM(BI16:BL16)</f>
        <v>1714</v>
      </c>
      <c r="R16" s="30">
        <f>SUM(BM16:BP16)</f>
        <v>1927</v>
      </c>
      <c r="S16" s="30">
        <f>SUM(BQ16:BT16)</f>
        <v>2327</v>
      </c>
      <c r="T16" s="30">
        <f>SUM(BU16:BX16)</f>
        <v>2437</v>
      </c>
      <c r="U16" s="30">
        <f>SUM(BY16:CB16)</f>
        <v>3329</v>
      </c>
      <c r="V16" s="30">
        <f>SUM(CC16:CF16)</f>
        <v>3996</v>
      </c>
      <c r="W16" s="30"/>
      <c r="X16" s="30"/>
      <c r="Y16" s="30"/>
      <c r="Z16" s="30"/>
      <c r="AA16" s="30"/>
      <c r="AC16" s="30">
        <v>10</v>
      </c>
      <c r="AD16" s="30">
        <v>70</v>
      </c>
      <c r="AE16" s="30">
        <v>155</v>
      </c>
      <c r="AF16">
        <v>365</v>
      </c>
      <c r="AG16">
        <v>358</v>
      </c>
      <c r="AH16">
        <v>418</v>
      </c>
      <c r="AI16">
        <v>450</v>
      </c>
      <c r="AJ16">
        <v>390</v>
      </c>
      <c r="AK16">
        <v>326</v>
      </c>
      <c r="AL16">
        <v>401</v>
      </c>
      <c r="AM16">
        <v>411</v>
      </c>
      <c r="AN16">
        <v>262</v>
      </c>
      <c r="AO16">
        <v>268</v>
      </c>
      <c r="AP16">
        <v>311</v>
      </c>
      <c r="AQ16">
        <v>277</v>
      </c>
      <c r="AR16">
        <v>233</v>
      </c>
      <c r="AS16">
        <v>219</v>
      </c>
      <c r="AT16">
        <v>316</v>
      </c>
      <c r="AU16">
        <v>221</v>
      </c>
      <c r="AV16">
        <v>214</v>
      </c>
      <c r="AW16">
        <v>277</v>
      </c>
      <c r="AX16">
        <v>445</v>
      </c>
      <c r="AY16">
        <v>274</v>
      </c>
      <c r="AZ16">
        <v>284</v>
      </c>
      <c r="BA16">
        <v>324</v>
      </c>
      <c r="BB16">
        <v>581</v>
      </c>
      <c r="BC16">
        <v>442</v>
      </c>
      <c r="BD16">
        <v>390</v>
      </c>
      <c r="BE16">
        <v>383</v>
      </c>
      <c r="BF16" s="31">
        <v>665</v>
      </c>
      <c r="BG16" s="31">
        <v>394</v>
      </c>
      <c r="BH16" s="31">
        <v>383</v>
      </c>
      <c r="BI16" s="31">
        <v>409</v>
      </c>
      <c r="BJ16" s="31">
        <v>590</v>
      </c>
      <c r="BK16" s="31">
        <v>356</v>
      </c>
      <c r="BL16" s="31">
        <v>359</v>
      </c>
      <c r="BM16" s="31">
        <v>427</v>
      </c>
      <c r="BN16" s="31">
        <v>625</v>
      </c>
      <c r="BO16">
        <v>497</v>
      </c>
      <c r="BP16">
        <v>378</v>
      </c>
      <c r="BQ16">
        <v>393</v>
      </c>
      <c r="BR16">
        <v>860</v>
      </c>
      <c r="BS16">
        <v>542</v>
      </c>
      <c r="BT16">
        <v>532</v>
      </c>
      <c r="BU16">
        <v>469</v>
      </c>
      <c r="BV16">
        <v>675</v>
      </c>
      <c r="BW16">
        <v>633</v>
      </c>
      <c r="BX16">
        <v>660</v>
      </c>
      <c r="BY16">
        <v>608</v>
      </c>
      <c r="BZ16">
        <v>1048</v>
      </c>
      <c r="CA16">
        <v>835</v>
      </c>
      <c r="CB16">
        <v>838</v>
      </c>
      <c r="CC16">
        <v>886</v>
      </c>
      <c r="CD16">
        <v>1320</v>
      </c>
      <c r="CE16">
        <v>693</v>
      </c>
      <c r="CF16">
        <v>1097</v>
      </c>
      <c r="CG16">
        <v>656</v>
      </c>
      <c r="CH16">
        <v>1187</v>
      </c>
      <c r="CI16">
        <v>998</v>
      </c>
      <c r="CJ16">
        <v>917</v>
      </c>
      <c r="CK16">
        <v>1234</v>
      </c>
      <c r="CL16">
        <v>1993</v>
      </c>
      <c r="CM16">
        <v>1528</v>
      </c>
      <c r="CN16">
        <v>1460</v>
      </c>
      <c r="CO16">
        <v>1674</v>
      </c>
      <c r="CP16">
        <v>2294</v>
      </c>
      <c r="CQ16">
        <v>1470</v>
      </c>
    </row>
    <row r="17" spans="1:117" x14ac:dyDescent="0.25">
      <c r="A17">
        <f t="shared" si="15"/>
        <v>14</v>
      </c>
      <c r="B17" t="s">
        <v>1381</v>
      </c>
      <c r="C17" t="s">
        <v>24</v>
      </c>
      <c r="D17" t="s">
        <v>1384</v>
      </c>
      <c r="E17">
        <v>1</v>
      </c>
      <c r="G17" s="31">
        <f t="shared" si="54"/>
        <v>37946</v>
      </c>
      <c r="H17" s="31"/>
      <c r="I17" s="30">
        <f t="shared" ref="I17:I44" si="55">SUM(AC17:AF17)</f>
        <v>723</v>
      </c>
      <c r="J17" s="30">
        <f t="shared" ref="J17:J44" si="56">SUM(AG17:AJ17)</f>
        <v>2136</v>
      </c>
      <c r="K17" s="30">
        <f t="shared" ref="K17:K44" si="57">SUM(AK17:AN17)</f>
        <v>3126</v>
      </c>
      <c r="L17" s="30">
        <f t="shared" ref="L17:L44" si="58">SUM(AO17:AR17)</f>
        <v>4118</v>
      </c>
      <c r="M17" s="30">
        <f t="shared" ref="M17:M44" si="59">SUM(AS17:AV17)</f>
        <v>4960</v>
      </c>
      <c r="N17" s="30">
        <f t="shared" ref="N17:N44" si="60">SUM(AW17:AZ17)</f>
        <v>5390</v>
      </c>
      <c r="O17" s="30">
        <f t="shared" ref="O17:O44" si="61">SUM(BA17:BD17)</f>
        <v>5437</v>
      </c>
      <c r="P17" s="30">
        <f t="shared" ref="P17:P44" si="62">SUM(BE17:BH17)</f>
        <v>5119</v>
      </c>
      <c r="Q17" s="30">
        <f t="shared" ref="Q17:Q44" si="63">SUM(BI17:BL17)</f>
        <v>4753</v>
      </c>
      <c r="R17" s="30">
        <f t="shared" ref="R17:R44" si="64">SUM(BM17:BP17)</f>
        <v>2184</v>
      </c>
      <c r="S17" s="30">
        <f t="shared" ref="S17:S44" si="65">SUM(BQ17:BT17)</f>
        <v>0</v>
      </c>
      <c r="T17" s="30">
        <f t="shared" ref="T17:T44" si="66">SUM(BU17:BX17)</f>
        <v>0</v>
      </c>
      <c r="U17" s="30">
        <f t="shared" si="22"/>
        <v>0</v>
      </c>
      <c r="V17" s="30">
        <f t="shared" si="23"/>
        <v>0</v>
      </c>
      <c r="W17" s="30"/>
      <c r="X17" s="30"/>
      <c r="Y17" s="30"/>
      <c r="Z17" s="30"/>
      <c r="AA17" s="30"/>
      <c r="AC17" s="30">
        <v>38</v>
      </c>
      <c r="AD17" s="30">
        <v>140</v>
      </c>
      <c r="AE17" s="30">
        <v>230</v>
      </c>
      <c r="AF17" s="30">
        <v>315</v>
      </c>
      <c r="AG17" s="30">
        <v>429</v>
      </c>
      <c r="AH17" s="30">
        <v>514</v>
      </c>
      <c r="AI17" s="30">
        <v>550</v>
      </c>
      <c r="AJ17" s="30">
        <v>643</v>
      </c>
      <c r="AK17" s="30">
        <v>679</v>
      </c>
      <c r="AL17" s="30">
        <v>853</v>
      </c>
      <c r="AM17" s="30">
        <v>878</v>
      </c>
      <c r="AN17" s="30">
        <v>716</v>
      </c>
      <c r="AO17" s="30">
        <v>933</v>
      </c>
      <c r="AP17" s="30">
        <v>1027</v>
      </c>
      <c r="AQ17" s="30">
        <v>1025</v>
      </c>
      <c r="AR17" s="30">
        <v>1133</v>
      </c>
      <c r="AS17" s="30">
        <v>1133</v>
      </c>
      <c r="AT17" s="30">
        <v>1261</v>
      </c>
      <c r="AU17" s="30">
        <v>1283</v>
      </c>
      <c r="AV17" s="30">
        <v>1283</v>
      </c>
      <c r="AW17" s="30">
        <v>1248</v>
      </c>
      <c r="AX17" s="30">
        <v>1349</v>
      </c>
      <c r="AY17" s="30">
        <v>1357</v>
      </c>
      <c r="AZ17" s="30">
        <v>1436</v>
      </c>
      <c r="BA17" s="30">
        <v>1254</v>
      </c>
      <c r="BB17" s="30">
        <v>1404</v>
      </c>
      <c r="BC17" s="30">
        <v>1381</v>
      </c>
      <c r="BD17" s="30">
        <v>1398</v>
      </c>
      <c r="BE17" s="30">
        <v>1237</v>
      </c>
      <c r="BF17" s="30">
        <v>1320</v>
      </c>
      <c r="BG17" s="30">
        <v>1283</v>
      </c>
      <c r="BH17" s="30">
        <v>1279</v>
      </c>
      <c r="BI17" s="30">
        <v>1144</v>
      </c>
      <c r="BJ17" s="30">
        <v>1247</v>
      </c>
      <c r="BK17" s="30">
        <v>1244</v>
      </c>
      <c r="BL17" s="30">
        <v>1118</v>
      </c>
      <c r="BM17" s="30">
        <v>1054</v>
      </c>
      <c r="BN17" s="30">
        <v>1130</v>
      </c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  <c r="CD17" s="30"/>
      <c r="CE17" s="30"/>
      <c r="CF17" s="30"/>
      <c r="CG17" s="30"/>
      <c r="CH17" s="30"/>
      <c r="CI17" s="30"/>
    </row>
    <row r="18" spans="1:117" x14ac:dyDescent="0.25">
      <c r="A18">
        <f t="shared" si="15"/>
        <v>15</v>
      </c>
      <c r="B18" t="s">
        <v>1408</v>
      </c>
      <c r="C18" t="s">
        <v>24</v>
      </c>
      <c r="D18" t="s">
        <v>1385</v>
      </c>
      <c r="E18">
        <v>1</v>
      </c>
      <c r="G18" s="31">
        <f t="shared" si="54"/>
        <v>34660</v>
      </c>
      <c r="H18" s="31"/>
      <c r="I18" s="30">
        <f t="shared" ref="I18" si="67">SUM(AC18:AF18)</f>
        <v>963</v>
      </c>
      <c r="J18" s="30">
        <f t="shared" ref="J18" si="68">SUM(AG18:AJ18)</f>
        <v>1155</v>
      </c>
      <c r="K18" s="30">
        <f t="shared" ref="K18" si="69">SUM(AK18:AN18)</f>
        <v>1393</v>
      </c>
      <c r="L18" s="30">
        <f t="shared" ref="L18" si="70">SUM(AO18:AR18)</f>
        <v>1563</v>
      </c>
      <c r="M18" s="30">
        <f t="shared" ref="M18" si="71">SUM(AS18:AV18)</f>
        <v>1788</v>
      </c>
      <c r="N18" s="30">
        <f t="shared" ref="N18" si="72">SUM(AW18:AZ18)</f>
        <v>1820</v>
      </c>
      <c r="O18" s="30">
        <f t="shared" ref="O18" si="73">SUM(BA18:BD18)</f>
        <v>1699</v>
      </c>
      <c r="P18" s="30">
        <f t="shared" ref="P18" si="74">SUM(BE18:BH18)</f>
        <v>1597</v>
      </c>
      <c r="Q18" s="30">
        <f t="shared" ref="Q18" si="75">SUM(BI18:BL18)</f>
        <v>1701</v>
      </c>
      <c r="R18" s="30">
        <f t="shared" ref="R18" si="76">SUM(BM18:BP18)</f>
        <v>1790</v>
      </c>
      <c r="S18" s="30">
        <f t="shared" ref="S18" si="77">SUM(BQ18:BT18)</f>
        <v>1928</v>
      </c>
      <c r="T18" s="30">
        <f t="shared" ref="T18" si="78">SUM(BU18:BX18)</f>
        <v>1917</v>
      </c>
      <c r="U18" s="30">
        <f t="shared" ref="U18" si="79">SUM(BY18:CB18)</f>
        <v>1919</v>
      </c>
      <c r="V18" s="30">
        <f t="shared" ref="V18" si="80">SUM(CC18:CF18)</f>
        <v>2007</v>
      </c>
      <c r="W18" s="30">
        <f>SUM(CG18:CJ18)</f>
        <v>2016</v>
      </c>
      <c r="X18" s="30">
        <f>SUM(CK18:CN18)</f>
        <v>2130</v>
      </c>
      <c r="Y18" s="30"/>
      <c r="Z18" s="30"/>
      <c r="AA18" s="30"/>
      <c r="AC18" s="30">
        <v>402</v>
      </c>
      <c r="AD18" s="30">
        <v>138</v>
      </c>
      <c r="AE18" s="30">
        <v>233</v>
      </c>
      <c r="AF18">
        <v>190</v>
      </c>
      <c r="AG18">
        <v>305</v>
      </c>
      <c r="AH18">
        <v>245</v>
      </c>
      <c r="AI18">
        <v>277</v>
      </c>
      <c r="AJ18">
        <v>328</v>
      </c>
      <c r="AK18">
        <v>304</v>
      </c>
      <c r="AL18">
        <v>332</v>
      </c>
      <c r="AM18">
        <v>380</v>
      </c>
      <c r="AN18">
        <v>377</v>
      </c>
      <c r="AO18">
        <v>351</v>
      </c>
      <c r="AP18">
        <v>375</v>
      </c>
      <c r="AQ18">
        <v>415</v>
      </c>
      <c r="AR18">
        <v>422</v>
      </c>
      <c r="AS18">
        <v>385</v>
      </c>
      <c r="AT18">
        <v>437</v>
      </c>
      <c r="AU18">
        <v>491</v>
      </c>
      <c r="AV18">
        <v>475</v>
      </c>
      <c r="AW18">
        <v>419</v>
      </c>
      <c r="AX18">
        <v>476</v>
      </c>
      <c r="AY18">
        <v>509</v>
      </c>
      <c r="AZ18">
        <v>416</v>
      </c>
      <c r="BA18">
        <v>389</v>
      </c>
      <c r="BB18">
        <v>403</v>
      </c>
      <c r="BC18">
        <v>469</v>
      </c>
      <c r="BD18">
        <v>438</v>
      </c>
      <c r="BE18">
        <v>391</v>
      </c>
      <c r="BF18" s="31">
        <v>386</v>
      </c>
      <c r="BG18" s="31">
        <v>430</v>
      </c>
      <c r="BH18" s="31">
        <v>390</v>
      </c>
      <c r="BI18" s="31">
        <v>394</v>
      </c>
      <c r="BJ18" s="31">
        <v>423</v>
      </c>
      <c r="BK18" s="31">
        <v>450</v>
      </c>
      <c r="BL18" s="31">
        <v>434</v>
      </c>
      <c r="BM18" s="31">
        <v>382</v>
      </c>
      <c r="BN18" s="31">
        <v>450</v>
      </c>
      <c r="BO18">
        <v>498</v>
      </c>
      <c r="BP18">
        <v>460</v>
      </c>
      <c r="BQ18">
        <v>463</v>
      </c>
      <c r="BR18">
        <v>509</v>
      </c>
      <c r="BS18">
        <v>502</v>
      </c>
      <c r="BT18">
        <v>454</v>
      </c>
      <c r="BU18">
        <v>423</v>
      </c>
      <c r="BV18">
        <v>466</v>
      </c>
      <c r="BW18">
        <v>549</v>
      </c>
      <c r="BX18">
        <v>479</v>
      </c>
      <c r="BY18">
        <v>491</v>
      </c>
      <c r="BZ18">
        <v>459</v>
      </c>
      <c r="CA18">
        <v>499</v>
      </c>
      <c r="CB18">
        <v>470</v>
      </c>
      <c r="CC18">
        <v>495</v>
      </c>
      <c r="CD18">
        <v>493</v>
      </c>
      <c r="CE18">
        <v>523</v>
      </c>
      <c r="CF18">
        <v>496</v>
      </c>
      <c r="CG18">
        <v>485</v>
      </c>
      <c r="CH18">
        <v>517</v>
      </c>
      <c r="CI18">
        <v>553</v>
      </c>
      <c r="CJ18">
        <v>461</v>
      </c>
      <c r="CK18">
        <v>484</v>
      </c>
      <c r="CL18">
        <v>460</v>
      </c>
      <c r="CM18">
        <v>812</v>
      </c>
      <c r="CN18">
        <v>374</v>
      </c>
      <c r="CO18">
        <v>427</v>
      </c>
      <c r="CP18">
        <v>427</v>
      </c>
      <c r="CQ18">
        <v>464</v>
      </c>
      <c r="CR18">
        <v>396</v>
      </c>
      <c r="CS18">
        <v>448</v>
      </c>
      <c r="CT18">
        <v>430</v>
      </c>
      <c r="CU18">
        <v>434</v>
      </c>
      <c r="CV18">
        <v>396</v>
      </c>
      <c r="CW18">
        <v>401</v>
      </c>
      <c r="CX18">
        <v>386</v>
      </c>
      <c r="CY18">
        <v>381</v>
      </c>
      <c r="CZ18">
        <v>338</v>
      </c>
      <c r="DA18">
        <v>348</v>
      </c>
      <c r="DB18">
        <v>308</v>
      </c>
      <c r="DC18">
        <v>265</v>
      </c>
      <c r="DD18">
        <v>249</v>
      </c>
      <c r="DE18">
        <v>193</v>
      </c>
      <c r="DF18">
        <v>137</v>
      </c>
      <c r="DG18">
        <v>127</v>
      </c>
      <c r="DH18">
        <v>145</v>
      </c>
      <c r="DI18">
        <v>114</v>
      </c>
      <c r="DJ18">
        <v>120</v>
      </c>
      <c r="DK18">
        <v>119</v>
      </c>
      <c r="DL18">
        <v>127</v>
      </c>
      <c r="DM18">
        <v>94</v>
      </c>
    </row>
    <row r="19" spans="1:117" x14ac:dyDescent="0.25">
      <c r="A19">
        <f t="shared" si="15"/>
        <v>16</v>
      </c>
      <c r="B19" t="s">
        <v>647</v>
      </c>
      <c r="C19" t="s">
        <v>20</v>
      </c>
      <c r="D19" t="s">
        <v>1384</v>
      </c>
      <c r="G19" s="31">
        <f t="shared" si="54"/>
        <v>34155.5</v>
      </c>
      <c r="H19" s="31"/>
      <c r="I19" s="30">
        <f>SUM(AC19:AF19)</f>
        <v>142.5</v>
      </c>
      <c r="J19" s="30">
        <f>SUM(AG19:AJ19)</f>
        <v>463.20000000000005</v>
      </c>
      <c r="K19" s="30">
        <f>SUM(AK19:AN19)</f>
        <v>611.4</v>
      </c>
      <c r="L19" s="30">
        <f>SUM(AO19:AR19)</f>
        <v>854</v>
      </c>
      <c r="M19" s="30">
        <f>SUM(AS19:AV19)</f>
        <v>1154.8</v>
      </c>
      <c r="N19" s="30">
        <f>SUM(AW19:AZ19)</f>
        <v>1706.1</v>
      </c>
      <c r="O19" s="30">
        <f>SUM(BA19:BD19)</f>
        <v>2208.5</v>
      </c>
      <c r="P19" s="30">
        <f>SUM(BE19:BH19)</f>
        <v>2461.1</v>
      </c>
      <c r="Q19" s="30">
        <f>SUM(BI19:BL19)</f>
        <v>2594.1999999999998</v>
      </c>
      <c r="R19" s="30">
        <f>SUM(BM19:BP19)</f>
        <v>2702.8999999999996</v>
      </c>
      <c r="S19" s="30">
        <f>SUM(BQ19:BT19)</f>
        <v>2792</v>
      </c>
      <c r="T19" s="30">
        <f>SUM(BU19:BX19)</f>
        <v>2493</v>
      </c>
      <c r="U19" s="30">
        <f>SUM(BY19:CB19)</f>
        <v>2283.3000000000002</v>
      </c>
      <c r="V19" s="30">
        <f>SUM(CC19:CF19)</f>
        <v>2062.5</v>
      </c>
      <c r="W19" s="30"/>
      <c r="X19" s="30"/>
      <c r="Y19" s="30"/>
      <c r="Z19" s="30"/>
      <c r="AA19" s="30"/>
      <c r="AC19" s="30">
        <v>11.6</v>
      </c>
      <c r="AD19" s="30">
        <v>17.8</v>
      </c>
      <c r="AE19" s="30">
        <v>40</v>
      </c>
      <c r="AF19" s="30">
        <v>73.099999999999994</v>
      </c>
      <c r="AG19" s="30">
        <v>93.9</v>
      </c>
      <c r="AH19" s="30">
        <v>111.2</v>
      </c>
      <c r="AI19" s="30">
        <v>122.3</v>
      </c>
      <c r="AJ19" s="30">
        <v>135.80000000000001</v>
      </c>
      <c r="AK19" s="30">
        <v>130</v>
      </c>
      <c r="AL19" s="30">
        <v>153</v>
      </c>
      <c r="AM19" s="30">
        <v>157</v>
      </c>
      <c r="AN19" s="30">
        <v>171.4</v>
      </c>
      <c r="AO19" s="30">
        <v>187.8</v>
      </c>
      <c r="AP19" s="30">
        <v>207.1</v>
      </c>
      <c r="AQ19" s="30">
        <v>215</v>
      </c>
      <c r="AR19" s="30">
        <v>244.1</v>
      </c>
      <c r="AS19" s="30">
        <v>247.2</v>
      </c>
      <c r="AT19" s="30">
        <v>275</v>
      </c>
      <c r="AU19" s="30">
        <v>313.89999999999998</v>
      </c>
      <c r="AV19" s="30">
        <v>318.7</v>
      </c>
      <c r="AW19" s="30">
        <v>335.3</v>
      </c>
      <c r="AX19" s="30">
        <v>385.3</v>
      </c>
      <c r="AY19" s="30">
        <v>461.9</v>
      </c>
      <c r="AZ19" s="30">
        <v>523.6</v>
      </c>
      <c r="BA19" s="30">
        <v>527.4</v>
      </c>
      <c r="BB19" s="30">
        <v>551.79999999999995</v>
      </c>
      <c r="BC19" s="30">
        <v>560.29999999999995</v>
      </c>
      <c r="BD19" s="30">
        <v>569</v>
      </c>
      <c r="BE19" s="30">
        <v>579.9</v>
      </c>
      <c r="BF19" s="30">
        <v>613.4</v>
      </c>
      <c r="BG19" s="30">
        <v>629.70000000000005</v>
      </c>
      <c r="BH19" s="30">
        <v>638.1</v>
      </c>
      <c r="BI19" s="30">
        <v>606.79999999999995</v>
      </c>
      <c r="BJ19" s="30">
        <v>659.5</v>
      </c>
      <c r="BK19" s="30">
        <v>643.6</v>
      </c>
      <c r="BL19" s="30">
        <v>684.3</v>
      </c>
      <c r="BM19" s="30">
        <v>616.79999999999995</v>
      </c>
      <c r="BN19" s="30">
        <v>669.4</v>
      </c>
      <c r="BO19" s="30">
        <v>690.5</v>
      </c>
      <c r="BP19" s="30">
        <v>726.2</v>
      </c>
      <c r="BQ19" s="30">
        <v>632</v>
      </c>
      <c r="BR19" s="30">
        <v>711.6</v>
      </c>
      <c r="BS19" s="30">
        <v>723.4</v>
      </c>
      <c r="BT19" s="30">
        <v>725</v>
      </c>
      <c r="BU19" s="30">
        <v>573</v>
      </c>
      <c r="BV19" s="30">
        <v>664.3</v>
      </c>
      <c r="BW19" s="30">
        <v>628.5</v>
      </c>
      <c r="BX19" s="30">
        <v>627.20000000000005</v>
      </c>
      <c r="BY19" s="30">
        <v>564.20000000000005</v>
      </c>
      <c r="BZ19" s="30">
        <v>607.1</v>
      </c>
      <c r="CA19" s="30">
        <v>570.4</v>
      </c>
      <c r="CB19" s="30">
        <v>541.6</v>
      </c>
      <c r="CC19" s="30">
        <v>489.9</v>
      </c>
      <c r="CD19" s="30">
        <v>532.9</v>
      </c>
      <c r="CE19" s="30">
        <v>514.5</v>
      </c>
      <c r="CF19" s="30">
        <v>525.20000000000005</v>
      </c>
      <c r="CG19" s="30">
        <v>499.6</v>
      </c>
      <c r="CH19" s="30">
        <v>555.9</v>
      </c>
      <c r="CI19" s="30">
        <v>520.5</v>
      </c>
      <c r="CJ19" s="30">
        <v>556.9</v>
      </c>
      <c r="CK19" s="30">
        <v>499.2</v>
      </c>
      <c r="CL19" s="30">
        <v>577.79999999999995</v>
      </c>
      <c r="CM19" s="30">
        <v>508.2</v>
      </c>
      <c r="CN19" s="30">
        <v>530.70000000000005</v>
      </c>
      <c r="CO19" s="30">
        <v>560.1</v>
      </c>
      <c r="CP19" s="30">
        <v>539.1</v>
      </c>
      <c r="CQ19" s="30">
        <v>578</v>
      </c>
      <c r="CR19" s="30">
        <v>652.70000000000005</v>
      </c>
      <c r="CS19" s="30">
        <v>559</v>
      </c>
      <c r="CT19" s="30">
        <v>610.6</v>
      </c>
      <c r="CU19" s="30">
        <v>457</v>
      </c>
      <c r="CV19" s="30">
        <v>434.9</v>
      </c>
      <c r="CW19" s="30">
        <v>343.9</v>
      </c>
      <c r="CX19" s="30">
        <v>227.7</v>
      </c>
      <c r="CY19" s="30">
        <v>119.4</v>
      </c>
      <c r="CZ19" s="30">
        <v>236.6</v>
      </c>
      <c r="DA19" s="30">
        <v>58.2</v>
      </c>
    </row>
    <row r="20" spans="1:117" x14ac:dyDescent="0.25">
      <c r="A20">
        <f t="shared" si="15"/>
        <v>17</v>
      </c>
      <c r="B20" t="s">
        <v>648</v>
      </c>
      <c r="C20" t="s">
        <v>20</v>
      </c>
      <c r="D20" t="s">
        <v>1390</v>
      </c>
      <c r="E20">
        <v>2</v>
      </c>
      <c r="G20" s="31">
        <f t="shared" si="54"/>
        <v>32887.399999999994</v>
      </c>
      <c r="H20" s="31"/>
      <c r="I20" s="30">
        <f t="shared" si="55"/>
        <v>362</v>
      </c>
      <c r="J20" s="30">
        <f t="shared" si="56"/>
        <v>954.6</v>
      </c>
      <c r="K20" s="30">
        <f t="shared" si="57"/>
        <v>1734.4</v>
      </c>
      <c r="L20" s="30">
        <f t="shared" si="58"/>
        <v>2401</v>
      </c>
      <c r="M20" s="30">
        <f t="shared" si="59"/>
        <v>2891.2999999999997</v>
      </c>
      <c r="N20" s="30">
        <f t="shared" si="60"/>
        <v>3291.8999999999996</v>
      </c>
      <c r="O20" s="30">
        <f t="shared" si="61"/>
        <v>3722.1</v>
      </c>
      <c r="P20" s="30">
        <f t="shared" si="62"/>
        <v>4587.3</v>
      </c>
      <c r="Q20" s="30">
        <f t="shared" si="63"/>
        <v>5481.5999999999995</v>
      </c>
      <c r="R20" s="30">
        <f t="shared" si="64"/>
        <v>3138.5</v>
      </c>
      <c r="S20" s="30">
        <f t="shared" si="65"/>
        <v>1296.4000000000001</v>
      </c>
      <c r="T20" s="30">
        <f t="shared" si="66"/>
        <v>901.7</v>
      </c>
      <c r="U20" s="30">
        <f t="shared" si="22"/>
        <v>876.5</v>
      </c>
      <c r="V20" s="30">
        <f t="shared" si="23"/>
        <v>727.5</v>
      </c>
      <c r="W20" s="30"/>
      <c r="X20" s="30"/>
      <c r="Y20" s="30"/>
      <c r="Z20" s="30"/>
      <c r="AA20" s="30"/>
      <c r="AC20" s="30">
        <v>32.5</v>
      </c>
      <c r="AD20" s="30">
        <v>61.3</v>
      </c>
      <c r="AE20" s="30">
        <v>106.8</v>
      </c>
      <c r="AF20" s="30">
        <v>161.4</v>
      </c>
      <c r="AG20" s="30">
        <v>182.8</v>
      </c>
      <c r="AH20" s="30">
        <v>228.8</v>
      </c>
      <c r="AI20" s="30">
        <v>233</v>
      </c>
      <c r="AJ20" s="30">
        <v>310</v>
      </c>
      <c r="AK20" s="30">
        <v>349</v>
      </c>
      <c r="AL20" s="30">
        <v>424.1</v>
      </c>
      <c r="AM20" s="30">
        <v>441.8</v>
      </c>
      <c r="AN20" s="30">
        <v>519.5</v>
      </c>
      <c r="AO20" s="30">
        <v>513.20000000000005</v>
      </c>
      <c r="AP20" s="30">
        <v>628.29999999999995</v>
      </c>
      <c r="AQ20" s="30">
        <v>605.1</v>
      </c>
      <c r="AR20" s="30">
        <v>654.4</v>
      </c>
      <c r="AS20" s="30">
        <v>716.4</v>
      </c>
      <c r="AT20" s="30">
        <v>721.2</v>
      </c>
      <c r="AU20" s="30">
        <v>709.3</v>
      </c>
      <c r="AV20" s="30">
        <v>744.4</v>
      </c>
      <c r="AW20" s="30">
        <v>790.2</v>
      </c>
      <c r="AX20" s="30">
        <v>830.8</v>
      </c>
      <c r="AY20" s="30">
        <v>803.2</v>
      </c>
      <c r="AZ20" s="30">
        <v>867.7</v>
      </c>
      <c r="BA20" s="30">
        <v>825.3</v>
      </c>
      <c r="BB20" s="30">
        <v>984.6</v>
      </c>
      <c r="BC20" s="30">
        <v>908.8</v>
      </c>
      <c r="BD20" s="30">
        <v>1003.4</v>
      </c>
      <c r="BE20" s="30">
        <v>1068.5999999999999</v>
      </c>
      <c r="BF20" s="30">
        <v>1180.7</v>
      </c>
      <c r="BG20" s="30">
        <v>1114.9000000000001</v>
      </c>
      <c r="BH20" s="30">
        <v>1223.0999999999999</v>
      </c>
      <c r="BI20" s="30">
        <v>1235.8</v>
      </c>
      <c r="BJ20" s="30">
        <v>1420.4</v>
      </c>
      <c r="BK20" s="30">
        <v>1328.2</v>
      </c>
      <c r="BL20" s="30">
        <v>1497.2</v>
      </c>
      <c r="BM20" s="30">
        <v>1375.8</v>
      </c>
      <c r="BN20" s="30">
        <v>883.2</v>
      </c>
      <c r="BO20" s="30">
        <v>478.2</v>
      </c>
      <c r="BP20" s="30">
        <v>401.3</v>
      </c>
      <c r="BQ20" s="30">
        <v>368</v>
      </c>
      <c r="BR20" s="30">
        <v>367.3</v>
      </c>
      <c r="BS20" s="30">
        <v>287</v>
      </c>
      <c r="BT20" s="30">
        <v>274.10000000000002</v>
      </c>
      <c r="BU20" s="30">
        <v>242.9</v>
      </c>
      <c r="BV20" s="30">
        <v>223.6</v>
      </c>
      <c r="BW20" s="30">
        <v>198.7</v>
      </c>
      <c r="BX20" s="30">
        <v>236.5</v>
      </c>
      <c r="BY20" s="30">
        <v>313.5</v>
      </c>
      <c r="BZ20" s="30">
        <v>181.8</v>
      </c>
      <c r="CA20" s="30">
        <v>174.6</v>
      </c>
      <c r="CB20" s="30">
        <v>206.6</v>
      </c>
      <c r="CC20" s="30">
        <v>183.2</v>
      </c>
      <c r="CD20" s="30">
        <v>192.8</v>
      </c>
      <c r="CE20" s="30">
        <v>169.6</v>
      </c>
      <c r="CF20" s="30">
        <v>181.9</v>
      </c>
      <c r="CG20" s="30">
        <v>172</v>
      </c>
      <c r="CH20" s="30">
        <v>184.5</v>
      </c>
      <c r="CI20" s="30">
        <v>164.1</v>
      </c>
    </row>
    <row r="21" spans="1:117" x14ac:dyDescent="0.25">
      <c r="A21">
        <f t="shared" si="15"/>
        <v>18</v>
      </c>
      <c r="B21" t="s">
        <v>1051</v>
      </c>
      <c r="C21" t="s">
        <v>1052</v>
      </c>
      <c r="D21" t="s">
        <v>1388</v>
      </c>
      <c r="G21" s="31">
        <f t="shared" si="54"/>
        <v>32529.591836734697</v>
      </c>
      <c r="H21" s="31"/>
      <c r="I21" s="30">
        <f t="shared" si="55"/>
        <v>769.97084548104954</v>
      </c>
      <c r="J21" s="30">
        <f t="shared" si="56"/>
        <v>2489.5043731778424</v>
      </c>
      <c r="K21" s="30">
        <f t="shared" si="57"/>
        <v>3748.8338192419824</v>
      </c>
      <c r="L21" s="30">
        <f t="shared" si="58"/>
        <v>6704.3731778425645</v>
      </c>
      <c r="M21" s="30">
        <f t="shared" si="59"/>
        <v>10948.542274052477</v>
      </c>
      <c r="N21" s="30">
        <f t="shared" si="60"/>
        <v>7868.367346938775</v>
      </c>
      <c r="O21" s="30">
        <f t="shared" si="61"/>
        <v>0</v>
      </c>
      <c r="P21" s="30">
        <f t="shared" si="62"/>
        <v>0</v>
      </c>
      <c r="Q21" s="30">
        <f t="shared" si="63"/>
        <v>0</v>
      </c>
      <c r="R21" s="30">
        <f t="shared" si="64"/>
        <v>0</v>
      </c>
      <c r="S21" s="30">
        <f t="shared" si="65"/>
        <v>0</v>
      </c>
      <c r="T21" s="30">
        <f t="shared" si="66"/>
        <v>0</v>
      </c>
      <c r="U21" s="30">
        <f t="shared" si="22"/>
        <v>0</v>
      </c>
      <c r="V21" s="30">
        <f t="shared" si="23"/>
        <v>0</v>
      </c>
      <c r="W21" s="30"/>
      <c r="X21" s="30"/>
      <c r="Y21" s="30"/>
      <c r="Z21" s="30"/>
      <c r="AA21" s="30"/>
      <c r="AC21" s="30">
        <f>540/$C$70</f>
        <v>78.717201166180757</v>
      </c>
      <c r="AD21" s="30">
        <f>992/$C$70</f>
        <v>144.60641399416909</v>
      </c>
      <c r="AE21" s="31">
        <f>1425/$C$70</f>
        <v>207.72594752186589</v>
      </c>
      <c r="AF21" s="31">
        <f>2325/$C$70</f>
        <v>338.92128279883383</v>
      </c>
      <c r="AG21" s="31">
        <f>3122/$C$70</f>
        <v>455.10204081632651</v>
      </c>
      <c r="AH21" s="31">
        <f>4365/$C$70</f>
        <v>636.29737609329447</v>
      </c>
      <c r="AI21" s="31">
        <f>4755/$C$70</f>
        <v>693.14868804664718</v>
      </c>
      <c r="AJ21" s="31">
        <f>4836/$C$70</f>
        <v>704.95626822157431</v>
      </c>
      <c r="AK21" s="31">
        <f>5432/$C$70</f>
        <v>791.83673469387747</v>
      </c>
      <c r="AL21" s="31">
        <f>6188/$C$70</f>
        <v>902.0408163265306</v>
      </c>
      <c r="AM21" s="31">
        <f>6662/$C$70</f>
        <v>971.13702623906704</v>
      </c>
      <c r="AN21" s="31">
        <f>7435/$C$70</f>
        <v>1083.8192419825073</v>
      </c>
      <c r="AO21" s="31">
        <f>8892/$C$70</f>
        <v>1296.2099125364432</v>
      </c>
      <c r="AP21" s="31">
        <f>10716/$C$70</f>
        <v>1562.0991253644313</v>
      </c>
      <c r="AQ21" s="31">
        <f>12035/$C$70</f>
        <v>1754.3731778425656</v>
      </c>
      <c r="AR21" s="31">
        <f>14349/$C$70</f>
        <v>2091.690962099125</v>
      </c>
      <c r="AS21" s="31">
        <f>16390/$C$70</f>
        <v>2389.2128279883382</v>
      </c>
      <c r="AT21" s="31">
        <f>16976/$C$70</f>
        <v>2474.6355685131193</v>
      </c>
      <c r="AU21" s="31">
        <f>19640/$C$70</f>
        <v>2862.9737609329445</v>
      </c>
      <c r="AV21" s="31">
        <f>22101/C70</f>
        <v>3221.7201166180757</v>
      </c>
      <c r="AW21" s="31">
        <f>23912/C70</f>
        <v>3485.7142857142853</v>
      </c>
      <c r="AX21" s="31">
        <f>30065/C70</f>
        <v>4382.6530612244896</v>
      </c>
      <c r="BF21" s="31"/>
      <c r="BG21" s="31"/>
      <c r="BH21" s="31"/>
      <c r="BI21" s="31"/>
      <c r="BJ21" s="31"/>
      <c r="BK21" s="31"/>
      <c r="BL21" s="31"/>
      <c r="BM21" s="31"/>
      <c r="BN21" s="31"/>
    </row>
    <row r="22" spans="1:117" x14ac:dyDescent="0.25">
      <c r="A22">
        <f t="shared" si="15"/>
        <v>19</v>
      </c>
      <c r="B22" t="s">
        <v>1377</v>
      </c>
      <c r="C22" t="s">
        <v>46</v>
      </c>
      <c r="D22" t="s">
        <v>1409</v>
      </c>
      <c r="G22" s="31">
        <f t="shared" si="54"/>
        <v>31975</v>
      </c>
      <c r="H22" s="31"/>
      <c r="I22" s="30">
        <f t="shared" si="55"/>
        <v>9314</v>
      </c>
      <c r="J22" s="30">
        <f t="shared" si="56"/>
        <v>12258</v>
      </c>
      <c r="K22" s="30">
        <f t="shared" si="57"/>
        <v>6253</v>
      </c>
      <c r="L22" s="30">
        <f t="shared" si="58"/>
        <v>2296</v>
      </c>
      <c r="M22" s="30">
        <f t="shared" si="59"/>
        <v>961</v>
      </c>
      <c r="N22" s="30">
        <f t="shared" si="60"/>
        <v>404</v>
      </c>
      <c r="O22" s="30">
        <f t="shared" si="61"/>
        <v>211</v>
      </c>
      <c r="P22" s="30">
        <f t="shared" si="62"/>
        <v>152</v>
      </c>
      <c r="Q22" s="30">
        <f t="shared" si="63"/>
        <v>86</v>
      </c>
      <c r="R22" s="30">
        <f t="shared" si="64"/>
        <v>40</v>
      </c>
      <c r="S22" s="30">
        <f t="shared" si="65"/>
        <v>0</v>
      </c>
      <c r="T22" s="30">
        <f t="shared" si="66"/>
        <v>0</v>
      </c>
      <c r="U22" s="30">
        <f t="shared" si="22"/>
        <v>0</v>
      </c>
      <c r="V22" s="30">
        <f t="shared" si="23"/>
        <v>0</v>
      </c>
      <c r="W22" s="30"/>
      <c r="X22" s="30"/>
      <c r="Y22" s="30"/>
      <c r="Z22" s="30"/>
      <c r="AA22" s="30"/>
      <c r="AC22" s="30">
        <v>20</v>
      </c>
      <c r="AD22" s="30">
        <v>2107</v>
      </c>
      <c r="AE22" s="30">
        <v>3579</v>
      </c>
      <c r="AF22">
        <v>3608</v>
      </c>
      <c r="AG22">
        <v>3332</v>
      </c>
      <c r="AH22">
        <v>3345</v>
      </c>
      <c r="AI22">
        <v>3017</v>
      </c>
      <c r="AJ22">
        <v>2564</v>
      </c>
      <c r="AK22">
        <v>1860</v>
      </c>
      <c r="AL22">
        <v>1640</v>
      </c>
      <c r="AM22">
        <v>1371</v>
      </c>
      <c r="AN22">
        <v>1382</v>
      </c>
      <c r="AO22">
        <v>973</v>
      </c>
      <c r="AP22">
        <v>644</v>
      </c>
      <c r="AQ22">
        <v>348</v>
      </c>
      <c r="AR22">
        <v>331</v>
      </c>
      <c r="AS22">
        <v>311</v>
      </c>
      <c r="AT22">
        <v>232</v>
      </c>
      <c r="AU22">
        <v>225</v>
      </c>
      <c r="AV22">
        <v>193</v>
      </c>
      <c r="AW22">
        <v>124</v>
      </c>
      <c r="AX22">
        <v>101</v>
      </c>
      <c r="AY22">
        <v>112</v>
      </c>
      <c r="AZ22">
        <v>67</v>
      </c>
      <c r="BA22">
        <v>84</v>
      </c>
      <c r="BB22">
        <v>9</v>
      </c>
      <c r="BC22">
        <v>56</v>
      </c>
      <c r="BD22">
        <v>62</v>
      </c>
      <c r="BE22">
        <v>45</v>
      </c>
      <c r="BF22" s="31">
        <v>49</v>
      </c>
      <c r="BG22" s="31">
        <v>35</v>
      </c>
      <c r="BH22" s="31">
        <v>23</v>
      </c>
      <c r="BI22" s="31">
        <v>25</v>
      </c>
      <c r="BJ22" s="31">
        <v>31</v>
      </c>
      <c r="BK22" s="31">
        <v>15</v>
      </c>
      <c r="BL22" s="31">
        <v>15</v>
      </c>
      <c r="BM22" s="31">
        <v>23</v>
      </c>
      <c r="BN22" s="31">
        <v>17</v>
      </c>
    </row>
    <row r="23" spans="1:117" x14ac:dyDescent="0.25">
      <c r="A23">
        <f t="shared" si="15"/>
        <v>20</v>
      </c>
      <c r="B23" t="s">
        <v>642</v>
      </c>
      <c r="C23" t="s">
        <v>20</v>
      </c>
      <c r="D23" t="s">
        <v>1388</v>
      </c>
      <c r="G23" s="31">
        <f t="shared" si="54"/>
        <v>31498</v>
      </c>
      <c r="H23" s="31"/>
      <c r="I23" s="30">
        <f t="shared" si="55"/>
        <v>146.5</v>
      </c>
      <c r="J23" s="30">
        <f t="shared" si="56"/>
        <v>701</v>
      </c>
      <c r="K23" s="30">
        <f t="shared" si="57"/>
        <v>1717.8</v>
      </c>
      <c r="L23" s="30">
        <f t="shared" si="58"/>
        <v>2923.3</v>
      </c>
      <c r="M23" s="30">
        <f t="shared" si="59"/>
        <v>3844.4</v>
      </c>
      <c r="N23" s="30">
        <f t="shared" si="60"/>
        <v>4773.8999999999996</v>
      </c>
      <c r="O23" s="30">
        <f t="shared" si="61"/>
        <v>6090.5</v>
      </c>
      <c r="P23" s="30">
        <f t="shared" si="62"/>
        <v>7387.2999999999993</v>
      </c>
      <c r="Q23" s="30">
        <f t="shared" si="63"/>
        <v>3913.3</v>
      </c>
      <c r="R23" s="30">
        <f t="shared" si="64"/>
        <v>0</v>
      </c>
      <c r="S23" s="30">
        <f t="shared" si="65"/>
        <v>0</v>
      </c>
      <c r="T23" s="30">
        <f t="shared" si="66"/>
        <v>0</v>
      </c>
      <c r="U23" s="30">
        <f t="shared" si="22"/>
        <v>0</v>
      </c>
      <c r="V23" s="30">
        <f t="shared" si="23"/>
        <v>0</v>
      </c>
      <c r="W23" s="30"/>
      <c r="X23" s="30"/>
      <c r="Y23" s="30"/>
      <c r="Z23" s="30"/>
      <c r="AA23" s="30"/>
      <c r="AC23" s="29">
        <v>10.199999999999999</v>
      </c>
      <c r="AD23" s="29">
        <v>18.3</v>
      </c>
      <c r="AE23" s="29">
        <v>44.3</v>
      </c>
      <c r="AF23" s="29">
        <v>73.7</v>
      </c>
      <c r="AG23" s="29">
        <v>112.5</v>
      </c>
      <c r="AH23" s="29">
        <v>143.6</v>
      </c>
      <c r="AI23" s="29">
        <v>201.3</v>
      </c>
      <c r="AJ23" s="29">
        <v>243.6</v>
      </c>
      <c r="AK23" s="29">
        <v>337</v>
      </c>
      <c r="AL23" s="29">
        <v>372.9</v>
      </c>
      <c r="AM23" s="29">
        <v>480.2</v>
      </c>
      <c r="AN23" s="29">
        <v>527.70000000000005</v>
      </c>
      <c r="AO23" s="29">
        <v>649</v>
      </c>
      <c r="AP23" s="29">
        <v>678.3</v>
      </c>
      <c r="AQ23" s="29">
        <v>779.8</v>
      </c>
      <c r="AR23" s="29">
        <v>816.2</v>
      </c>
      <c r="AS23" s="29">
        <v>924.7</v>
      </c>
      <c r="AT23" s="29">
        <v>879.7</v>
      </c>
      <c r="AU23" s="29">
        <v>1028.5</v>
      </c>
      <c r="AV23" s="29">
        <v>1011.5</v>
      </c>
      <c r="AW23" s="29">
        <v>1208.0999999999999</v>
      </c>
      <c r="AX23" s="29">
        <v>1229.4000000000001</v>
      </c>
      <c r="AY23" s="29">
        <v>1229.8</v>
      </c>
      <c r="AZ23" s="29">
        <v>1106.5999999999999</v>
      </c>
      <c r="BA23" s="29">
        <v>1502.4</v>
      </c>
      <c r="BB23" s="29">
        <v>1452.4</v>
      </c>
      <c r="BC23" s="29">
        <v>1535.6</v>
      </c>
      <c r="BD23" s="29">
        <v>1600.1</v>
      </c>
      <c r="BE23" s="29">
        <v>1883.7</v>
      </c>
      <c r="BF23" s="29">
        <v>1741.3</v>
      </c>
      <c r="BG23" s="29">
        <v>1911.9</v>
      </c>
      <c r="BH23" s="29">
        <v>1850.4</v>
      </c>
      <c r="BI23" s="29">
        <v>1936.2</v>
      </c>
      <c r="BJ23" s="29">
        <v>1977.1</v>
      </c>
      <c r="BK23" s="31"/>
      <c r="BL23" s="31"/>
      <c r="BM23" s="31"/>
      <c r="BN23" s="31"/>
    </row>
    <row r="24" spans="1:117" x14ac:dyDescent="0.25">
      <c r="A24">
        <f t="shared" si="15"/>
        <v>21</v>
      </c>
      <c r="B24" t="s">
        <v>1315</v>
      </c>
      <c r="C24" t="s">
        <v>30</v>
      </c>
      <c r="D24" t="s">
        <v>1386</v>
      </c>
      <c r="F24" t="s">
        <v>1312</v>
      </c>
      <c r="G24" s="31">
        <f t="shared" si="54"/>
        <v>31129</v>
      </c>
      <c r="H24" s="31"/>
      <c r="I24" s="30">
        <f t="shared" si="55"/>
        <v>209</v>
      </c>
      <c r="J24" s="30">
        <f t="shared" si="56"/>
        <v>1128</v>
      </c>
      <c r="K24" s="30">
        <f t="shared" si="57"/>
        <v>2071</v>
      </c>
      <c r="L24" s="30">
        <f t="shared" si="58"/>
        <v>2837</v>
      </c>
      <c r="M24" s="30">
        <f t="shared" si="59"/>
        <v>3551</v>
      </c>
      <c r="N24" s="30">
        <f t="shared" si="60"/>
        <v>3995</v>
      </c>
      <c r="O24" s="30">
        <f t="shared" si="61"/>
        <v>4718</v>
      </c>
      <c r="P24" s="30">
        <f t="shared" si="62"/>
        <v>4788</v>
      </c>
      <c r="Q24" s="30">
        <f t="shared" si="63"/>
        <v>4980</v>
      </c>
      <c r="R24" s="30">
        <f t="shared" si="64"/>
        <v>2852</v>
      </c>
      <c r="S24" s="30">
        <f t="shared" si="65"/>
        <v>0</v>
      </c>
      <c r="T24" s="30">
        <f t="shared" si="66"/>
        <v>0</v>
      </c>
      <c r="U24" s="30">
        <f t="shared" si="22"/>
        <v>0</v>
      </c>
      <c r="V24" s="30">
        <f t="shared" si="23"/>
        <v>0</v>
      </c>
      <c r="W24" s="30"/>
      <c r="X24" s="30"/>
      <c r="Y24" s="30"/>
      <c r="Z24" s="30"/>
      <c r="AA24" s="30"/>
      <c r="AC24" s="30" t="s">
        <v>1313</v>
      </c>
      <c r="AD24" s="30" t="s">
        <v>1314</v>
      </c>
      <c r="AE24" s="30">
        <v>88</v>
      </c>
      <c r="AF24">
        <v>121</v>
      </c>
      <c r="AG24">
        <v>176</v>
      </c>
      <c r="AH24">
        <v>260</v>
      </c>
      <c r="AI24">
        <v>301</v>
      </c>
      <c r="AJ24">
        <v>391</v>
      </c>
      <c r="AK24">
        <v>410</v>
      </c>
      <c r="AL24">
        <v>490</v>
      </c>
      <c r="AM24">
        <v>556</v>
      </c>
      <c r="AN24">
        <v>615</v>
      </c>
      <c r="AO24">
        <v>580</v>
      </c>
      <c r="AP24">
        <v>701</v>
      </c>
      <c r="AQ24">
        <v>750</v>
      </c>
      <c r="AR24">
        <v>806</v>
      </c>
      <c r="AS24">
        <v>791</v>
      </c>
      <c r="AT24">
        <v>858</v>
      </c>
      <c r="AU24">
        <v>937</v>
      </c>
      <c r="AV24">
        <v>965</v>
      </c>
      <c r="AW24">
        <v>930</v>
      </c>
      <c r="AX24">
        <v>944</v>
      </c>
      <c r="AY24">
        <v>1012</v>
      </c>
      <c r="AZ24">
        <v>1109</v>
      </c>
      <c r="BA24">
        <v>1053</v>
      </c>
      <c r="BB24">
        <v>1175</v>
      </c>
      <c r="BC24">
        <v>1247</v>
      </c>
      <c r="BD24">
        <v>1243</v>
      </c>
      <c r="BE24">
        <v>1159</v>
      </c>
      <c r="BF24" s="31">
        <v>1275</v>
      </c>
      <c r="BG24" s="31">
        <v>1274</v>
      </c>
      <c r="BH24" s="31">
        <v>1080</v>
      </c>
      <c r="BI24" s="31">
        <v>1076</v>
      </c>
      <c r="BJ24" s="31">
        <v>1272</v>
      </c>
      <c r="BK24" s="31">
        <v>1329</v>
      </c>
      <c r="BL24" s="31">
        <v>1303</v>
      </c>
      <c r="BM24" s="31">
        <v>1326</v>
      </c>
      <c r="BN24" s="31">
        <v>1526</v>
      </c>
    </row>
    <row r="25" spans="1:117" x14ac:dyDescent="0.25">
      <c r="A25">
        <f t="shared" si="15"/>
        <v>22</v>
      </c>
      <c r="B25" t="s">
        <v>1424</v>
      </c>
      <c r="C25" t="s">
        <v>20</v>
      </c>
      <c r="D25" t="s">
        <v>1385</v>
      </c>
      <c r="E25">
        <v>2</v>
      </c>
      <c r="G25" s="31">
        <f t="shared" si="54"/>
        <v>28918.500000000007</v>
      </c>
      <c r="H25" s="31"/>
      <c r="I25" s="30">
        <f t="shared" ref="I25" si="81">SUM(AC25:AF25)</f>
        <v>203.3</v>
      </c>
      <c r="J25" s="30">
        <f t="shared" ref="J25" si="82">SUM(AG25:AJ25)</f>
        <v>540.09999999999991</v>
      </c>
      <c r="K25" s="30">
        <f t="shared" ref="K25" si="83">SUM(AK25:AN25)</f>
        <v>690.4</v>
      </c>
      <c r="L25" s="30">
        <f t="shared" ref="L25" si="84">SUM(AO25:AR25)</f>
        <v>943.3</v>
      </c>
      <c r="M25" s="30">
        <f t="shared" ref="M25" si="85">SUM(AS25:AV25)</f>
        <v>1216.3</v>
      </c>
      <c r="N25" s="30">
        <f t="shared" ref="N25" si="86">SUM(AW25:AZ25)</f>
        <v>1444.4999999999998</v>
      </c>
      <c r="O25" s="30">
        <f t="shared" ref="O25" si="87">SUM(BA25:BD25)</f>
        <v>1559.1000000000001</v>
      </c>
      <c r="P25" s="30">
        <f t="shared" ref="P25" si="88">SUM(BE25:BH25)</f>
        <v>1699.4</v>
      </c>
      <c r="Q25" s="30">
        <f t="shared" ref="Q25" si="89">SUM(BI25:BL25)</f>
        <v>1875.6</v>
      </c>
      <c r="R25" s="30">
        <f t="shared" ref="R25" si="90">SUM(BM25:BP25)</f>
        <v>1926.8000000000002</v>
      </c>
      <c r="S25" s="30">
        <f t="shared" ref="S25" si="91">SUM(BQ25:BT25)</f>
        <v>2159.4</v>
      </c>
      <c r="T25" s="30">
        <f t="shared" ref="T25" si="92">SUM(BU25:BX25)</f>
        <v>2291</v>
      </c>
      <c r="U25" s="30">
        <f t="shared" ref="U25" si="93">SUM(BY25:CB25)</f>
        <v>2310.6999999999998</v>
      </c>
      <c r="V25" s="30">
        <f t="shared" ref="V25" si="94">SUM(CC25:CF25)</f>
        <v>2471.6999999999998</v>
      </c>
      <c r="W25" s="30"/>
      <c r="X25" s="30"/>
      <c r="Y25" s="30"/>
      <c r="Z25" s="30"/>
      <c r="AA25" s="30"/>
      <c r="AC25" s="30">
        <v>21.5</v>
      </c>
      <c r="AD25" s="30">
        <v>37.5</v>
      </c>
      <c r="AE25" s="30">
        <v>50.2</v>
      </c>
      <c r="AF25" s="30">
        <v>94.100000000000023</v>
      </c>
      <c r="AG25" s="30">
        <v>108.3</v>
      </c>
      <c r="AH25" s="30">
        <v>125</v>
      </c>
      <c r="AI25" s="30">
        <v>154.1</v>
      </c>
      <c r="AJ25" s="30">
        <v>152.69999999999999</v>
      </c>
      <c r="AK25" s="30">
        <v>150.1</v>
      </c>
      <c r="AL25" s="30">
        <v>165.1</v>
      </c>
      <c r="AM25" s="30">
        <v>180.1</v>
      </c>
      <c r="AN25" s="30">
        <v>195.1</v>
      </c>
      <c r="AO25" s="30">
        <v>210.1</v>
      </c>
      <c r="AP25" s="30">
        <v>225.1</v>
      </c>
      <c r="AQ25" s="30">
        <v>240.1</v>
      </c>
      <c r="AR25" s="30">
        <v>268</v>
      </c>
      <c r="AS25" s="30">
        <v>266</v>
      </c>
      <c r="AT25" s="30">
        <v>293.10000000000002</v>
      </c>
      <c r="AU25" s="30">
        <v>311</v>
      </c>
      <c r="AV25" s="30">
        <v>346.2</v>
      </c>
      <c r="AW25" s="30">
        <v>336.9</v>
      </c>
      <c r="AX25" s="28">
        <v>362.2</v>
      </c>
      <c r="AY25" s="28">
        <v>376.6</v>
      </c>
      <c r="AZ25" s="28">
        <v>368.8</v>
      </c>
      <c r="BA25" s="28">
        <v>358.8</v>
      </c>
      <c r="BB25" s="28">
        <v>363.6</v>
      </c>
      <c r="BC25" s="28">
        <v>397.2</v>
      </c>
      <c r="BD25" s="28">
        <v>439.5</v>
      </c>
      <c r="BE25" s="28">
        <v>408.3</v>
      </c>
      <c r="BF25" s="30">
        <v>418.7</v>
      </c>
      <c r="BG25" s="30">
        <v>406.5</v>
      </c>
      <c r="BH25" s="30">
        <v>465.9</v>
      </c>
      <c r="BI25" s="30">
        <v>434.4</v>
      </c>
      <c r="BJ25" s="30">
        <v>477.2</v>
      </c>
      <c r="BK25" s="30">
        <v>469.8</v>
      </c>
      <c r="BL25" s="30">
        <v>494.2</v>
      </c>
      <c r="BM25" s="30">
        <v>461.8</v>
      </c>
      <c r="BN25" s="30">
        <v>469.5</v>
      </c>
      <c r="BO25" s="28">
        <v>482.1</v>
      </c>
      <c r="BP25" s="28">
        <v>513.4</v>
      </c>
      <c r="BQ25" s="28">
        <v>515</v>
      </c>
      <c r="BR25" s="28">
        <v>529.4</v>
      </c>
      <c r="BS25" s="28">
        <v>526.70000000000005</v>
      </c>
      <c r="BT25" s="28">
        <v>588.29999999999995</v>
      </c>
      <c r="BU25" s="28">
        <v>532.4</v>
      </c>
      <c r="BV25" s="28">
        <v>567.79999999999995</v>
      </c>
      <c r="BW25" s="28">
        <v>568.4</v>
      </c>
      <c r="BX25" s="28">
        <v>622.4</v>
      </c>
      <c r="BY25" s="28">
        <v>538.29999999999995</v>
      </c>
      <c r="BZ25" s="28">
        <v>567.9</v>
      </c>
      <c r="CA25" s="28">
        <v>566.1</v>
      </c>
      <c r="CB25" s="28">
        <v>638.4</v>
      </c>
      <c r="CC25" s="28">
        <v>576.70000000000005</v>
      </c>
      <c r="CD25" s="28">
        <v>630.5</v>
      </c>
      <c r="CE25" s="28">
        <v>588.20000000000005</v>
      </c>
      <c r="CF25" s="28">
        <v>676.3</v>
      </c>
      <c r="CG25" s="28">
        <v>533.6</v>
      </c>
      <c r="CH25" s="28">
        <v>627.29999999999995</v>
      </c>
      <c r="CI25" s="28">
        <v>564.9</v>
      </c>
      <c r="CJ25" s="28">
        <v>597.4</v>
      </c>
      <c r="CK25" s="28">
        <v>495.4</v>
      </c>
      <c r="CL25" s="28">
        <v>538.70000000000005</v>
      </c>
      <c r="CM25" s="28">
        <v>467.1</v>
      </c>
      <c r="CN25">
        <v>350.7</v>
      </c>
      <c r="CO25">
        <v>308.2</v>
      </c>
      <c r="CP25">
        <v>200.2</v>
      </c>
      <c r="CQ25">
        <v>184.3</v>
      </c>
      <c r="CR25">
        <v>197.80000000000007</v>
      </c>
      <c r="CS25">
        <v>193</v>
      </c>
      <c r="CT25">
        <v>130.69999999999999</v>
      </c>
      <c r="CU25">
        <v>162.5</v>
      </c>
      <c r="CV25">
        <v>120.90000000000003</v>
      </c>
      <c r="CW25">
        <v>126.8</v>
      </c>
      <c r="CX25">
        <v>281</v>
      </c>
      <c r="CY25">
        <v>130.9</v>
      </c>
      <c r="CZ25">
        <v>179.7</v>
      </c>
      <c r="DA25">
        <v>217.7</v>
      </c>
      <c r="DB25">
        <v>147</v>
      </c>
      <c r="DC25">
        <v>115.7</v>
      </c>
      <c r="DD25">
        <v>106.89999999999998</v>
      </c>
      <c r="DE25">
        <v>100.3</v>
      </c>
      <c r="DF25">
        <v>115.6</v>
      </c>
      <c r="DG25">
        <v>86.8</v>
      </c>
      <c r="DH25">
        <v>78.8</v>
      </c>
      <c r="DI25">
        <v>139.30000000000001</v>
      </c>
      <c r="DJ25">
        <v>87.7</v>
      </c>
    </row>
    <row r="26" spans="1:117" x14ac:dyDescent="0.25">
      <c r="A26">
        <f t="shared" si="15"/>
        <v>23</v>
      </c>
      <c r="B26" t="s">
        <v>1375</v>
      </c>
      <c r="C26" t="s">
        <v>46</v>
      </c>
      <c r="D26" t="s">
        <v>1387</v>
      </c>
      <c r="G26" s="31">
        <f t="shared" si="54"/>
        <v>25283</v>
      </c>
      <c r="H26" s="31"/>
      <c r="I26" s="30">
        <f t="shared" si="55"/>
        <v>966</v>
      </c>
      <c r="J26" s="30">
        <f t="shared" si="56"/>
        <v>3177</v>
      </c>
      <c r="K26" s="30">
        <f t="shared" si="57"/>
        <v>4478</v>
      </c>
      <c r="L26" s="30">
        <f t="shared" si="58"/>
        <v>4179</v>
      </c>
      <c r="M26" s="30">
        <f t="shared" si="59"/>
        <v>3444</v>
      </c>
      <c r="N26" s="30">
        <f t="shared" si="60"/>
        <v>2975</v>
      </c>
      <c r="O26" s="30">
        <f t="shared" si="61"/>
        <v>2520</v>
      </c>
      <c r="P26" s="30">
        <f t="shared" si="62"/>
        <v>2184</v>
      </c>
      <c r="Q26" s="30">
        <f t="shared" si="63"/>
        <v>1360</v>
      </c>
      <c r="R26" s="30">
        <f t="shared" si="64"/>
        <v>0</v>
      </c>
      <c r="S26" s="30">
        <f t="shared" si="65"/>
        <v>0</v>
      </c>
      <c r="T26" s="30">
        <f t="shared" si="66"/>
        <v>0</v>
      </c>
      <c r="U26" s="30">
        <f t="shared" si="22"/>
        <v>0</v>
      </c>
      <c r="V26" s="30">
        <f t="shared" si="23"/>
        <v>0</v>
      </c>
      <c r="W26" s="30"/>
      <c r="X26" s="30"/>
      <c r="Y26" s="30"/>
      <c r="Z26" s="30"/>
      <c r="AA26" s="30"/>
      <c r="AC26" s="30">
        <v>45</v>
      </c>
      <c r="AD26" s="30">
        <v>158</v>
      </c>
      <c r="AE26" s="30">
        <v>302</v>
      </c>
      <c r="AF26">
        <v>461</v>
      </c>
      <c r="AG26">
        <v>563</v>
      </c>
      <c r="AH26">
        <v>769</v>
      </c>
      <c r="AI26">
        <v>857</v>
      </c>
      <c r="AJ26">
        <v>988</v>
      </c>
      <c r="AK26">
        <v>1060</v>
      </c>
      <c r="AL26">
        <v>1082</v>
      </c>
      <c r="AM26">
        <v>1160</v>
      </c>
      <c r="AN26">
        <v>1176</v>
      </c>
      <c r="AO26">
        <v>1206</v>
      </c>
      <c r="AP26">
        <v>1015</v>
      </c>
      <c r="AQ26">
        <v>980</v>
      </c>
      <c r="AR26">
        <v>978</v>
      </c>
      <c r="AS26">
        <v>958</v>
      </c>
      <c r="AT26">
        <v>824</v>
      </c>
      <c r="AU26">
        <v>816</v>
      </c>
      <c r="AV26">
        <v>846</v>
      </c>
      <c r="AW26">
        <v>852</v>
      </c>
      <c r="AX26">
        <v>673</v>
      </c>
      <c r="AY26">
        <v>706</v>
      </c>
      <c r="AZ26">
        <v>744</v>
      </c>
      <c r="BA26">
        <v>756</v>
      </c>
      <c r="BB26">
        <v>582</v>
      </c>
      <c r="BC26">
        <v>582</v>
      </c>
      <c r="BD26">
        <v>600</v>
      </c>
      <c r="BE26">
        <v>640</v>
      </c>
      <c r="BF26" s="31">
        <v>501</v>
      </c>
      <c r="BG26" s="31">
        <v>540</v>
      </c>
      <c r="BH26" s="31">
        <v>503</v>
      </c>
      <c r="BI26" s="31">
        <v>517</v>
      </c>
      <c r="BJ26" s="31">
        <v>403</v>
      </c>
      <c r="BK26" s="31">
        <v>440</v>
      </c>
      <c r="BL26" s="31"/>
      <c r="BM26" s="31"/>
      <c r="BN26" s="31"/>
    </row>
    <row r="27" spans="1:117" ht="13" x14ac:dyDescent="0.3">
      <c r="A27">
        <f t="shared" ref="A27" si="95">+A26+1</f>
        <v>24</v>
      </c>
      <c r="B27" t="s">
        <v>650</v>
      </c>
      <c r="C27" t="s">
        <v>15</v>
      </c>
      <c r="D27" t="s">
        <v>1384</v>
      </c>
      <c r="E27">
        <v>1</v>
      </c>
      <c r="G27" s="31">
        <f t="shared" si="54"/>
        <v>25264.5</v>
      </c>
      <c r="H27" s="31"/>
      <c r="I27" s="30">
        <f t="shared" si="55"/>
        <v>297.5</v>
      </c>
      <c r="J27" s="30">
        <f t="shared" si="56"/>
        <v>961</v>
      </c>
      <c r="K27" s="30">
        <f t="shared" si="57"/>
        <v>1698</v>
      </c>
      <c r="L27" s="30">
        <f t="shared" si="58"/>
        <v>2237</v>
      </c>
      <c r="M27" s="30">
        <f t="shared" si="59"/>
        <v>2231</v>
      </c>
      <c r="N27" s="30">
        <f t="shared" si="60"/>
        <v>2260</v>
      </c>
      <c r="O27" s="30">
        <f t="shared" si="61"/>
        <v>2505</v>
      </c>
      <c r="P27" s="30">
        <f t="shared" si="62"/>
        <v>3498</v>
      </c>
      <c r="Q27" s="30">
        <f t="shared" si="63"/>
        <v>2795</v>
      </c>
      <c r="R27" s="30">
        <f t="shared" si="64"/>
        <v>2470</v>
      </c>
      <c r="S27" s="30">
        <f t="shared" si="65"/>
        <v>2297</v>
      </c>
      <c r="T27" s="30">
        <f t="shared" si="66"/>
        <v>1770</v>
      </c>
      <c r="U27" s="30">
        <f t="shared" si="22"/>
        <v>245</v>
      </c>
      <c r="V27" s="30">
        <f t="shared" si="23"/>
        <v>0</v>
      </c>
      <c r="W27" s="30"/>
      <c r="X27" s="30"/>
      <c r="Y27" s="30"/>
      <c r="Z27" s="30"/>
      <c r="AA27" s="30"/>
      <c r="AC27" s="30">
        <v>5</v>
      </c>
      <c r="AD27" s="37">
        <f>AVERAGE(AC27,AE27)</f>
        <v>50</v>
      </c>
      <c r="AE27" s="30">
        <v>95</v>
      </c>
      <c r="AF27" s="33">
        <f>AVERAGE(AE27,AG27)</f>
        <v>147.5</v>
      </c>
      <c r="AG27">
        <v>200</v>
      </c>
      <c r="AH27">
        <v>232</v>
      </c>
      <c r="AI27">
        <v>265</v>
      </c>
      <c r="AJ27">
        <v>264</v>
      </c>
      <c r="AK27">
        <v>344</v>
      </c>
      <c r="AL27">
        <v>395</v>
      </c>
      <c r="AM27">
        <v>464</v>
      </c>
      <c r="AN27">
        <v>495</v>
      </c>
      <c r="AO27">
        <v>512</v>
      </c>
      <c r="AP27">
        <v>562</v>
      </c>
      <c r="AQ27">
        <v>568</v>
      </c>
      <c r="AR27">
        <v>595</v>
      </c>
      <c r="AS27">
        <v>556</v>
      </c>
      <c r="AT27">
        <v>546</v>
      </c>
      <c r="AU27">
        <v>548</v>
      </c>
      <c r="AV27">
        <v>581</v>
      </c>
      <c r="AW27">
        <v>558</v>
      </c>
      <c r="AX27">
        <v>601</v>
      </c>
      <c r="AY27">
        <v>582</v>
      </c>
      <c r="AZ27">
        <v>519</v>
      </c>
      <c r="BA27">
        <v>523</v>
      </c>
      <c r="BB27">
        <v>558</v>
      </c>
      <c r="BC27">
        <v>669</v>
      </c>
      <c r="BD27">
        <v>755</v>
      </c>
      <c r="BE27">
        <v>845</v>
      </c>
      <c r="BF27">
        <v>909</v>
      </c>
      <c r="BG27">
        <v>958</v>
      </c>
      <c r="BH27">
        <v>786</v>
      </c>
      <c r="BI27">
        <v>679</v>
      </c>
      <c r="BJ27">
        <v>698</v>
      </c>
      <c r="BK27">
        <v>741</v>
      </c>
      <c r="BL27">
        <v>677</v>
      </c>
      <c r="BM27">
        <v>690</v>
      </c>
      <c r="BN27">
        <v>568</v>
      </c>
      <c r="BO27">
        <v>590</v>
      </c>
      <c r="BP27">
        <v>622</v>
      </c>
      <c r="BQ27">
        <v>638</v>
      </c>
      <c r="BR27">
        <v>563</v>
      </c>
      <c r="BS27">
        <v>548</v>
      </c>
      <c r="BT27">
        <v>548</v>
      </c>
      <c r="BU27">
        <v>539</v>
      </c>
      <c r="BV27">
        <v>505</v>
      </c>
      <c r="BW27">
        <v>456</v>
      </c>
      <c r="BX27">
        <v>270</v>
      </c>
      <c r="BY27">
        <v>245</v>
      </c>
    </row>
    <row r="28" spans="1:117" x14ac:dyDescent="0.25">
      <c r="A28">
        <f>+A27+1</f>
        <v>25</v>
      </c>
      <c r="B28" t="s">
        <v>1316</v>
      </c>
      <c r="C28" t="s">
        <v>30</v>
      </c>
      <c r="D28" t="s">
        <v>1385</v>
      </c>
      <c r="E28">
        <v>1</v>
      </c>
      <c r="G28" s="31">
        <f t="shared" si="54"/>
        <v>23953</v>
      </c>
      <c r="H28" s="31"/>
      <c r="I28" s="30">
        <f t="shared" si="55"/>
        <v>70</v>
      </c>
      <c r="J28" s="30">
        <f t="shared" si="56"/>
        <v>315</v>
      </c>
      <c r="K28" s="30">
        <f t="shared" si="57"/>
        <v>752</v>
      </c>
      <c r="L28" s="30">
        <f t="shared" si="58"/>
        <v>1367</v>
      </c>
      <c r="M28" s="30">
        <f t="shared" si="59"/>
        <v>2097</v>
      </c>
      <c r="N28" s="30">
        <f t="shared" si="60"/>
        <v>3023</v>
      </c>
      <c r="O28" s="30">
        <f t="shared" si="61"/>
        <v>4091</v>
      </c>
      <c r="P28" s="30">
        <f t="shared" si="62"/>
        <v>5341</v>
      </c>
      <c r="Q28" s="30">
        <f t="shared" si="63"/>
        <v>6897</v>
      </c>
      <c r="R28" s="30">
        <f t="shared" si="64"/>
        <v>0</v>
      </c>
      <c r="S28" s="30">
        <f t="shared" si="65"/>
        <v>0</v>
      </c>
      <c r="T28" s="30">
        <f t="shared" si="66"/>
        <v>0</v>
      </c>
      <c r="U28" s="30">
        <f t="shared" si="22"/>
        <v>0</v>
      </c>
      <c r="V28" s="30">
        <f t="shared" si="23"/>
        <v>0</v>
      </c>
      <c r="W28" s="30"/>
      <c r="X28" s="30"/>
      <c r="Y28" s="30"/>
      <c r="Z28" s="30"/>
      <c r="AA28" s="30"/>
      <c r="AC28" s="30">
        <v>16</v>
      </c>
      <c r="AD28" s="30">
        <v>5</v>
      </c>
      <c r="AE28" s="30">
        <v>17</v>
      </c>
      <c r="AF28">
        <v>32</v>
      </c>
      <c r="AG28">
        <v>53</v>
      </c>
      <c r="AH28">
        <v>68</v>
      </c>
      <c r="AI28">
        <v>84</v>
      </c>
      <c r="AJ28">
        <v>110</v>
      </c>
      <c r="AK28">
        <v>128</v>
      </c>
      <c r="AL28">
        <v>185</v>
      </c>
      <c r="AM28">
        <v>200</v>
      </c>
      <c r="AN28">
        <v>239</v>
      </c>
      <c r="AO28">
        <v>271</v>
      </c>
      <c r="AP28">
        <v>318</v>
      </c>
      <c r="AQ28">
        <v>357</v>
      </c>
      <c r="AR28">
        <v>421</v>
      </c>
      <c r="AS28">
        <v>430</v>
      </c>
      <c r="AT28">
        <v>518</v>
      </c>
      <c r="AU28">
        <v>569</v>
      </c>
      <c r="AV28">
        <v>580</v>
      </c>
      <c r="AW28">
        <v>632</v>
      </c>
      <c r="AX28">
        <v>716</v>
      </c>
      <c r="AY28">
        <v>789</v>
      </c>
      <c r="AZ28">
        <v>886</v>
      </c>
      <c r="BA28">
        <v>924</v>
      </c>
      <c r="BB28">
        <v>949</v>
      </c>
      <c r="BC28">
        <v>1093</v>
      </c>
      <c r="BD28">
        <v>1125</v>
      </c>
      <c r="BE28">
        <v>1135</v>
      </c>
      <c r="BF28">
        <v>1291</v>
      </c>
      <c r="BG28">
        <v>1399</v>
      </c>
      <c r="BH28">
        <v>1516</v>
      </c>
      <c r="BI28">
        <v>1485</v>
      </c>
      <c r="BJ28">
        <v>1635</v>
      </c>
      <c r="BK28">
        <v>1879</v>
      </c>
      <c r="BL28">
        <v>1898</v>
      </c>
    </row>
    <row r="29" spans="1:117" x14ac:dyDescent="0.25">
      <c r="A29">
        <f t="shared" ref="A29:A44" si="96">+A28+1</f>
        <v>26</v>
      </c>
      <c r="B29" t="s">
        <v>1379</v>
      </c>
      <c r="C29" t="s">
        <v>24</v>
      </c>
      <c r="D29" t="s">
        <v>1383</v>
      </c>
      <c r="E29">
        <v>1</v>
      </c>
      <c r="G29" s="31">
        <f t="shared" si="54"/>
        <v>22574</v>
      </c>
      <c r="H29" s="31"/>
      <c r="I29" s="30">
        <f t="shared" si="55"/>
        <v>17175</v>
      </c>
      <c r="J29" s="30">
        <f t="shared" si="56"/>
        <v>6248</v>
      </c>
      <c r="K29" s="30">
        <f t="shared" si="57"/>
        <v>-849</v>
      </c>
      <c r="L29" s="30">
        <f t="shared" si="58"/>
        <v>0</v>
      </c>
      <c r="M29" s="30">
        <f t="shared" si="59"/>
        <v>0</v>
      </c>
      <c r="N29" s="30">
        <f t="shared" si="60"/>
        <v>0</v>
      </c>
      <c r="O29" s="30">
        <f t="shared" si="61"/>
        <v>0</v>
      </c>
      <c r="P29" s="30">
        <f t="shared" si="62"/>
        <v>0</v>
      </c>
      <c r="Q29" s="30">
        <f t="shared" si="63"/>
        <v>0</v>
      </c>
      <c r="R29" s="30">
        <f t="shared" si="64"/>
        <v>0</v>
      </c>
      <c r="S29" s="30">
        <f t="shared" si="65"/>
        <v>0</v>
      </c>
      <c r="T29" s="30">
        <f t="shared" si="66"/>
        <v>0</v>
      </c>
      <c r="U29" s="30">
        <f t="shared" si="22"/>
        <v>0</v>
      </c>
      <c r="V29" s="30">
        <f t="shared" si="23"/>
        <v>0</v>
      </c>
      <c r="W29" s="30"/>
      <c r="X29" s="30"/>
      <c r="Y29" s="30"/>
      <c r="Z29" s="30"/>
      <c r="AA29" s="30"/>
      <c r="AC29" s="30">
        <v>76</v>
      </c>
      <c r="AD29" s="30">
        <v>1470</v>
      </c>
      <c r="AE29" s="30">
        <v>8115</v>
      </c>
      <c r="AF29">
        <v>7514</v>
      </c>
      <c r="AG29">
        <v>1834</v>
      </c>
      <c r="AH29">
        <v>4069</v>
      </c>
      <c r="AI29">
        <v>143</v>
      </c>
      <c r="AJ29">
        <v>202</v>
      </c>
      <c r="AK29">
        <v>-3135</v>
      </c>
      <c r="AL29">
        <v>2035</v>
      </c>
      <c r="AM29">
        <v>251</v>
      </c>
    </row>
    <row r="30" spans="1:117" ht="13" x14ac:dyDescent="0.3">
      <c r="A30">
        <f>+A27+1</f>
        <v>25</v>
      </c>
      <c r="B30" t="s">
        <v>1414</v>
      </c>
      <c r="C30" t="s">
        <v>18</v>
      </c>
      <c r="D30" t="s">
        <v>1386</v>
      </c>
      <c r="G30" s="31">
        <f t="shared" si="54"/>
        <v>22547</v>
      </c>
      <c r="H30" s="31"/>
      <c r="I30" s="30">
        <f t="shared" ref="I30" si="97">SUM(AC30:AF30)</f>
        <v>655</v>
      </c>
      <c r="J30" s="30">
        <f t="shared" ref="J30" si="98">SUM(AG30:AJ30)</f>
        <v>1864</v>
      </c>
      <c r="K30" s="30">
        <f t="shared" ref="K30" si="99">SUM(AK30:AN30)</f>
        <v>3305</v>
      </c>
      <c r="L30" s="30">
        <f t="shared" ref="L30" si="100">SUM(AO30:AR30)</f>
        <v>5585</v>
      </c>
      <c r="M30" s="30">
        <f t="shared" ref="M30" si="101">SUM(AS30:AV30)</f>
        <v>8411</v>
      </c>
      <c r="N30" s="30">
        <f t="shared" ref="N30" si="102">SUM(AW30:AZ30)</f>
        <v>2727</v>
      </c>
      <c r="O30" s="30">
        <f t="shared" ref="O30" si="103">SUM(BA30:BD30)</f>
        <v>0</v>
      </c>
      <c r="P30" s="30">
        <f t="shared" ref="P30" si="104">SUM(BE30:BH30)</f>
        <v>0</v>
      </c>
      <c r="Q30" s="30">
        <f t="shared" ref="Q30" si="105">SUM(BI30:BL30)</f>
        <v>0</v>
      </c>
      <c r="R30" s="30">
        <f t="shared" ref="R30" si="106">SUM(BM30:BP30)</f>
        <v>0</v>
      </c>
      <c r="S30" s="30">
        <f t="shared" ref="S30" si="107">SUM(BQ30:BT30)</f>
        <v>0</v>
      </c>
      <c r="T30" s="30">
        <f t="shared" ref="T30" si="108">SUM(BU30:BX30)</f>
        <v>0</v>
      </c>
      <c r="U30" s="30">
        <f t="shared" ref="U30" si="109">SUM(BY30:CB30)</f>
        <v>0</v>
      </c>
      <c r="V30" s="30">
        <f t="shared" ref="V30" si="110">SUM(CC30:CF30)</f>
        <v>0</v>
      </c>
      <c r="W30" s="30"/>
      <c r="X30" s="30"/>
      <c r="Y30" s="30"/>
      <c r="Z30" s="30"/>
      <c r="AA30" s="30"/>
      <c r="AC30" s="30">
        <v>48</v>
      </c>
      <c r="AD30" s="37">
        <v>91</v>
      </c>
      <c r="AE30" s="30">
        <v>216</v>
      </c>
      <c r="AF30" s="33">
        <v>300</v>
      </c>
      <c r="AG30">
        <v>330</v>
      </c>
      <c r="AH30">
        <v>435</v>
      </c>
      <c r="AI30">
        <v>525</v>
      </c>
      <c r="AJ30">
        <v>574</v>
      </c>
      <c r="AK30">
        <v>674</v>
      </c>
      <c r="AL30">
        <v>796</v>
      </c>
      <c r="AM30">
        <v>895</v>
      </c>
      <c r="AN30">
        <v>940</v>
      </c>
      <c r="AO30">
        <v>1252</v>
      </c>
      <c r="AP30">
        <v>1397</v>
      </c>
      <c r="AQ30">
        <v>1576</v>
      </c>
      <c r="AR30">
        <v>1360</v>
      </c>
      <c r="AS30">
        <v>1883</v>
      </c>
      <c r="AT30">
        <v>2126</v>
      </c>
      <c r="AU30">
        <v>2394</v>
      </c>
      <c r="AV30">
        <v>2008</v>
      </c>
      <c r="AW30">
        <v>2727</v>
      </c>
    </row>
    <row r="31" spans="1:117" x14ac:dyDescent="0.25">
      <c r="A31">
        <f>+A29+1</f>
        <v>27</v>
      </c>
      <c r="B31" t="s">
        <v>651</v>
      </c>
      <c r="C31" t="s">
        <v>15</v>
      </c>
      <c r="D31" t="s">
        <v>1384</v>
      </c>
      <c r="E31">
        <v>1</v>
      </c>
      <c r="G31" s="31">
        <f t="shared" si="54"/>
        <v>23168</v>
      </c>
      <c r="H31" s="31"/>
      <c r="I31" s="30">
        <f t="shared" si="55"/>
        <v>200</v>
      </c>
      <c r="J31" s="30">
        <f t="shared" si="56"/>
        <v>689</v>
      </c>
      <c r="K31" s="30">
        <f t="shared" si="57"/>
        <v>1251</v>
      </c>
      <c r="L31" s="30">
        <f t="shared" si="58"/>
        <v>1893</v>
      </c>
      <c r="M31" s="30">
        <f t="shared" si="59"/>
        <v>2615</v>
      </c>
      <c r="N31" s="30">
        <f t="shared" si="60"/>
        <v>3411</v>
      </c>
      <c r="O31" s="30">
        <f t="shared" si="61"/>
        <v>4128</v>
      </c>
      <c r="P31" s="30">
        <f t="shared" si="62"/>
        <v>4369</v>
      </c>
      <c r="Q31" s="30">
        <f t="shared" si="63"/>
        <v>3785</v>
      </c>
      <c r="R31" s="30">
        <f t="shared" si="64"/>
        <v>827</v>
      </c>
      <c r="S31" s="30">
        <f t="shared" si="65"/>
        <v>0</v>
      </c>
      <c r="T31" s="30">
        <f t="shared" si="66"/>
        <v>0</v>
      </c>
      <c r="U31" s="30">
        <f t="shared" si="22"/>
        <v>0</v>
      </c>
      <c r="V31" s="30">
        <f t="shared" si="23"/>
        <v>0</v>
      </c>
      <c r="W31" s="30"/>
      <c r="X31" s="30"/>
      <c r="Y31" s="30"/>
      <c r="Z31" s="30"/>
      <c r="AA31" s="30"/>
      <c r="AC31" s="30">
        <v>10</v>
      </c>
      <c r="AD31" s="30">
        <v>42</v>
      </c>
      <c r="AE31" s="30">
        <v>56</v>
      </c>
      <c r="AF31">
        <v>92</v>
      </c>
      <c r="AG31">
        <v>116</v>
      </c>
      <c r="AH31">
        <v>154</v>
      </c>
      <c r="AI31">
        <v>184</v>
      </c>
      <c r="AJ31">
        <v>235</v>
      </c>
      <c r="AK31">
        <v>261</v>
      </c>
      <c r="AL31">
        <v>295</v>
      </c>
      <c r="AM31">
        <v>349</v>
      </c>
      <c r="AN31">
        <v>346</v>
      </c>
      <c r="AO31">
        <v>409</v>
      </c>
      <c r="AP31">
        <v>450</v>
      </c>
      <c r="AQ31">
        <v>512</v>
      </c>
      <c r="AR31">
        <v>522</v>
      </c>
      <c r="AS31">
        <v>587</v>
      </c>
      <c r="AT31">
        <v>620</v>
      </c>
      <c r="AU31">
        <v>705</v>
      </c>
      <c r="AV31">
        <v>703</v>
      </c>
      <c r="AW31">
        <v>784</v>
      </c>
      <c r="AX31">
        <v>831</v>
      </c>
      <c r="AY31">
        <v>921</v>
      </c>
      <c r="AZ31">
        <v>875</v>
      </c>
      <c r="BA31">
        <v>1031</v>
      </c>
      <c r="BB31">
        <v>949</v>
      </c>
      <c r="BC31">
        <v>1031</v>
      </c>
      <c r="BD31">
        <v>1117</v>
      </c>
      <c r="BE31">
        <v>1125</v>
      </c>
      <c r="BF31">
        <v>1116</v>
      </c>
      <c r="BG31">
        <v>1066</v>
      </c>
      <c r="BH31">
        <v>1062</v>
      </c>
      <c r="BI31">
        <v>1038</v>
      </c>
      <c r="BJ31">
        <v>970</v>
      </c>
      <c r="BK31">
        <v>911</v>
      </c>
      <c r="BL31">
        <v>866</v>
      </c>
      <c r="BM31">
        <v>827</v>
      </c>
    </row>
    <row r="32" spans="1:117" x14ac:dyDescent="0.25">
      <c r="A32">
        <f t="shared" si="96"/>
        <v>28</v>
      </c>
      <c r="B32" t="s">
        <v>1376</v>
      </c>
      <c r="C32" t="s">
        <v>46</v>
      </c>
      <c r="D32" t="s">
        <v>1409</v>
      </c>
      <c r="G32" s="31">
        <f t="shared" si="54"/>
        <v>20663.11</v>
      </c>
      <c r="H32" s="31"/>
      <c r="I32" s="30">
        <f t="shared" si="55"/>
        <v>8690.11</v>
      </c>
      <c r="J32" s="30">
        <f t="shared" si="56"/>
        <v>5461</v>
      </c>
      <c r="K32" s="30">
        <f t="shared" si="57"/>
        <v>5007</v>
      </c>
      <c r="L32" s="30">
        <f t="shared" si="58"/>
        <v>1388</v>
      </c>
      <c r="M32" s="30">
        <f t="shared" si="59"/>
        <v>117</v>
      </c>
      <c r="N32" s="30">
        <f t="shared" si="60"/>
        <v>0</v>
      </c>
      <c r="O32" s="30">
        <f t="shared" si="61"/>
        <v>0</v>
      </c>
      <c r="P32" s="30">
        <f t="shared" si="62"/>
        <v>0</v>
      </c>
      <c r="Q32" s="30">
        <f t="shared" si="63"/>
        <v>0</v>
      </c>
      <c r="R32" s="30">
        <f t="shared" si="64"/>
        <v>0</v>
      </c>
      <c r="S32" s="30">
        <f t="shared" si="65"/>
        <v>0</v>
      </c>
      <c r="T32" s="30">
        <f t="shared" si="66"/>
        <v>0</v>
      </c>
      <c r="U32" s="30">
        <f t="shared" si="22"/>
        <v>0</v>
      </c>
      <c r="V32" s="30">
        <f t="shared" si="23"/>
        <v>0</v>
      </c>
      <c r="W32" s="30"/>
      <c r="X32" s="30"/>
      <c r="Y32" s="30"/>
      <c r="Z32" s="30"/>
      <c r="AA32" s="30"/>
      <c r="AC32" s="30">
        <v>139.435</v>
      </c>
      <c r="AD32" s="30">
        <v>2274.3490000000002</v>
      </c>
      <c r="AE32" s="30">
        <v>3480.326</v>
      </c>
      <c r="AF32">
        <v>2796</v>
      </c>
      <c r="AG32">
        <v>1732</v>
      </c>
      <c r="AH32">
        <v>972</v>
      </c>
      <c r="AI32">
        <v>1291</v>
      </c>
      <c r="AJ32">
        <v>1466</v>
      </c>
      <c r="AK32">
        <v>1547</v>
      </c>
      <c r="AL32">
        <v>1277</v>
      </c>
      <c r="AM32">
        <v>1358</v>
      </c>
      <c r="AN32">
        <v>825</v>
      </c>
      <c r="AO32">
        <v>541</v>
      </c>
      <c r="AP32">
        <v>313</v>
      </c>
      <c r="AQ32">
        <v>315</v>
      </c>
      <c r="AR32">
        <v>219</v>
      </c>
      <c r="AS32">
        <v>117</v>
      </c>
    </row>
    <row r="33" spans="1:88" x14ac:dyDescent="0.25">
      <c r="A33">
        <f t="shared" si="96"/>
        <v>29</v>
      </c>
      <c r="B33" t="s">
        <v>661</v>
      </c>
      <c r="C33" t="s">
        <v>28</v>
      </c>
      <c r="D33" t="s">
        <v>1387</v>
      </c>
      <c r="G33" s="31">
        <f t="shared" si="54"/>
        <v>16856</v>
      </c>
      <c r="H33" s="31"/>
      <c r="I33" s="30">
        <f t="shared" si="55"/>
        <v>348</v>
      </c>
      <c r="J33" s="30">
        <f t="shared" si="56"/>
        <v>751</v>
      </c>
      <c r="K33" s="30">
        <f t="shared" si="57"/>
        <v>1090</v>
      </c>
      <c r="L33" s="30">
        <f t="shared" si="58"/>
        <v>1359</v>
      </c>
      <c r="M33" s="30">
        <f t="shared" si="59"/>
        <v>1515</v>
      </c>
      <c r="N33" s="30">
        <f t="shared" si="60"/>
        <v>1643</v>
      </c>
      <c r="O33" s="30">
        <f t="shared" si="61"/>
        <v>1673</v>
      </c>
      <c r="P33" s="30">
        <f t="shared" si="62"/>
        <v>1511</v>
      </c>
      <c r="Q33" s="30">
        <f t="shared" si="63"/>
        <v>1387</v>
      </c>
      <c r="R33" s="30">
        <f t="shared" si="64"/>
        <v>1205</v>
      </c>
      <c r="S33" s="30">
        <f t="shared" si="65"/>
        <v>1141</v>
      </c>
      <c r="T33" s="30">
        <f t="shared" si="66"/>
        <v>975</v>
      </c>
      <c r="U33" s="30">
        <f t="shared" si="22"/>
        <v>857</v>
      </c>
      <c r="V33" s="30">
        <f t="shared" si="23"/>
        <v>768</v>
      </c>
      <c r="W33" s="30"/>
      <c r="X33" s="30"/>
      <c r="Y33" s="30"/>
      <c r="Z33" s="30"/>
      <c r="AA33" s="30"/>
      <c r="AC33" s="30">
        <v>47</v>
      </c>
      <c r="AD33" s="30">
        <v>77</v>
      </c>
      <c r="AE33" s="30">
        <v>107</v>
      </c>
      <c r="AF33">
        <v>117</v>
      </c>
      <c r="AG33">
        <v>148</v>
      </c>
      <c r="AH33">
        <v>172</v>
      </c>
      <c r="AI33">
        <v>197</v>
      </c>
      <c r="AJ33">
        <v>234</v>
      </c>
      <c r="AK33">
        <v>232</v>
      </c>
      <c r="AL33">
        <v>267</v>
      </c>
      <c r="AM33">
        <v>278</v>
      </c>
      <c r="AN33">
        <v>313</v>
      </c>
      <c r="AO33">
        <v>292</v>
      </c>
      <c r="AP33">
        <v>337</v>
      </c>
      <c r="AQ33">
        <v>343</v>
      </c>
      <c r="AR33">
        <v>387</v>
      </c>
      <c r="AS33">
        <v>337</v>
      </c>
      <c r="AT33">
        <v>398</v>
      </c>
      <c r="AU33">
        <v>399</v>
      </c>
      <c r="AV33">
        <v>381</v>
      </c>
      <c r="AW33">
        <v>362</v>
      </c>
      <c r="AX33">
        <v>412</v>
      </c>
      <c r="AY33">
        <v>427</v>
      </c>
      <c r="AZ33">
        <v>442</v>
      </c>
      <c r="BA33">
        <v>390</v>
      </c>
      <c r="BB33">
        <v>453</v>
      </c>
      <c r="BC33">
        <v>412</v>
      </c>
      <c r="BD33">
        <v>418</v>
      </c>
      <c r="BE33">
        <v>385</v>
      </c>
      <c r="BF33">
        <v>375</v>
      </c>
      <c r="BG33">
        <v>377</v>
      </c>
      <c r="BH33">
        <v>374</v>
      </c>
      <c r="BI33">
        <v>340</v>
      </c>
      <c r="BJ33">
        <v>338</v>
      </c>
      <c r="BK33">
        <v>372</v>
      </c>
      <c r="BL33">
        <v>337</v>
      </c>
      <c r="BM33">
        <v>305</v>
      </c>
      <c r="BN33">
        <v>282</v>
      </c>
      <c r="BO33">
        <v>310</v>
      </c>
      <c r="BP33">
        <v>308</v>
      </c>
      <c r="BQ33">
        <v>281</v>
      </c>
      <c r="BR33">
        <v>305</v>
      </c>
      <c r="BS33">
        <v>275</v>
      </c>
      <c r="BT33">
        <v>280</v>
      </c>
      <c r="BU33">
        <v>255</v>
      </c>
      <c r="BV33">
        <v>247</v>
      </c>
      <c r="BW33">
        <v>250</v>
      </c>
      <c r="BX33">
        <v>223</v>
      </c>
      <c r="BY33">
        <v>245</v>
      </c>
      <c r="BZ33">
        <v>196</v>
      </c>
      <c r="CA33">
        <v>205</v>
      </c>
      <c r="CB33">
        <v>211</v>
      </c>
      <c r="CC33">
        <v>209</v>
      </c>
      <c r="CD33">
        <v>192</v>
      </c>
      <c r="CE33">
        <v>189</v>
      </c>
      <c r="CF33">
        <v>178</v>
      </c>
      <c r="CG33">
        <v>158</v>
      </c>
      <c r="CH33">
        <v>147</v>
      </c>
      <c r="CI33">
        <v>161</v>
      </c>
      <c r="CJ33">
        <v>167</v>
      </c>
    </row>
    <row r="34" spans="1:88" x14ac:dyDescent="0.25">
      <c r="A34">
        <f t="shared" si="96"/>
        <v>30</v>
      </c>
      <c r="B34" t="s">
        <v>1401</v>
      </c>
      <c r="C34" t="s">
        <v>24</v>
      </c>
      <c r="D34" t="s">
        <v>1386</v>
      </c>
      <c r="G34" s="31">
        <f t="shared" si="54"/>
        <v>16115</v>
      </c>
      <c r="H34" s="31"/>
      <c r="I34" s="30">
        <f t="shared" si="55"/>
        <v>63</v>
      </c>
      <c r="J34" s="30">
        <f t="shared" si="56"/>
        <v>251</v>
      </c>
      <c r="K34" s="30">
        <f t="shared" si="57"/>
        <v>455</v>
      </c>
      <c r="L34" s="30">
        <f t="shared" si="58"/>
        <v>821</v>
      </c>
      <c r="M34" s="30">
        <f t="shared" si="59"/>
        <v>1212</v>
      </c>
      <c r="N34" s="30">
        <f t="shared" si="60"/>
        <v>1631</v>
      </c>
      <c r="O34" s="30">
        <f t="shared" si="61"/>
        <v>2188</v>
      </c>
      <c r="P34" s="30">
        <f t="shared" si="62"/>
        <v>2347</v>
      </c>
      <c r="Q34" s="30">
        <f t="shared" si="63"/>
        <v>2430</v>
      </c>
      <c r="R34" s="30">
        <f t="shared" si="64"/>
        <v>2025</v>
      </c>
      <c r="S34" s="30">
        <f t="shared" si="65"/>
        <v>1702</v>
      </c>
      <c r="T34" s="30">
        <f t="shared" si="66"/>
        <v>990</v>
      </c>
      <c r="U34" s="30">
        <f t="shared" si="22"/>
        <v>0</v>
      </c>
      <c r="V34" s="30">
        <f t="shared" si="23"/>
        <v>0</v>
      </c>
      <c r="W34" s="30"/>
      <c r="X34" s="30"/>
      <c r="Y34" s="30"/>
      <c r="Z34" s="30"/>
      <c r="AA34" s="30"/>
      <c r="AC34" s="30">
        <v>6</v>
      </c>
      <c r="AD34" s="30">
        <v>0</v>
      </c>
      <c r="AE34" s="30">
        <v>22</v>
      </c>
      <c r="AF34">
        <v>35</v>
      </c>
      <c r="AG34">
        <v>46</v>
      </c>
      <c r="AH34">
        <v>52</v>
      </c>
      <c r="AI34">
        <v>68</v>
      </c>
      <c r="AJ34">
        <v>85</v>
      </c>
      <c r="AK34">
        <v>104</v>
      </c>
      <c r="AL34">
        <v>96</v>
      </c>
      <c r="AM34">
        <v>128</v>
      </c>
      <c r="AN34">
        <v>127</v>
      </c>
      <c r="AO34">
        <v>172</v>
      </c>
      <c r="AP34">
        <v>197</v>
      </c>
      <c r="AQ34">
        <v>217</v>
      </c>
      <c r="AR34">
        <v>235</v>
      </c>
      <c r="AS34">
        <v>278</v>
      </c>
      <c r="AT34">
        <v>250</v>
      </c>
      <c r="AU34">
        <v>336</v>
      </c>
      <c r="AV34">
        <v>348</v>
      </c>
      <c r="AW34">
        <v>410</v>
      </c>
      <c r="AX34">
        <v>326</v>
      </c>
      <c r="AY34">
        <v>463</v>
      </c>
      <c r="AZ34">
        <v>432</v>
      </c>
      <c r="BA34">
        <v>553</v>
      </c>
      <c r="BB34">
        <v>423</v>
      </c>
      <c r="BC34">
        <v>613</v>
      </c>
      <c r="BD34">
        <v>599</v>
      </c>
      <c r="BE34">
        <v>607</v>
      </c>
      <c r="BF34">
        <v>451</v>
      </c>
      <c r="BG34">
        <v>635</v>
      </c>
      <c r="BH34">
        <v>654</v>
      </c>
      <c r="BI34">
        <v>696</v>
      </c>
      <c r="BJ34">
        <v>538</v>
      </c>
      <c r="BK34">
        <v>586</v>
      </c>
      <c r="BL34">
        <v>610</v>
      </c>
      <c r="BM34">
        <v>721</v>
      </c>
      <c r="BN34">
        <v>372</v>
      </c>
      <c r="BO34">
        <v>430</v>
      </c>
      <c r="BP34">
        <v>502</v>
      </c>
      <c r="BQ34">
        <v>493</v>
      </c>
      <c r="BR34">
        <v>237</v>
      </c>
      <c r="BS34">
        <v>469</v>
      </c>
      <c r="BT34">
        <v>503</v>
      </c>
      <c r="BU34">
        <v>493</v>
      </c>
      <c r="BV34">
        <v>194</v>
      </c>
      <c r="BW34">
        <v>303</v>
      </c>
    </row>
    <row r="35" spans="1:88" x14ac:dyDescent="0.25">
      <c r="A35">
        <f>+A33+1</f>
        <v>30</v>
      </c>
      <c r="B35" t="s">
        <v>1373</v>
      </c>
      <c r="C35" t="s">
        <v>46</v>
      </c>
      <c r="D35" t="s">
        <v>1387</v>
      </c>
      <c r="G35" s="31">
        <f t="shared" si="54"/>
        <v>12925</v>
      </c>
      <c r="H35" s="31"/>
      <c r="I35" s="30">
        <f t="shared" si="55"/>
        <v>549</v>
      </c>
      <c r="J35" s="30">
        <f t="shared" si="56"/>
        <v>1328</v>
      </c>
      <c r="K35" s="30">
        <f t="shared" si="57"/>
        <v>1562</v>
      </c>
      <c r="L35" s="30">
        <f t="shared" si="58"/>
        <v>1616</v>
      </c>
      <c r="M35" s="30">
        <f t="shared" si="59"/>
        <v>1762</v>
      </c>
      <c r="N35" s="30">
        <f t="shared" si="60"/>
        <v>1715</v>
      </c>
      <c r="O35" s="30">
        <f t="shared" si="61"/>
        <v>1946</v>
      </c>
      <c r="P35" s="30">
        <f t="shared" si="62"/>
        <v>1962</v>
      </c>
      <c r="Q35" s="30">
        <f t="shared" si="63"/>
        <v>485</v>
      </c>
      <c r="R35" s="30">
        <f t="shared" si="64"/>
        <v>0</v>
      </c>
      <c r="S35" s="30">
        <f t="shared" si="65"/>
        <v>0</v>
      </c>
      <c r="T35" s="30">
        <f t="shared" si="66"/>
        <v>0</v>
      </c>
      <c r="U35" s="30">
        <f t="shared" si="22"/>
        <v>0</v>
      </c>
      <c r="V35" s="30">
        <f t="shared" si="23"/>
        <v>0</v>
      </c>
      <c r="W35" s="30"/>
      <c r="X35" s="30"/>
      <c r="Y35" s="30"/>
      <c r="Z35" s="30"/>
      <c r="AA35" s="30"/>
      <c r="AC35" s="30">
        <v>61</v>
      </c>
      <c r="AD35" s="30">
        <v>88</v>
      </c>
      <c r="AE35" s="30">
        <v>149</v>
      </c>
      <c r="AF35" s="30">
        <v>251</v>
      </c>
      <c r="AG35" s="30">
        <v>286</v>
      </c>
      <c r="AH35" s="30">
        <v>316</v>
      </c>
      <c r="AI35" s="30">
        <v>365</v>
      </c>
      <c r="AJ35" s="30">
        <v>361</v>
      </c>
      <c r="AK35" s="30">
        <v>403</v>
      </c>
      <c r="AL35" s="30">
        <v>406</v>
      </c>
      <c r="AM35" s="30">
        <v>411</v>
      </c>
      <c r="AN35" s="30">
        <v>342</v>
      </c>
      <c r="AO35" s="30">
        <v>358</v>
      </c>
      <c r="AP35" s="30">
        <v>363</v>
      </c>
      <c r="AQ35" s="30">
        <v>437</v>
      </c>
      <c r="AR35" s="30">
        <v>458</v>
      </c>
      <c r="AS35" s="30">
        <v>417</v>
      </c>
      <c r="AT35" s="30">
        <v>508</v>
      </c>
      <c r="AU35" s="30">
        <v>478</v>
      </c>
      <c r="AV35" s="30">
        <v>359</v>
      </c>
      <c r="AW35" s="30">
        <v>435</v>
      </c>
      <c r="AX35" s="30">
        <v>433</v>
      </c>
      <c r="AY35">
        <v>473</v>
      </c>
      <c r="AZ35">
        <v>374</v>
      </c>
      <c r="BA35">
        <v>460</v>
      </c>
      <c r="BB35">
        <v>500</v>
      </c>
      <c r="BC35">
        <v>537</v>
      </c>
      <c r="BD35">
        <v>449</v>
      </c>
      <c r="BE35">
        <v>516</v>
      </c>
      <c r="BF35">
        <v>511</v>
      </c>
      <c r="BG35">
        <v>509</v>
      </c>
      <c r="BH35">
        <v>426</v>
      </c>
      <c r="BI35">
        <v>485</v>
      </c>
    </row>
    <row r="36" spans="1:88" x14ac:dyDescent="0.25">
      <c r="A36">
        <f>+A34+1</f>
        <v>31</v>
      </c>
      <c r="B36" t="s">
        <v>1415</v>
      </c>
      <c r="C36" t="s">
        <v>18</v>
      </c>
      <c r="D36" t="s">
        <v>1386</v>
      </c>
      <c r="G36" s="31">
        <f t="shared" si="54"/>
        <v>11443</v>
      </c>
      <c r="H36" s="31"/>
      <c r="I36" s="30">
        <f t="shared" ref="I36" si="111">SUM(AC36:AF36)</f>
        <v>282</v>
      </c>
      <c r="J36" s="30">
        <f t="shared" ref="J36" si="112">SUM(AG36:AJ36)</f>
        <v>1177</v>
      </c>
      <c r="K36" s="30">
        <f t="shared" ref="K36" si="113">SUM(AK36:AN36)</f>
        <v>2027</v>
      </c>
      <c r="L36" s="30">
        <f t="shared" ref="L36" si="114">SUM(AO36:AR36)</f>
        <v>3069</v>
      </c>
      <c r="M36" s="30">
        <f t="shared" ref="M36" si="115">SUM(AS36:AV36)</f>
        <v>4888</v>
      </c>
      <c r="N36" s="30">
        <f t="shared" ref="N36" si="116">SUM(AW36:AZ36)</f>
        <v>0</v>
      </c>
      <c r="O36" s="30">
        <f t="shared" ref="O36" si="117">SUM(BA36:BD36)</f>
        <v>0</v>
      </c>
      <c r="P36" s="30">
        <f t="shared" ref="P36" si="118">SUM(BE36:BH36)</f>
        <v>0</v>
      </c>
      <c r="Q36" s="30">
        <f t="shared" ref="Q36" si="119">SUM(BI36:BL36)</f>
        <v>0</v>
      </c>
      <c r="R36" s="30">
        <f t="shared" ref="R36" si="120">SUM(BM36:BP36)</f>
        <v>0</v>
      </c>
      <c r="S36" s="30">
        <f t="shared" ref="S36" si="121">SUM(BQ36:BT36)</f>
        <v>0</v>
      </c>
      <c r="T36" s="30">
        <f t="shared" ref="T36" si="122">SUM(BU36:BX36)</f>
        <v>0</v>
      </c>
      <c r="U36" s="30">
        <f t="shared" ref="U36" si="123">SUM(BY36:CB36)</f>
        <v>0</v>
      </c>
      <c r="V36" s="30">
        <f t="shared" ref="V36" si="124">SUM(CC36:CF36)</f>
        <v>0</v>
      </c>
      <c r="W36" s="30"/>
      <c r="X36" s="30"/>
      <c r="Y36" s="30"/>
      <c r="Z36" s="30"/>
      <c r="AA36" s="30"/>
      <c r="AC36" s="30">
        <v>14</v>
      </c>
      <c r="AD36" s="30">
        <v>33</v>
      </c>
      <c r="AE36" s="30">
        <v>86</v>
      </c>
      <c r="AF36" s="30">
        <v>149</v>
      </c>
      <c r="AG36" s="30">
        <v>215</v>
      </c>
      <c r="AH36" s="30">
        <v>281</v>
      </c>
      <c r="AI36" s="30">
        <v>303</v>
      </c>
      <c r="AJ36" s="30">
        <v>378</v>
      </c>
      <c r="AK36" s="30">
        <v>453</v>
      </c>
      <c r="AL36" s="30">
        <v>517</v>
      </c>
      <c r="AM36" s="30">
        <v>465</v>
      </c>
      <c r="AN36" s="30">
        <v>592</v>
      </c>
      <c r="AO36" s="30">
        <v>695</v>
      </c>
      <c r="AP36" s="30">
        <v>770</v>
      </c>
      <c r="AQ36" s="30">
        <v>686</v>
      </c>
      <c r="AR36" s="30">
        <v>918</v>
      </c>
      <c r="AS36" s="30">
        <v>1110</v>
      </c>
      <c r="AT36" s="30">
        <v>1255</v>
      </c>
      <c r="AU36" s="30">
        <v>1093</v>
      </c>
      <c r="AV36" s="30">
        <v>1430</v>
      </c>
      <c r="AW36" s="30"/>
      <c r="AX36" s="30"/>
    </row>
    <row r="37" spans="1:88" x14ac:dyDescent="0.25">
      <c r="A37">
        <f>+A35+1</f>
        <v>31</v>
      </c>
      <c r="B37" t="s">
        <v>1380</v>
      </c>
      <c r="C37" t="s">
        <v>24</v>
      </c>
      <c r="D37" t="s">
        <v>1400</v>
      </c>
      <c r="E37">
        <v>1</v>
      </c>
      <c r="G37" s="31">
        <f t="shared" si="54"/>
        <v>12080</v>
      </c>
      <c r="H37" s="31"/>
      <c r="I37" s="30">
        <f t="shared" si="55"/>
        <v>180</v>
      </c>
      <c r="J37" s="30">
        <f t="shared" si="56"/>
        <v>877</v>
      </c>
      <c r="K37" s="30">
        <f t="shared" si="57"/>
        <v>1734</v>
      </c>
      <c r="L37" s="30">
        <f t="shared" si="58"/>
        <v>2226</v>
      </c>
      <c r="M37" s="30">
        <f t="shared" si="59"/>
        <v>2750</v>
      </c>
      <c r="N37" s="30">
        <f t="shared" si="60"/>
        <v>4313</v>
      </c>
      <c r="O37" s="30">
        <f t="shared" si="61"/>
        <v>0</v>
      </c>
      <c r="P37" s="30">
        <f t="shared" si="62"/>
        <v>0</v>
      </c>
      <c r="Q37" s="30">
        <f t="shared" si="63"/>
        <v>0</v>
      </c>
      <c r="R37" s="30">
        <f t="shared" si="64"/>
        <v>0</v>
      </c>
      <c r="S37" s="30">
        <f t="shared" si="65"/>
        <v>0</v>
      </c>
      <c r="T37" s="30">
        <f t="shared" si="66"/>
        <v>0</v>
      </c>
      <c r="U37" s="30"/>
      <c r="V37" s="30"/>
      <c r="W37" s="30"/>
      <c r="X37" s="30"/>
      <c r="Y37" s="30"/>
      <c r="Z37" s="30"/>
      <c r="AA37" s="30"/>
      <c r="AC37" s="30">
        <v>37</v>
      </c>
      <c r="AD37" s="30">
        <v>39</v>
      </c>
      <c r="AE37" s="30">
        <v>41</v>
      </c>
      <c r="AF37" s="30">
        <v>63</v>
      </c>
      <c r="AG37" s="30">
        <v>156</v>
      </c>
      <c r="AH37" s="30">
        <v>213</v>
      </c>
      <c r="AI37" s="30">
        <v>231</v>
      </c>
      <c r="AJ37" s="30">
        <v>277</v>
      </c>
      <c r="AK37" s="30">
        <v>351</v>
      </c>
      <c r="AL37" s="30">
        <v>429</v>
      </c>
      <c r="AM37" s="30">
        <v>453</v>
      </c>
      <c r="AN37" s="30">
        <v>501</v>
      </c>
      <c r="AO37" s="30">
        <v>501</v>
      </c>
      <c r="AP37" s="30">
        <v>561</v>
      </c>
      <c r="AQ37" s="30">
        <v>612</v>
      </c>
      <c r="AR37" s="30">
        <v>552</v>
      </c>
      <c r="AS37" s="30">
        <v>602</v>
      </c>
      <c r="AT37" s="30">
        <v>680</v>
      </c>
      <c r="AU37" s="30">
        <v>686</v>
      </c>
      <c r="AV37" s="30">
        <v>782</v>
      </c>
      <c r="AW37" s="30">
        <v>892</v>
      </c>
      <c r="AX37" s="30">
        <v>961</v>
      </c>
      <c r="AY37">
        <v>1137</v>
      </c>
      <c r="AZ37">
        <v>1323</v>
      </c>
    </row>
    <row r="38" spans="1:88" x14ac:dyDescent="0.25">
      <c r="A38">
        <f t="shared" si="96"/>
        <v>32</v>
      </c>
      <c r="B38" t="s">
        <v>640</v>
      </c>
      <c r="C38" t="s">
        <v>20</v>
      </c>
      <c r="D38" t="s">
        <v>1386</v>
      </c>
      <c r="G38" s="31">
        <f t="shared" si="54"/>
        <v>9986.4</v>
      </c>
      <c r="H38" s="31"/>
      <c r="I38" s="30">
        <f t="shared" si="55"/>
        <v>209.7</v>
      </c>
      <c r="J38" s="30">
        <f t="shared" si="56"/>
        <v>609</v>
      </c>
      <c r="K38" s="30">
        <f t="shared" si="57"/>
        <v>1043.5</v>
      </c>
      <c r="L38" s="30">
        <f t="shared" si="58"/>
        <v>1557.4</v>
      </c>
      <c r="M38" s="30">
        <f t="shared" si="59"/>
        <v>1748.2</v>
      </c>
      <c r="N38" s="30">
        <f t="shared" si="60"/>
        <v>2297.6999999999998</v>
      </c>
      <c r="O38" s="30">
        <f t="shared" si="61"/>
        <v>2520.8999999999996</v>
      </c>
      <c r="P38" s="30">
        <f t="shared" si="62"/>
        <v>0</v>
      </c>
      <c r="Q38" s="30">
        <f t="shared" si="63"/>
        <v>0</v>
      </c>
      <c r="R38" s="30">
        <f t="shared" si="64"/>
        <v>0</v>
      </c>
      <c r="S38" s="30">
        <f t="shared" si="65"/>
        <v>0</v>
      </c>
      <c r="T38" s="30">
        <f t="shared" si="66"/>
        <v>0</v>
      </c>
      <c r="U38" s="30"/>
      <c r="V38" s="30"/>
      <c r="W38" s="30"/>
      <c r="X38" s="30"/>
      <c r="Y38" s="30"/>
      <c r="Z38" s="30"/>
      <c r="AA38" s="30"/>
      <c r="AC38" s="29">
        <v>19.3</v>
      </c>
      <c r="AD38" s="29">
        <v>32.5</v>
      </c>
      <c r="AE38" s="29">
        <v>61.3</v>
      </c>
      <c r="AF38" s="29">
        <v>96.6</v>
      </c>
      <c r="AG38" s="29">
        <v>138.69999999999999</v>
      </c>
      <c r="AH38" s="29">
        <v>151.30000000000001</v>
      </c>
      <c r="AI38" s="29">
        <v>172.5</v>
      </c>
      <c r="AJ38" s="29">
        <v>146.5</v>
      </c>
      <c r="AK38" s="29">
        <v>220.1</v>
      </c>
      <c r="AL38" s="29">
        <v>263.89999999999998</v>
      </c>
      <c r="AM38" s="29">
        <v>307</v>
      </c>
      <c r="AN38" s="29">
        <v>252.5</v>
      </c>
      <c r="AO38" s="29">
        <v>353.8</v>
      </c>
      <c r="AP38" s="29">
        <v>340</v>
      </c>
      <c r="AQ38" s="29">
        <v>420.1</v>
      </c>
      <c r="AR38" s="29">
        <v>443.5</v>
      </c>
      <c r="AS38" s="29">
        <v>395.2</v>
      </c>
      <c r="AT38" s="29">
        <v>454.5</v>
      </c>
      <c r="AU38" s="29">
        <v>495.3</v>
      </c>
      <c r="AV38" s="29">
        <v>403.2</v>
      </c>
      <c r="AW38" s="29">
        <v>569.1</v>
      </c>
      <c r="AX38" s="29">
        <v>593.1</v>
      </c>
      <c r="AY38" s="29">
        <v>647.4</v>
      </c>
      <c r="AZ38" s="29">
        <v>488.1</v>
      </c>
      <c r="BA38" s="29">
        <v>606.20000000000005</v>
      </c>
      <c r="BB38" s="29">
        <v>679.9</v>
      </c>
      <c r="BC38" s="29">
        <v>707.8</v>
      </c>
      <c r="BD38" s="29">
        <v>527</v>
      </c>
    </row>
    <row r="39" spans="1:88" x14ac:dyDescent="0.25">
      <c r="A39">
        <f t="shared" si="96"/>
        <v>33</v>
      </c>
      <c r="B39" t="s">
        <v>659</v>
      </c>
      <c r="C39" t="s">
        <v>660</v>
      </c>
      <c r="G39" s="31">
        <f t="shared" si="54"/>
        <v>9091</v>
      </c>
      <c r="H39" s="31"/>
      <c r="I39" s="30">
        <f t="shared" si="55"/>
        <v>200</v>
      </c>
      <c r="J39" s="30">
        <f t="shared" si="56"/>
        <v>261</v>
      </c>
      <c r="K39" s="30">
        <f t="shared" si="57"/>
        <v>289</v>
      </c>
      <c r="L39" s="30">
        <f t="shared" si="58"/>
        <v>340</v>
      </c>
      <c r="M39" s="30">
        <f t="shared" si="59"/>
        <v>353</v>
      </c>
      <c r="N39" s="30">
        <f t="shared" si="60"/>
        <v>481</v>
      </c>
      <c r="O39" s="30">
        <f t="shared" si="61"/>
        <v>705</v>
      </c>
      <c r="P39" s="30">
        <f t="shared" si="62"/>
        <v>917</v>
      </c>
      <c r="Q39" s="30">
        <f t="shared" si="63"/>
        <v>1130</v>
      </c>
      <c r="R39" s="30">
        <f t="shared" si="64"/>
        <v>1198</v>
      </c>
      <c r="S39" s="30">
        <f t="shared" si="65"/>
        <v>1532</v>
      </c>
      <c r="T39" s="30">
        <f t="shared" si="66"/>
        <v>1685</v>
      </c>
      <c r="U39" s="30"/>
      <c r="V39" s="30"/>
      <c r="W39" s="30"/>
      <c r="X39" s="30"/>
      <c r="Y39" s="30"/>
      <c r="Z39" s="30"/>
      <c r="AA39" s="30"/>
      <c r="AC39" s="28">
        <v>41</v>
      </c>
      <c r="AD39" s="28">
        <v>47</v>
      </c>
      <c r="AE39" s="28">
        <v>52</v>
      </c>
      <c r="AF39">
        <v>60</v>
      </c>
      <c r="AG39">
        <v>58</v>
      </c>
      <c r="AH39">
        <v>60</v>
      </c>
      <c r="AI39">
        <v>68</v>
      </c>
      <c r="AJ39">
        <v>75</v>
      </c>
      <c r="AK39">
        <v>63</v>
      </c>
      <c r="AL39">
        <v>69</v>
      </c>
      <c r="AM39">
        <v>75</v>
      </c>
      <c r="AN39">
        <v>82</v>
      </c>
      <c r="AO39">
        <v>73</v>
      </c>
      <c r="AP39">
        <v>82</v>
      </c>
      <c r="AQ39">
        <v>90</v>
      </c>
      <c r="AR39">
        <v>95</v>
      </c>
      <c r="AS39">
        <v>85</v>
      </c>
      <c r="AT39">
        <v>87</v>
      </c>
      <c r="AU39">
        <v>89</v>
      </c>
      <c r="AV39">
        <v>92</v>
      </c>
      <c r="AW39">
        <v>90</v>
      </c>
      <c r="AX39">
        <v>113</v>
      </c>
      <c r="AY39">
        <v>139</v>
      </c>
      <c r="AZ39">
        <v>139</v>
      </c>
      <c r="BA39">
        <v>148</v>
      </c>
      <c r="BB39">
        <v>163</v>
      </c>
      <c r="BC39">
        <v>185</v>
      </c>
      <c r="BD39">
        <v>209</v>
      </c>
      <c r="BE39">
        <v>204</v>
      </c>
      <c r="BF39">
        <v>240</v>
      </c>
      <c r="BG39">
        <v>217</v>
      </c>
      <c r="BH39">
        <v>256</v>
      </c>
      <c r="BI39">
        <v>255</v>
      </c>
      <c r="BJ39">
        <v>278</v>
      </c>
      <c r="BK39">
        <v>284</v>
      </c>
      <c r="BL39">
        <v>313</v>
      </c>
      <c r="BM39">
        <v>299</v>
      </c>
      <c r="BN39">
        <v>224</v>
      </c>
      <c r="BO39">
        <v>320</v>
      </c>
      <c r="BP39">
        <v>355</v>
      </c>
      <c r="BQ39">
        <v>340</v>
      </c>
      <c r="BR39">
        <v>387</v>
      </c>
      <c r="BS39">
        <v>369</v>
      </c>
      <c r="BT39">
        <v>436</v>
      </c>
      <c r="BU39">
        <v>395</v>
      </c>
      <c r="BV39">
        <v>426</v>
      </c>
      <c r="BW39">
        <v>423</v>
      </c>
      <c r="BX39">
        <v>441</v>
      </c>
    </row>
    <row r="40" spans="1:88" x14ac:dyDescent="0.25">
      <c r="A40">
        <f t="shared" si="96"/>
        <v>34</v>
      </c>
      <c r="B40" t="s">
        <v>653</v>
      </c>
      <c r="C40" t="s">
        <v>15</v>
      </c>
      <c r="G40" s="31">
        <f t="shared" si="54"/>
        <v>8385</v>
      </c>
      <c r="H40" s="31"/>
      <c r="I40" s="30">
        <f t="shared" si="55"/>
        <v>416</v>
      </c>
      <c r="J40" s="30">
        <f t="shared" si="56"/>
        <v>917</v>
      </c>
      <c r="K40" s="30">
        <f t="shared" si="57"/>
        <v>1235</v>
      </c>
      <c r="L40" s="30">
        <f t="shared" si="58"/>
        <v>1816</v>
      </c>
      <c r="M40" s="30">
        <f t="shared" si="59"/>
        <v>2609</v>
      </c>
      <c r="N40" s="30">
        <f t="shared" si="60"/>
        <v>1392</v>
      </c>
      <c r="O40" s="30">
        <f t="shared" si="61"/>
        <v>0</v>
      </c>
      <c r="P40" s="30">
        <f t="shared" si="62"/>
        <v>0</v>
      </c>
      <c r="Q40" s="30">
        <f t="shared" si="63"/>
        <v>0</v>
      </c>
      <c r="R40" s="30">
        <f t="shared" si="64"/>
        <v>0</v>
      </c>
      <c r="S40" s="30">
        <f t="shared" si="65"/>
        <v>0</v>
      </c>
      <c r="T40" s="30">
        <f t="shared" si="66"/>
        <v>0</v>
      </c>
      <c r="U40" s="30"/>
      <c r="V40" s="30"/>
      <c r="W40" s="30"/>
      <c r="X40" s="30"/>
      <c r="Y40" s="30"/>
      <c r="Z40" s="30"/>
      <c r="AA40" s="30"/>
      <c r="AC40" s="30">
        <v>47</v>
      </c>
      <c r="AD40" s="30">
        <v>72</v>
      </c>
      <c r="AE40" s="30">
        <v>126</v>
      </c>
      <c r="AF40" s="30">
        <v>171</v>
      </c>
      <c r="AG40" s="30">
        <v>175</v>
      </c>
      <c r="AH40" s="30">
        <v>217</v>
      </c>
      <c r="AI40" s="30">
        <v>235</v>
      </c>
      <c r="AJ40" s="30">
        <v>290</v>
      </c>
      <c r="AK40" s="30">
        <v>270</v>
      </c>
      <c r="AL40" s="30">
        <v>296</v>
      </c>
      <c r="AM40" s="30">
        <v>342</v>
      </c>
      <c r="AN40" s="30">
        <v>327</v>
      </c>
      <c r="AO40" s="30">
        <v>382</v>
      </c>
      <c r="AP40" s="30">
        <v>418</v>
      </c>
      <c r="AQ40" s="30">
        <v>479</v>
      </c>
      <c r="AR40" s="30">
        <v>537</v>
      </c>
      <c r="AS40" s="30">
        <v>693</v>
      </c>
      <c r="AT40" s="30">
        <v>590</v>
      </c>
      <c r="AU40" s="30">
        <v>597</v>
      </c>
      <c r="AV40" s="30">
        <v>729</v>
      </c>
      <c r="AW40" s="30">
        <v>752</v>
      </c>
      <c r="AX40" s="30">
        <v>640</v>
      </c>
    </row>
    <row r="41" spans="1:88" x14ac:dyDescent="0.25">
      <c r="A41">
        <f t="shared" si="96"/>
        <v>35</v>
      </c>
      <c r="B41" t="s">
        <v>643</v>
      </c>
      <c r="C41" t="s">
        <v>20</v>
      </c>
      <c r="G41" s="31">
        <f t="shared" si="54"/>
        <v>7600.5999999999995</v>
      </c>
      <c r="H41" s="31"/>
      <c r="I41" s="30">
        <f t="shared" si="55"/>
        <v>60.4</v>
      </c>
      <c r="J41" s="30">
        <f t="shared" si="56"/>
        <v>201.9</v>
      </c>
      <c r="K41" s="30">
        <f t="shared" si="57"/>
        <v>447.59999999999997</v>
      </c>
      <c r="L41" s="30">
        <f t="shared" si="58"/>
        <v>658.3</v>
      </c>
      <c r="M41" s="30">
        <f t="shared" si="59"/>
        <v>944.2</v>
      </c>
      <c r="N41" s="30">
        <f t="shared" si="60"/>
        <v>1153.9000000000001</v>
      </c>
      <c r="O41" s="30">
        <f t="shared" si="61"/>
        <v>1490.8000000000002</v>
      </c>
      <c r="P41" s="30">
        <f t="shared" si="62"/>
        <v>2066</v>
      </c>
      <c r="Q41" s="30">
        <f t="shared" si="63"/>
        <v>577.5</v>
      </c>
      <c r="R41" s="30">
        <f t="shared" si="64"/>
        <v>0</v>
      </c>
      <c r="S41" s="30">
        <f t="shared" si="65"/>
        <v>0</v>
      </c>
      <c r="T41" s="30">
        <f t="shared" si="66"/>
        <v>0</v>
      </c>
      <c r="U41" s="30"/>
      <c r="V41" s="30"/>
      <c r="W41" s="30"/>
      <c r="X41" s="30"/>
      <c r="Y41" s="30"/>
      <c r="Z41" s="30"/>
      <c r="AA41" s="30"/>
      <c r="AC41" s="30">
        <v>19.3</v>
      </c>
      <c r="AD41" s="30">
        <v>11.1</v>
      </c>
      <c r="AE41" s="30">
        <v>15.4</v>
      </c>
      <c r="AF41" s="30">
        <v>14.6</v>
      </c>
      <c r="AG41" s="30">
        <v>38.200000000000003</v>
      </c>
      <c r="AH41" s="30">
        <v>40.1</v>
      </c>
      <c r="AI41" s="30">
        <v>47.5</v>
      </c>
      <c r="AJ41" s="30">
        <v>76.099999999999994</v>
      </c>
      <c r="AK41" s="30">
        <v>74</v>
      </c>
      <c r="AL41" s="30">
        <v>103.2</v>
      </c>
      <c r="AM41" s="30">
        <v>127.2</v>
      </c>
      <c r="AN41" s="30">
        <v>143.19999999999999</v>
      </c>
      <c r="AO41" s="30">
        <v>151</v>
      </c>
      <c r="AP41" s="30">
        <v>147.19999999999999</v>
      </c>
      <c r="AQ41" s="30">
        <v>166.9</v>
      </c>
      <c r="AR41" s="30">
        <v>193.2</v>
      </c>
      <c r="AS41" s="30">
        <v>203.6</v>
      </c>
      <c r="AT41" s="30">
        <v>231.9</v>
      </c>
      <c r="AU41" s="30">
        <v>240.7</v>
      </c>
      <c r="AV41" s="30">
        <v>268</v>
      </c>
      <c r="AW41" s="30">
        <v>267.5</v>
      </c>
      <c r="AX41" s="30">
        <v>262</v>
      </c>
      <c r="AY41" s="30">
        <v>310.8</v>
      </c>
      <c r="AZ41" s="30">
        <v>313.60000000000002</v>
      </c>
      <c r="BA41" s="30">
        <v>312</v>
      </c>
      <c r="BB41" s="30">
        <v>356.5</v>
      </c>
      <c r="BC41" s="30">
        <v>390.4</v>
      </c>
      <c r="BD41" s="30">
        <v>431.9</v>
      </c>
      <c r="BE41" s="30">
        <v>419.4</v>
      </c>
      <c r="BF41" s="30">
        <v>461</v>
      </c>
      <c r="BG41" s="30">
        <v>573.29999999999995</v>
      </c>
      <c r="BH41" s="30">
        <v>612.29999999999995</v>
      </c>
      <c r="BI41" s="30">
        <v>577.5</v>
      </c>
    </row>
    <row r="42" spans="1:88" ht="13" x14ac:dyDescent="0.3">
      <c r="A42">
        <f t="shared" si="96"/>
        <v>36</v>
      </c>
      <c r="B42" t="s">
        <v>631</v>
      </c>
      <c r="C42" t="s">
        <v>20</v>
      </c>
      <c r="F42" t="s">
        <v>633</v>
      </c>
      <c r="G42" s="31">
        <f t="shared" si="54"/>
        <v>7453</v>
      </c>
      <c r="H42" s="31"/>
      <c r="I42" s="30">
        <f t="shared" si="55"/>
        <v>1051</v>
      </c>
      <c r="J42" s="30">
        <f t="shared" si="56"/>
        <v>6402</v>
      </c>
      <c r="K42" s="30">
        <f t="shared" si="57"/>
        <v>0</v>
      </c>
      <c r="L42" s="30">
        <f t="shared" si="58"/>
        <v>0</v>
      </c>
      <c r="M42" s="30">
        <f t="shared" si="59"/>
        <v>0</v>
      </c>
      <c r="N42" s="30">
        <f t="shared" si="60"/>
        <v>0</v>
      </c>
      <c r="O42" s="30">
        <f t="shared" si="61"/>
        <v>0</v>
      </c>
      <c r="P42" s="30">
        <f t="shared" si="62"/>
        <v>0</v>
      </c>
      <c r="Q42" s="30">
        <f t="shared" si="63"/>
        <v>0</v>
      </c>
      <c r="R42" s="30">
        <f t="shared" si="64"/>
        <v>0</v>
      </c>
      <c r="S42" s="30">
        <f t="shared" si="65"/>
        <v>0</v>
      </c>
      <c r="T42" s="30">
        <f t="shared" si="66"/>
        <v>0</v>
      </c>
      <c r="U42" s="30"/>
      <c r="V42" s="30"/>
      <c r="W42" s="30"/>
      <c r="X42" s="30"/>
      <c r="Y42" s="30"/>
      <c r="Z42" s="30"/>
      <c r="AA42" s="30"/>
      <c r="AC42" s="29">
        <v>16</v>
      </c>
      <c r="AD42" s="29">
        <v>187.3</v>
      </c>
      <c r="AE42" s="29">
        <v>279.2</v>
      </c>
      <c r="AF42" s="32">
        <v>568.5</v>
      </c>
      <c r="AG42" s="29">
        <v>980</v>
      </c>
      <c r="AH42" s="29">
        <v>1409</v>
      </c>
      <c r="AI42" s="29">
        <v>2206</v>
      </c>
      <c r="AJ42" s="29">
        <v>1807</v>
      </c>
      <c r="AK42" s="29"/>
      <c r="AL42" s="29"/>
      <c r="AM42" s="29"/>
    </row>
    <row r="43" spans="1:88" x14ac:dyDescent="0.25">
      <c r="A43">
        <f t="shared" si="96"/>
        <v>37</v>
      </c>
      <c r="B43" t="s">
        <v>1317</v>
      </c>
      <c r="C43" t="s">
        <v>30</v>
      </c>
      <c r="G43" s="31">
        <f t="shared" si="54"/>
        <v>7070</v>
      </c>
      <c r="H43" s="31"/>
      <c r="I43" s="30">
        <f t="shared" si="55"/>
        <v>76</v>
      </c>
      <c r="J43" s="30">
        <f t="shared" si="56"/>
        <v>235</v>
      </c>
      <c r="K43" s="30">
        <f t="shared" si="57"/>
        <v>480</v>
      </c>
      <c r="L43" s="30">
        <f t="shared" si="58"/>
        <v>687</v>
      </c>
      <c r="M43" s="30">
        <f t="shared" si="59"/>
        <v>937</v>
      </c>
      <c r="N43" s="30">
        <f t="shared" si="60"/>
        <v>1231</v>
      </c>
      <c r="O43" s="30">
        <f t="shared" si="61"/>
        <v>2080</v>
      </c>
      <c r="P43" s="30">
        <f t="shared" si="62"/>
        <v>1344</v>
      </c>
      <c r="Q43" s="30">
        <f t="shared" si="63"/>
        <v>0</v>
      </c>
      <c r="R43" s="30">
        <f t="shared" si="64"/>
        <v>0</v>
      </c>
      <c r="S43" s="30">
        <f t="shared" si="65"/>
        <v>0</v>
      </c>
      <c r="T43" s="30">
        <f t="shared" si="66"/>
        <v>0</v>
      </c>
      <c r="U43" s="30"/>
      <c r="V43" s="30"/>
      <c r="W43" s="30"/>
      <c r="X43" s="30"/>
      <c r="Y43" s="30"/>
      <c r="Z43" s="30"/>
      <c r="AA43" s="30"/>
      <c r="AC43" s="30">
        <v>7</v>
      </c>
      <c r="AD43" s="30">
        <v>8</v>
      </c>
      <c r="AE43" s="30">
        <v>26</v>
      </c>
      <c r="AF43" s="30">
        <v>35</v>
      </c>
      <c r="AG43" s="30">
        <v>44</v>
      </c>
      <c r="AH43" s="30">
        <v>59</v>
      </c>
      <c r="AI43" s="30">
        <v>72</v>
      </c>
      <c r="AJ43" s="30">
        <v>60</v>
      </c>
      <c r="AK43" s="30">
        <v>91</v>
      </c>
      <c r="AL43" s="30">
        <v>111</v>
      </c>
      <c r="AM43" s="30">
        <v>123</v>
      </c>
      <c r="AN43" s="30">
        <v>155</v>
      </c>
      <c r="AO43" s="30">
        <v>161</v>
      </c>
      <c r="AP43" s="30">
        <v>159</v>
      </c>
      <c r="AQ43">
        <v>183</v>
      </c>
      <c r="AR43">
        <v>184</v>
      </c>
      <c r="AS43">
        <v>195</v>
      </c>
      <c r="AT43">
        <v>225</v>
      </c>
      <c r="AU43">
        <v>232</v>
      </c>
      <c r="AV43">
        <v>285</v>
      </c>
      <c r="AW43">
        <v>239</v>
      </c>
      <c r="AX43">
        <v>308</v>
      </c>
      <c r="AY43">
        <v>327</v>
      </c>
      <c r="AZ43">
        <v>357</v>
      </c>
      <c r="BA43">
        <v>415</v>
      </c>
      <c r="BB43">
        <v>493</v>
      </c>
      <c r="BC43">
        <v>562</v>
      </c>
      <c r="BD43">
        <v>610</v>
      </c>
      <c r="BE43">
        <v>627</v>
      </c>
      <c r="BF43">
        <v>717</v>
      </c>
    </row>
    <row r="44" spans="1:88" x14ac:dyDescent="0.25">
      <c r="A44">
        <f t="shared" si="96"/>
        <v>38</v>
      </c>
      <c r="B44" t="s">
        <v>644</v>
      </c>
      <c r="C44" t="s">
        <v>20</v>
      </c>
      <c r="G44" s="31">
        <f t="shared" si="54"/>
        <v>6852.5</v>
      </c>
      <c r="H44" s="31"/>
      <c r="I44" s="30">
        <f t="shared" si="55"/>
        <v>143.19999999999999</v>
      </c>
      <c r="J44" s="30">
        <f t="shared" si="56"/>
        <v>447.4</v>
      </c>
      <c r="K44" s="30">
        <f t="shared" si="57"/>
        <v>654.29999999999995</v>
      </c>
      <c r="L44" s="30">
        <f t="shared" si="58"/>
        <v>770.7</v>
      </c>
      <c r="M44" s="30">
        <f t="shared" si="59"/>
        <v>836.10000000000014</v>
      </c>
      <c r="N44" s="30">
        <f t="shared" si="60"/>
        <v>965.9</v>
      </c>
      <c r="O44" s="30">
        <f t="shared" si="61"/>
        <v>1034.0999999999999</v>
      </c>
      <c r="P44" s="30">
        <f t="shared" si="62"/>
        <v>1022.8</v>
      </c>
      <c r="Q44" s="30">
        <f t="shared" si="63"/>
        <v>978</v>
      </c>
      <c r="R44" s="30">
        <f t="shared" si="64"/>
        <v>0</v>
      </c>
      <c r="S44" s="30">
        <f t="shared" si="65"/>
        <v>0</v>
      </c>
      <c r="T44" s="30">
        <f t="shared" si="66"/>
        <v>0</v>
      </c>
      <c r="U44" s="30"/>
      <c r="V44" s="30"/>
      <c r="W44" s="30"/>
      <c r="X44" s="30"/>
      <c r="Y44" s="30"/>
      <c r="Z44" s="30"/>
      <c r="AA44" s="30"/>
      <c r="AC44" s="30">
        <v>13.7</v>
      </c>
      <c r="AD44" s="30">
        <v>28.4</v>
      </c>
      <c r="AE44" s="30">
        <v>33.6</v>
      </c>
      <c r="AF44" s="30">
        <v>67.5</v>
      </c>
      <c r="AG44" s="30">
        <v>87.7</v>
      </c>
      <c r="AH44" s="30">
        <v>111.2</v>
      </c>
      <c r="AI44" s="30">
        <v>117.5</v>
      </c>
      <c r="AJ44" s="30">
        <v>131</v>
      </c>
      <c r="AK44" s="30">
        <v>147</v>
      </c>
      <c r="AL44" s="30">
        <v>159</v>
      </c>
      <c r="AM44" s="30">
        <v>177.1</v>
      </c>
      <c r="AN44" s="30">
        <v>171.2</v>
      </c>
      <c r="AO44" s="30">
        <v>186.3</v>
      </c>
      <c r="AP44" s="30">
        <v>196</v>
      </c>
      <c r="AQ44" s="30">
        <v>204.8</v>
      </c>
      <c r="AR44" s="30">
        <v>183.6</v>
      </c>
      <c r="AS44" s="30">
        <v>218.8</v>
      </c>
      <c r="AT44" s="30">
        <v>198.4</v>
      </c>
      <c r="AU44" s="30">
        <v>220.6</v>
      </c>
      <c r="AV44" s="30">
        <v>198.3</v>
      </c>
      <c r="AW44" s="30">
        <v>241.8</v>
      </c>
      <c r="AX44" s="30">
        <v>240</v>
      </c>
      <c r="AY44" s="30">
        <v>245.1</v>
      </c>
      <c r="AZ44" s="30">
        <v>239</v>
      </c>
      <c r="BA44" s="30">
        <v>256.7</v>
      </c>
      <c r="BB44" s="30">
        <v>252.7</v>
      </c>
      <c r="BC44" s="30">
        <v>284.2</v>
      </c>
      <c r="BD44" s="30">
        <v>240.5</v>
      </c>
      <c r="BE44" s="30">
        <v>268.7</v>
      </c>
      <c r="BF44" s="30">
        <v>253.4</v>
      </c>
      <c r="BG44" s="30">
        <v>270.39999999999998</v>
      </c>
      <c r="BH44" s="30">
        <v>230.3</v>
      </c>
      <c r="BI44" s="30">
        <v>231.3</v>
      </c>
      <c r="BJ44" s="30">
        <v>232.1</v>
      </c>
      <c r="BK44" s="30">
        <v>277.8</v>
      </c>
      <c r="BL44" s="30">
        <v>236.8</v>
      </c>
    </row>
    <row r="45" spans="1:88" x14ac:dyDescent="0.25">
      <c r="A45">
        <f t="shared" ref="A45:A65" si="125">+A44+1</f>
        <v>39</v>
      </c>
      <c r="B45" t="s">
        <v>636</v>
      </c>
      <c r="C45" t="s">
        <v>20</v>
      </c>
      <c r="G45" s="31">
        <f t="shared" si="54"/>
        <v>6352.5999999999995</v>
      </c>
      <c r="H45" s="31"/>
      <c r="I45" s="30">
        <f t="shared" ref="I45:I51" si="126">SUM(AC45:AF45)</f>
        <v>192.9</v>
      </c>
      <c r="J45" s="30">
        <f>SUM(AG45:AJ45)</f>
        <v>483.59999999999997</v>
      </c>
      <c r="K45" s="30">
        <f>SUM(AK45:AN45)</f>
        <v>810.1</v>
      </c>
      <c r="L45" s="30">
        <f>SUM(AO45:AR45)</f>
        <v>1227.4000000000001</v>
      </c>
      <c r="M45" s="30">
        <f>SUM(AS45:AV45)</f>
        <v>2079.6999999999998</v>
      </c>
      <c r="N45" s="30">
        <f t="shared" ref="N45:N65" si="127">SUM(AW45:AZ45)</f>
        <v>1558.9</v>
      </c>
      <c r="O45" s="30">
        <f t="shared" ref="O45:O65" si="128">SUM(BA45:BD45)</f>
        <v>0</v>
      </c>
      <c r="P45" s="30"/>
      <c r="Q45" s="30"/>
      <c r="R45" s="30"/>
      <c r="AC45" s="30">
        <v>21</v>
      </c>
      <c r="AD45" s="30">
        <v>29.7</v>
      </c>
      <c r="AE45" s="30">
        <v>57.7</v>
      </c>
      <c r="AF45" s="30">
        <v>84.5</v>
      </c>
      <c r="AG45" s="30">
        <v>83.1</v>
      </c>
      <c r="AH45" s="30">
        <v>109.4</v>
      </c>
      <c r="AI45" s="30">
        <v>133.9</v>
      </c>
      <c r="AJ45" s="30">
        <v>157.19999999999999</v>
      </c>
      <c r="AK45" s="30">
        <v>179.1</v>
      </c>
      <c r="AL45" s="30">
        <v>188</v>
      </c>
      <c r="AM45" s="30">
        <v>208.6</v>
      </c>
      <c r="AN45" s="30">
        <v>234.4</v>
      </c>
      <c r="AO45" s="30">
        <v>281.60000000000002</v>
      </c>
      <c r="AP45" s="30">
        <v>269</v>
      </c>
      <c r="AQ45" s="30">
        <v>341.3</v>
      </c>
      <c r="AR45" s="30">
        <v>335.5</v>
      </c>
      <c r="AS45" s="30">
        <v>404.1</v>
      </c>
      <c r="AT45" s="30">
        <v>469.4</v>
      </c>
      <c r="AU45" s="30">
        <v>588.5</v>
      </c>
      <c r="AV45" s="30">
        <v>617.70000000000005</v>
      </c>
      <c r="AW45" s="30">
        <v>808</v>
      </c>
      <c r="AX45" s="30">
        <v>750.9</v>
      </c>
    </row>
    <row r="46" spans="1:88" x14ac:dyDescent="0.25">
      <c r="A46">
        <f t="shared" si="125"/>
        <v>40</v>
      </c>
      <c r="B46" t="s">
        <v>1104</v>
      </c>
      <c r="C46" t="s">
        <v>30</v>
      </c>
      <c r="G46" s="31">
        <f t="shared" si="54"/>
        <v>5845</v>
      </c>
      <c r="H46" s="31"/>
      <c r="I46" s="30">
        <f t="shared" si="126"/>
        <v>721</v>
      </c>
      <c r="J46" s="30">
        <f>SUM(AG46:AJ46)</f>
        <v>1179</v>
      </c>
      <c r="K46" s="30">
        <f>SUM(AK46:AN46)</f>
        <v>1459</v>
      </c>
      <c r="L46" s="30">
        <f>SUM(AO46:AR46)</f>
        <v>1248</v>
      </c>
      <c r="M46" s="30">
        <f>SUM(AS46:AV46)</f>
        <v>1238</v>
      </c>
      <c r="N46" s="30">
        <f t="shared" si="127"/>
        <v>0</v>
      </c>
      <c r="O46" s="30">
        <f t="shared" si="128"/>
        <v>0</v>
      </c>
      <c r="P46" s="30"/>
      <c r="Q46" s="30"/>
      <c r="R46" s="30"/>
      <c r="AC46" s="29">
        <v>160</v>
      </c>
      <c r="AD46" s="29">
        <v>186</v>
      </c>
      <c r="AE46" s="29">
        <v>170</v>
      </c>
      <c r="AF46" s="29">
        <v>205</v>
      </c>
      <c r="AG46" s="29">
        <v>291</v>
      </c>
      <c r="AH46" s="29">
        <v>254</v>
      </c>
      <c r="AI46" s="29">
        <v>319</v>
      </c>
      <c r="AJ46" s="29">
        <v>315</v>
      </c>
      <c r="AK46" s="29">
        <v>375</v>
      </c>
      <c r="AL46" s="29">
        <v>342</v>
      </c>
      <c r="AM46" s="29">
        <v>363</v>
      </c>
      <c r="AN46" s="29">
        <v>379</v>
      </c>
      <c r="AO46" s="29">
        <v>319</v>
      </c>
      <c r="AP46" s="29">
        <v>309</v>
      </c>
      <c r="AQ46" s="29">
        <v>309</v>
      </c>
      <c r="AR46" s="29">
        <v>311</v>
      </c>
      <c r="AS46" s="29">
        <v>308</v>
      </c>
      <c r="AT46" s="29">
        <v>286</v>
      </c>
      <c r="AU46" s="29">
        <v>295</v>
      </c>
      <c r="AV46" s="29">
        <v>349</v>
      </c>
    </row>
    <row r="47" spans="1:88" x14ac:dyDescent="0.25">
      <c r="A47">
        <f t="shared" si="125"/>
        <v>41</v>
      </c>
      <c r="B47" t="s">
        <v>641</v>
      </c>
      <c r="C47" t="s">
        <v>20</v>
      </c>
      <c r="G47" s="31">
        <f t="shared" si="54"/>
        <v>5220.2999999999984</v>
      </c>
      <c r="H47" s="31"/>
      <c r="I47" s="30">
        <f t="shared" si="126"/>
        <v>38.299999999999997</v>
      </c>
      <c r="J47" s="30">
        <f t="shared" ref="J47:J65" si="129">SUM(AG47:AJ47)</f>
        <v>191.5</v>
      </c>
      <c r="K47" s="30">
        <f t="shared" ref="K47:K65" si="130">SUM(AK47:AN47)</f>
        <v>667.3</v>
      </c>
      <c r="L47" s="30">
        <f t="shared" ref="L47:L65" si="131">SUM(AO47:AR47)</f>
        <v>975.5</v>
      </c>
      <c r="M47" s="30">
        <f t="shared" ref="M47:M65" si="132">SUM(AS47:AV47)</f>
        <v>1164.5</v>
      </c>
      <c r="N47" s="30">
        <f t="shared" si="127"/>
        <v>987.59999999999991</v>
      </c>
      <c r="O47" s="30">
        <f t="shared" si="128"/>
        <v>800.90000000000009</v>
      </c>
      <c r="P47" s="30"/>
      <c r="Q47" s="30"/>
      <c r="R47" s="30"/>
      <c r="AC47" s="30">
        <v>3.8</v>
      </c>
      <c r="AD47" s="30">
        <v>7.3</v>
      </c>
      <c r="AE47" s="30">
        <v>10.9</v>
      </c>
      <c r="AF47" s="30">
        <v>16.3</v>
      </c>
      <c r="AG47" s="30">
        <v>19.399999999999999</v>
      </c>
      <c r="AH47" s="30">
        <v>39.5</v>
      </c>
      <c r="AI47" s="30">
        <v>46</v>
      </c>
      <c r="AJ47" s="30">
        <v>86.6</v>
      </c>
      <c r="AK47" s="30">
        <v>145.69999999999999</v>
      </c>
      <c r="AL47" s="30">
        <v>153.80000000000001</v>
      </c>
      <c r="AM47" s="30">
        <v>166</v>
      </c>
      <c r="AN47" s="30">
        <v>201.8</v>
      </c>
      <c r="AO47" s="30">
        <v>201.2</v>
      </c>
      <c r="AP47" s="30">
        <v>232.2</v>
      </c>
      <c r="AQ47" s="30">
        <v>251.4</v>
      </c>
      <c r="AR47" s="30">
        <v>290.7</v>
      </c>
      <c r="AS47" s="30">
        <v>263.2</v>
      </c>
      <c r="AT47" s="30">
        <v>307.2</v>
      </c>
      <c r="AU47" s="30">
        <v>303.7</v>
      </c>
      <c r="AV47" s="30">
        <v>290.39999999999998</v>
      </c>
      <c r="AW47" s="30">
        <v>248.2</v>
      </c>
      <c r="AX47" s="30">
        <v>282.10000000000002</v>
      </c>
      <c r="AY47" s="30">
        <v>246.6</v>
      </c>
      <c r="AZ47" s="30">
        <v>210.7</v>
      </c>
      <c r="BA47" s="30">
        <v>192.8</v>
      </c>
      <c r="BB47" s="30">
        <v>242.4</v>
      </c>
      <c r="BC47" s="30">
        <v>191.5</v>
      </c>
      <c r="BD47" s="30">
        <v>174.2</v>
      </c>
      <c r="BE47" s="30">
        <v>193</v>
      </c>
      <c r="BF47" s="30">
        <v>201.7</v>
      </c>
    </row>
    <row r="48" spans="1:88" x14ac:dyDescent="0.25">
      <c r="A48">
        <f t="shared" si="125"/>
        <v>42</v>
      </c>
      <c r="B48" t="s">
        <v>1102</v>
      </c>
      <c r="C48" t="s">
        <v>30</v>
      </c>
      <c r="G48" s="31">
        <f t="shared" si="54"/>
        <v>5086</v>
      </c>
      <c r="H48" s="31"/>
      <c r="I48" s="30">
        <f t="shared" si="126"/>
        <v>131</v>
      </c>
      <c r="J48" s="30">
        <f t="shared" si="129"/>
        <v>690</v>
      </c>
      <c r="K48" s="30">
        <f t="shared" si="130"/>
        <v>1531</v>
      </c>
      <c r="L48" s="30">
        <f t="shared" si="131"/>
        <v>2734</v>
      </c>
      <c r="M48" s="30">
        <f t="shared" si="132"/>
        <v>0</v>
      </c>
      <c r="N48" s="30">
        <f t="shared" si="127"/>
        <v>0</v>
      </c>
      <c r="O48" s="30">
        <f t="shared" si="128"/>
        <v>0</v>
      </c>
      <c r="P48" s="30"/>
      <c r="Q48" s="30"/>
      <c r="R48" s="30"/>
      <c r="AC48" s="29">
        <v>1</v>
      </c>
      <c r="AD48" s="29">
        <v>14</v>
      </c>
      <c r="AE48" s="29">
        <v>50</v>
      </c>
      <c r="AF48" s="29">
        <v>66</v>
      </c>
      <c r="AG48" s="29">
        <v>109</v>
      </c>
      <c r="AH48" s="29">
        <v>147</v>
      </c>
      <c r="AI48" s="29">
        <v>195</v>
      </c>
      <c r="AJ48" s="29">
        <v>239</v>
      </c>
      <c r="AK48" s="29">
        <v>289</v>
      </c>
      <c r="AL48" s="29">
        <v>369</v>
      </c>
      <c r="AM48" s="29">
        <v>384</v>
      </c>
      <c r="AN48" s="29">
        <v>489</v>
      </c>
      <c r="AO48" s="29">
        <v>657</v>
      </c>
      <c r="AP48" s="29">
        <v>641</v>
      </c>
      <c r="AQ48" s="29">
        <v>637</v>
      </c>
      <c r="AR48" s="29">
        <v>799</v>
      </c>
    </row>
    <row r="49" spans="1:58" x14ac:dyDescent="0.25">
      <c r="A49">
        <f t="shared" si="125"/>
        <v>43</v>
      </c>
      <c r="B49" t="s">
        <v>637</v>
      </c>
      <c r="C49" t="s">
        <v>20</v>
      </c>
      <c r="G49" s="31">
        <f t="shared" si="54"/>
        <v>3488.8</v>
      </c>
      <c r="H49" s="31"/>
      <c r="I49" s="30">
        <f t="shared" si="126"/>
        <v>45.9</v>
      </c>
      <c r="J49" s="30">
        <f t="shared" si="129"/>
        <v>202.6</v>
      </c>
      <c r="K49" s="30">
        <f t="shared" si="130"/>
        <v>426.90000000000003</v>
      </c>
      <c r="L49" s="30">
        <f t="shared" si="131"/>
        <v>638.9</v>
      </c>
      <c r="M49" s="30">
        <f t="shared" si="132"/>
        <v>1115.0999999999999</v>
      </c>
      <c r="N49" s="30">
        <f t="shared" si="127"/>
        <v>830.5</v>
      </c>
      <c r="O49" s="30">
        <f t="shared" si="128"/>
        <v>228.9</v>
      </c>
      <c r="P49" s="30"/>
      <c r="Q49" s="30"/>
      <c r="R49" s="30"/>
      <c r="AC49" s="29">
        <v>1.9</v>
      </c>
      <c r="AD49" s="29">
        <v>4.8</v>
      </c>
      <c r="AE49" s="29">
        <v>16.2</v>
      </c>
      <c r="AF49" s="29">
        <v>23</v>
      </c>
      <c r="AG49" s="29">
        <v>32.200000000000003</v>
      </c>
      <c r="AH49" s="29">
        <v>44.7</v>
      </c>
      <c r="AI49" s="29">
        <v>55.6</v>
      </c>
      <c r="AJ49" s="29">
        <v>70.099999999999994</v>
      </c>
      <c r="AK49" s="29">
        <v>82.1</v>
      </c>
      <c r="AL49" s="29">
        <v>102.4</v>
      </c>
      <c r="AM49" s="29">
        <v>114.6</v>
      </c>
      <c r="AN49" s="29">
        <v>127.8</v>
      </c>
      <c r="AO49" s="29">
        <v>139.69999999999999</v>
      </c>
      <c r="AP49" s="29">
        <v>145</v>
      </c>
      <c r="AQ49" s="29">
        <v>162</v>
      </c>
      <c r="AR49" s="29">
        <v>192.2</v>
      </c>
      <c r="AS49" s="29">
        <v>193.8</v>
      </c>
      <c r="AT49" s="29">
        <v>208.4</v>
      </c>
      <c r="AU49" s="29">
        <v>406.9</v>
      </c>
      <c r="AV49" s="29">
        <v>306</v>
      </c>
      <c r="AW49" s="29">
        <v>255.6</v>
      </c>
      <c r="AX49" s="29">
        <v>186.2</v>
      </c>
      <c r="AY49" s="29">
        <v>182.9</v>
      </c>
      <c r="AZ49" s="29">
        <v>205.8</v>
      </c>
      <c r="BA49" s="29">
        <v>228.9</v>
      </c>
    </row>
    <row r="50" spans="1:58" x14ac:dyDescent="0.25">
      <c r="A50">
        <f t="shared" si="125"/>
        <v>44</v>
      </c>
      <c r="B50" t="s">
        <v>645</v>
      </c>
      <c r="C50" t="s">
        <v>20</v>
      </c>
      <c r="G50" s="31">
        <f t="shared" si="54"/>
        <v>2990.3</v>
      </c>
      <c r="H50" s="31"/>
      <c r="I50" s="30">
        <f t="shared" si="126"/>
        <v>58.300000000000004</v>
      </c>
      <c r="J50" s="30">
        <f t="shared" si="129"/>
        <v>211.3</v>
      </c>
      <c r="K50" s="30">
        <f t="shared" si="130"/>
        <v>401.2</v>
      </c>
      <c r="L50" s="30">
        <f t="shared" si="131"/>
        <v>483.6</v>
      </c>
      <c r="M50" s="30">
        <f t="shared" si="132"/>
        <v>508.4</v>
      </c>
      <c r="N50" s="30">
        <f t="shared" si="127"/>
        <v>519.90000000000009</v>
      </c>
      <c r="O50" s="30">
        <f t="shared" si="128"/>
        <v>539</v>
      </c>
      <c r="P50" s="30"/>
      <c r="Q50" s="30"/>
      <c r="R50" s="30"/>
      <c r="AC50" s="29">
        <v>22.6</v>
      </c>
      <c r="AD50" s="29">
        <v>4</v>
      </c>
      <c r="AE50" s="29">
        <v>8.8000000000000007</v>
      </c>
      <c r="AF50" s="29">
        <v>22.9</v>
      </c>
      <c r="AG50" s="29">
        <v>36.299999999999997</v>
      </c>
      <c r="AH50" s="29">
        <v>47</v>
      </c>
      <c r="AI50" s="29">
        <v>56.3</v>
      </c>
      <c r="AJ50" s="29">
        <v>71.7</v>
      </c>
      <c r="AK50" s="29">
        <v>83.5</v>
      </c>
      <c r="AL50" s="29">
        <v>90.9</v>
      </c>
      <c r="AM50" s="29">
        <v>115.8</v>
      </c>
      <c r="AN50" s="29">
        <v>111</v>
      </c>
      <c r="AO50" s="29">
        <v>109.7</v>
      </c>
      <c r="AP50" s="29">
        <v>120.6</v>
      </c>
      <c r="AQ50" s="29">
        <v>115.9</v>
      </c>
      <c r="AR50" s="29">
        <v>137.4</v>
      </c>
      <c r="AS50" s="29">
        <v>124.9</v>
      </c>
      <c r="AT50" s="29">
        <v>130.6</v>
      </c>
      <c r="AU50" s="29">
        <v>119.3</v>
      </c>
      <c r="AV50" s="29">
        <v>133.6</v>
      </c>
      <c r="AW50" s="29">
        <v>131.5</v>
      </c>
      <c r="AX50" s="29">
        <v>137.80000000000001</v>
      </c>
      <c r="AY50" s="29">
        <v>121.8</v>
      </c>
      <c r="AZ50" s="29">
        <v>128.80000000000001</v>
      </c>
      <c r="BA50" s="29">
        <v>132.1</v>
      </c>
      <c r="BB50" s="29">
        <v>140.30000000000001</v>
      </c>
      <c r="BC50" s="29">
        <v>131.5</v>
      </c>
      <c r="BD50" s="29">
        <v>135.1</v>
      </c>
      <c r="BE50" s="29">
        <v>127.7</v>
      </c>
      <c r="BF50" s="29">
        <v>140.9</v>
      </c>
    </row>
    <row r="51" spans="1:58" x14ac:dyDescent="0.25">
      <c r="A51">
        <f t="shared" si="125"/>
        <v>45</v>
      </c>
      <c r="B51" t="s">
        <v>646</v>
      </c>
      <c r="C51" t="s">
        <v>20</v>
      </c>
      <c r="G51" s="31">
        <f t="shared" si="54"/>
        <v>2345.5313432835819</v>
      </c>
      <c r="H51" s="31"/>
      <c r="I51" s="30">
        <f t="shared" si="126"/>
        <v>175.7</v>
      </c>
      <c r="J51" s="30">
        <f t="shared" si="129"/>
        <v>379.93134328358212</v>
      </c>
      <c r="K51" s="30">
        <f t="shared" si="130"/>
        <v>385.2</v>
      </c>
      <c r="L51" s="30">
        <f t="shared" si="131"/>
        <v>430.90000000000003</v>
      </c>
      <c r="M51" s="30">
        <f t="shared" si="132"/>
        <v>445.8</v>
      </c>
      <c r="N51" s="30">
        <f t="shared" si="127"/>
        <v>417.7</v>
      </c>
      <c r="O51" s="30">
        <f t="shared" si="128"/>
        <v>110.3</v>
      </c>
      <c r="P51" s="30"/>
      <c r="Q51" s="30"/>
      <c r="R51" s="30"/>
      <c r="AC51" s="30">
        <v>25.7</v>
      </c>
      <c r="AD51" s="30">
        <v>36</v>
      </c>
      <c r="AE51" s="30">
        <v>52</v>
      </c>
      <c r="AF51" s="30">
        <v>62</v>
      </c>
      <c r="AG51" s="30">
        <f>AK51/1.34</f>
        <v>68.731343283582078</v>
      </c>
      <c r="AH51" s="30">
        <v>72</v>
      </c>
      <c r="AI51" s="30">
        <v>152.1</v>
      </c>
      <c r="AJ51" s="30">
        <v>87.1</v>
      </c>
      <c r="AK51" s="30">
        <v>92.1</v>
      </c>
      <c r="AL51" s="30">
        <v>82.7</v>
      </c>
      <c r="AM51" s="30">
        <v>101.2</v>
      </c>
      <c r="AN51" s="30">
        <v>109.2</v>
      </c>
      <c r="AO51" s="30">
        <v>103</v>
      </c>
      <c r="AP51" s="30">
        <v>97.5</v>
      </c>
      <c r="AQ51" s="30">
        <v>114.6</v>
      </c>
      <c r="AR51" s="30">
        <v>115.8</v>
      </c>
      <c r="AS51" s="30">
        <v>120.5</v>
      </c>
      <c r="AT51" s="30">
        <v>115.7</v>
      </c>
      <c r="AU51" s="30">
        <v>106.9</v>
      </c>
      <c r="AV51" s="30">
        <v>102.7</v>
      </c>
      <c r="AW51" s="30">
        <v>105.3</v>
      </c>
      <c r="AX51" s="30">
        <v>101.8</v>
      </c>
      <c r="AY51" s="30">
        <v>103.9</v>
      </c>
      <c r="AZ51" s="30">
        <v>106.7</v>
      </c>
      <c r="BA51" s="30">
        <v>110.3</v>
      </c>
    </row>
    <row r="52" spans="1:58" x14ac:dyDescent="0.25">
      <c r="A52">
        <f t="shared" si="125"/>
        <v>46</v>
      </c>
      <c r="B52" t="s">
        <v>1419</v>
      </c>
      <c r="C52" t="s">
        <v>20</v>
      </c>
      <c r="G52" s="31">
        <f t="shared" si="54"/>
        <v>1936</v>
      </c>
      <c r="H52" s="31"/>
      <c r="I52" s="30">
        <f t="shared" ref="I52" si="133">SUM(AC52:AF52)</f>
        <v>1936</v>
      </c>
      <c r="J52" s="30">
        <f t="shared" ref="J52" si="134">SUM(AG52:AJ52)</f>
        <v>0</v>
      </c>
      <c r="K52" s="30">
        <f t="shared" ref="K52" si="135">SUM(AK52:AN52)</f>
        <v>0</v>
      </c>
      <c r="L52" s="30">
        <f t="shared" ref="L52" si="136">SUM(AO52:AR52)</f>
        <v>0</v>
      </c>
      <c r="M52" s="30">
        <f t="shared" ref="M52" si="137">SUM(AS52:AV52)</f>
        <v>0</v>
      </c>
      <c r="N52" s="30">
        <f t="shared" si="127"/>
        <v>0</v>
      </c>
      <c r="O52" s="30">
        <f t="shared" si="128"/>
        <v>0</v>
      </c>
      <c r="P52" s="30"/>
      <c r="Q52" s="30"/>
      <c r="R52" s="30"/>
      <c r="AC52" s="30">
        <v>176</v>
      </c>
      <c r="AD52" s="30">
        <v>517</v>
      </c>
      <c r="AE52" s="30">
        <v>1243</v>
      </c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</row>
    <row r="53" spans="1:58" x14ac:dyDescent="0.25">
      <c r="A53">
        <f t="shared" si="125"/>
        <v>47</v>
      </c>
      <c r="B53" t="s">
        <v>634</v>
      </c>
      <c r="C53" t="s">
        <v>20</v>
      </c>
      <c r="G53" s="31">
        <f t="shared" si="54"/>
        <v>1912.6999999999998</v>
      </c>
      <c r="H53" s="31"/>
      <c r="I53" s="30">
        <f t="shared" ref="I53:I65" si="138">SUM(AC53:AF53)</f>
        <v>101.1</v>
      </c>
      <c r="J53" s="30">
        <f t="shared" si="129"/>
        <v>319.20000000000005</v>
      </c>
      <c r="K53" s="30">
        <f t="shared" si="130"/>
        <v>525.70000000000005</v>
      </c>
      <c r="L53" s="30">
        <f t="shared" si="131"/>
        <v>636.79999999999995</v>
      </c>
      <c r="M53" s="30">
        <f t="shared" si="132"/>
        <v>329.9</v>
      </c>
      <c r="N53" s="30">
        <f t="shared" si="127"/>
        <v>0</v>
      </c>
      <c r="O53" s="30">
        <f t="shared" si="128"/>
        <v>0</v>
      </c>
      <c r="P53" s="30"/>
      <c r="Q53" s="30"/>
      <c r="R53" s="30"/>
      <c r="AC53" s="29">
        <v>4.9000000000000004</v>
      </c>
      <c r="AD53" s="29">
        <v>14.2</v>
      </c>
      <c r="AE53" s="29">
        <v>34.299999999999997</v>
      </c>
      <c r="AF53" s="29">
        <v>47.7</v>
      </c>
      <c r="AG53" s="29">
        <v>66.3</v>
      </c>
      <c r="AH53" s="29">
        <v>74</v>
      </c>
      <c r="AI53" s="29">
        <v>87.4</v>
      </c>
      <c r="AJ53" s="29">
        <v>91.5</v>
      </c>
      <c r="AK53" s="29">
        <v>109.9</v>
      </c>
      <c r="AL53" s="29">
        <v>119.5</v>
      </c>
      <c r="AM53" s="29">
        <v>156.30000000000001</v>
      </c>
      <c r="AN53" s="29">
        <v>140</v>
      </c>
      <c r="AO53" s="29">
        <v>161.5</v>
      </c>
      <c r="AP53" s="29">
        <v>149.30000000000001</v>
      </c>
      <c r="AQ53" s="29">
        <v>157.5</v>
      </c>
      <c r="AR53" s="29">
        <v>168.5</v>
      </c>
      <c r="AS53" s="29">
        <v>175.6</v>
      </c>
      <c r="AT53" s="29">
        <v>154.30000000000001</v>
      </c>
    </row>
    <row r="54" spans="1:58" x14ac:dyDescent="0.25">
      <c r="A54">
        <f t="shared" si="125"/>
        <v>48</v>
      </c>
      <c r="B54" t="s">
        <v>1103</v>
      </c>
      <c r="C54" t="s">
        <v>30</v>
      </c>
      <c r="G54" s="31">
        <f t="shared" si="54"/>
        <v>1906</v>
      </c>
      <c r="H54" s="31"/>
      <c r="I54" s="30">
        <f t="shared" si="138"/>
        <v>271</v>
      </c>
      <c r="J54" s="30">
        <f t="shared" si="129"/>
        <v>980</v>
      </c>
      <c r="K54" s="30">
        <f t="shared" si="130"/>
        <v>655</v>
      </c>
      <c r="L54" s="30">
        <f t="shared" si="131"/>
        <v>0</v>
      </c>
      <c r="M54" s="30">
        <f t="shared" si="132"/>
        <v>0</v>
      </c>
      <c r="N54" s="30">
        <f t="shared" si="127"/>
        <v>0</v>
      </c>
      <c r="O54" s="30">
        <f t="shared" si="128"/>
        <v>0</v>
      </c>
      <c r="P54" s="30"/>
      <c r="Q54" s="30"/>
      <c r="R54" s="30"/>
      <c r="AC54" s="30">
        <v>2</v>
      </c>
      <c r="AD54" s="30">
        <v>10</v>
      </c>
      <c r="AE54" s="30">
        <v>80</v>
      </c>
      <c r="AF54" s="30">
        <v>179</v>
      </c>
      <c r="AG54" s="30">
        <v>211</v>
      </c>
      <c r="AH54" s="30">
        <v>240</v>
      </c>
      <c r="AI54" s="30">
        <v>256</v>
      </c>
      <c r="AJ54" s="30">
        <v>273</v>
      </c>
      <c r="AK54" s="30">
        <v>310</v>
      </c>
      <c r="AL54" s="30">
        <v>345</v>
      </c>
    </row>
    <row r="55" spans="1:58" x14ac:dyDescent="0.25">
      <c r="A55">
        <f t="shared" si="125"/>
        <v>49</v>
      </c>
      <c r="B55" t="s">
        <v>1108</v>
      </c>
      <c r="C55" t="s">
        <v>30</v>
      </c>
      <c r="G55" s="31">
        <f t="shared" si="54"/>
        <v>1866</v>
      </c>
      <c r="H55" s="31"/>
      <c r="I55" s="30">
        <f t="shared" si="138"/>
        <v>263</v>
      </c>
      <c r="J55" s="30">
        <f t="shared" si="129"/>
        <v>327</v>
      </c>
      <c r="K55" s="30">
        <f t="shared" si="130"/>
        <v>327</v>
      </c>
      <c r="L55" s="30">
        <f t="shared" si="131"/>
        <v>461</v>
      </c>
      <c r="M55" s="30">
        <f t="shared" si="132"/>
        <v>488</v>
      </c>
      <c r="N55" s="30">
        <f t="shared" si="127"/>
        <v>0</v>
      </c>
      <c r="O55" s="30">
        <f t="shared" si="128"/>
        <v>0</v>
      </c>
      <c r="P55" s="30"/>
      <c r="Q55" s="30"/>
      <c r="R55" s="30"/>
      <c r="AC55" s="29">
        <v>43</v>
      </c>
      <c r="AD55" s="29">
        <v>67</v>
      </c>
      <c r="AE55" s="29">
        <v>74</v>
      </c>
      <c r="AF55" s="29">
        <v>79</v>
      </c>
      <c r="AG55" s="29">
        <v>83</v>
      </c>
      <c r="AH55" s="29">
        <v>84</v>
      </c>
      <c r="AI55" s="29">
        <v>78</v>
      </c>
      <c r="AJ55" s="29">
        <v>82</v>
      </c>
      <c r="AK55" s="29">
        <v>82</v>
      </c>
      <c r="AL55" s="29">
        <v>87</v>
      </c>
      <c r="AM55" s="29">
        <v>73</v>
      </c>
      <c r="AN55" s="29">
        <v>85</v>
      </c>
      <c r="AO55" s="29">
        <v>103</v>
      </c>
      <c r="AP55" s="29">
        <v>112</v>
      </c>
      <c r="AQ55" s="29">
        <v>116</v>
      </c>
      <c r="AR55" s="29">
        <v>130</v>
      </c>
      <c r="AS55" s="29">
        <v>128</v>
      </c>
      <c r="AT55" s="29">
        <v>131</v>
      </c>
      <c r="AU55" s="29">
        <v>109</v>
      </c>
      <c r="AV55" s="29">
        <v>120</v>
      </c>
    </row>
    <row r="56" spans="1:58" x14ac:dyDescent="0.25">
      <c r="A56">
        <f t="shared" si="125"/>
        <v>50</v>
      </c>
      <c r="B56" t="s">
        <v>1106</v>
      </c>
      <c r="C56" t="s">
        <v>30</v>
      </c>
      <c r="G56" s="31">
        <f t="shared" si="54"/>
        <v>1221</v>
      </c>
      <c r="H56" s="31"/>
      <c r="I56" s="30">
        <f t="shared" si="138"/>
        <v>85</v>
      </c>
      <c r="J56" s="30">
        <f t="shared" si="129"/>
        <v>230</v>
      </c>
      <c r="K56" s="30">
        <f t="shared" si="130"/>
        <v>321</v>
      </c>
      <c r="L56" s="30">
        <f t="shared" si="131"/>
        <v>376</v>
      </c>
      <c r="M56" s="30">
        <f t="shared" si="132"/>
        <v>209</v>
      </c>
      <c r="N56" s="30">
        <f t="shared" si="127"/>
        <v>0</v>
      </c>
      <c r="O56" s="30">
        <f t="shared" si="128"/>
        <v>0</v>
      </c>
      <c r="P56" s="30"/>
      <c r="Q56" s="30"/>
      <c r="R56" s="30"/>
      <c r="AC56" s="29">
        <v>4</v>
      </c>
      <c r="AD56" s="29">
        <v>17</v>
      </c>
      <c r="AE56" s="29">
        <v>30</v>
      </c>
      <c r="AF56" s="29">
        <v>34</v>
      </c>
      <c r="AG56" s="29">
        <v>49</v>
      </c>
      <c r="AH56" s="29">
        <v>57</v>
      </c>
      <c r="AI56" s="29">
        <v>55</v>
      </c>
      <c r="AJ56" s="29">
        <v>69</v>
      </c>
      <c r="AK56" s="29">
        <v>76</v>
      </c>
      <c r="AL56" s="29">
        <v>81</v>
      </c>
      <c r="AM56" s="29">
        <v>79</v>
      </c>
      <c r="AN56" s="29">
        <v>85</v>
      </c>
      <c r="AO56" s="29">
        <v>94</v>
      </c>
      <c r="AP56" s="29">
        <v>99</v>
      </c>
      <c r="AQ56" s="29">
        <v>89</v>
      </c>
      <c r="AR56" s="29">
        <v>94</v>
      </c>
      <c r="AS56" s="29">
        <v>103</v>
      </c>
      <c r="AT56" s="29">
        <v>106</v>
      </c>
    </row>
    <row r="57" spans="1:58" x14ac:dyDescent="0.25">
      <c r="A57">
        <f t="shared" si="125"/>
        <v>51</v>
      </c>
      <c r="B57" t="s">
        <v>638</v>
      </c>
      <c r="C57" t="s">
        <v>20</v>
      </c>
      <c r="G57" s="31">
        <f t="shared" si="54"/>
        <v>1215.2</v>
      </c>
      <c r="H57" s="31"/>
      <c r="I57" s="30">
        <f t="shared" si="138"/>
        <v>134</v>
      </c>
      <c r="J57" s="30">
        <f t="shared" si="129"/>
        <v>308.7</v>
      </c>
      <c r="K57" s="30">
        <f t="shared" si="130"/>
        <v>418.09999999999997</v>
      </c>
      <c r="L57" s="30">
        <f t="shared" si="131"/>
        <v>293.39999999999998</v>
      </c>
      <c r="M57" s="30">
        <f t="shared" si="132"/>
        <v>61</v>
      </c>
      <c r="N57" s="30">
        <f t="shared" si="127"/>
        <v>0</v>
      </c>
      <c r="O57" s="30">
        <f t="shared" si="128"/>
        <v>0</v>
      </c>
      <c r="P57" s="30"/>
      <c r="Q57" s="30"/>
      <c r="R57" s="30"/>
      <c r="AC57" s="29">
        <v>9.9</v>
      </c>
      <c r="AD57" s="29">
        <v>40.1</v>
      </c>
      <c r="AE57" s="29">
        <v>46.6</v>
      </c>
      <c r="AF57" s="29">
        <v>37.4</v>
      </c>
      <c r="AG57" s="29">
        <v>57.4</v>
      </c>
      <c r="AH57" s="29">
        <v>64.099999999999994</v>
      </c>
      <c r="AI57" s="29">
        <v>84.4</v>
      </c>
      <c r="AJ57" s="29">
        <v>102.8</v>
      </c>
      <c r="AK57" s="29">
        <v>109.7</v>
      </c>
      <c r="AL57" s="29">
        <v>105</v>
      </c>
      <c r="AM57" s="29">
        <v>125.6</v>
      </c>
      <c r="AN57" s="29">
        <v>77.8</v>
      </c>
      <c r="AO57" s="29">
        <v>85.5</v>
      </c>
      <c r="AP57" s="29">
        <v>73.599999999999994</v>
      </c>
      <c r="AQ57" s="29">
        <v>76.8</v>
      </c>
      <c r="AR57" s="29">
        <v>57.5</v>
      </c>
      <c r="AS57" s="29">
        <v>61</v>
      </c>
    </row>
    <row r="58" spans="1:58" x14ac:dyDescent="0.25">
      <c r="A58">
        <f t="shared" si="125"/>
        <v>52</v>
      </c>
      <c r="B58" t="s">
        <v>1109</v>
      </c>
      <c r="C58" t="s">
        <v>30</v>
      </c>
      <c r="G58" s="31">
        <f t="shared" si="54"/>
        <v>1127</v>
      </c>
      <c r="H58" s="31"/>
      <c r="I58" s="30">
        <f t="shared" si="138"/>
        <v>83</v>
      </c>
      <c r="J58" s="30">
        <f t="shared" si="129"/>
        <v>136</v>
      </c>
      <c r="K58" s="30">
        <f t="shared" si="130"/>
        <v>212</v>
      </c>
      <c r="L58" s="30">
        <f t="shared" si="131"/>
        <v>218</v>
      </c>
      <c r="M58" s="30">
        <f t="shared" si="132"/>
        <v>256</v>
      </c>
      <c r="N58" s="30">
        <f t="shared" si="127"/>
        <v>222</v>
      </c>
      <c r="O58" s="30">
        <f t="shared" si="128"/>
        <v>0</v>
      </c>
      <c r="P58" s="30"/>
      <c r="Q58" s="30"/>
      <c r="R58" s="30"/>
      <c r="AC58" s="29">
        <v>8</v>
      </c>
      <c r="AD58" s="29">
        <v>18</v>
      </c>
      <c r="AE58" s="29">
        <v>24</v>
      </c>
      <c r="AF58" s="29">
        <v>33</v>
      </c>
      <c r="AG58" s="29">
        <v>28</v>
      </c>
      <c r="AH58" s="29">
        <v>36</v>
      </c>
      <c r="AI58" s="29">
        <v>33</v>
      </c>
      <c r="AJ58" s="29">
        <v>39</v>
      </c>
      <c r="AK58" s="29">
        <v>56</v>
      </c>
      <c r="AL58" s="29">
        <v>47</v>
      </c>
      <c r="AM58" s="29">
        <v>53</v>
      </c>
      <c r="AN58" s="29">
        <v>56</v>
      </c>
      <c r="AO58" s="29">
        <v>59</v>
      </c>
      <c r="AP58" s="29">
        <v>54</v>
      </c>
      <c r="AQ58" s="29">
        <v>55</v>
      </c>
      <c r="AR58" s="29">
        <v>50</v>
      </c>
      <c r="AS58" s="29">
        <v>59</v>
      </c>
      <c r="AT58" s="29">
        <v>61</v>
      </c>
      <c r="AU58" s="29">
        <v>67</v>
      </c>
      <c r="AV58" s="29">
        <v>69</v>
      </c>
      <c r="AW58" s="29">
        <v>69</v>
      </c>
      <c r="AX58" s="29">
        <v>76</v>
      </c>
      <c r="AY58" s="29">
        <v>77</v>
      </c>
    </row>
    <row r="59" spans="1:58" x14ac:dyDescent="0.25">
      <c r="A59">
        <f t="shared" si="125"/>
        <v>53</v>
      </c>
      <c r="B59" t="s">
        <v>1105</v>
      </c>
      <c r="C59" t="s">
        <v>30</v>
      </c>
      <c r="G59" s="31">
        <f t="shared" si="54"/>
        <v>869</v>
      </c>
      <c r="H59" s="31"/>
      <c r="I59" s="30">
        <f t="shared" si="138"/>
        <v>104</v>
      </c>
      <c r="J59" s="30">
        <f t="shared" si="129"/>
        <v>340</v>
      </c>
      <c r="K59" s="30">
        <f t="shared" si="130"/>
        <v>425</v>
      </c>
      <c r="L59" s="30">
        <f t="shared" si="131"/>
        <v>0</v>
      </c>
      <c r="M59" s="30">
        <f t="shared" si="132"/>
        <v>0</v>
      </c>
      <c r="N59" s="30">
        <f t="shared" si="127"/>
        <v>0</v>
      </c>
      <c r="O59" s="30">
        <f t="shared" si="128"/>
        <v>0</v>
      </c>
      <c r="P59" s="30"/>
      <c r="Q59" s="30"/>
      <c r="R59" s="30"/>
      <c r="AC59" s="29">
        <v>7</v>
      </c>
      <c r="AD59" s="29">
        <v>25</v>
      </c>
      <c r="AE59" s="29">
        <v>31</v>
      </c>
      <c r="AF59" s="29">
        <v>41</v>
      </c>
      <c r="AG59" s="29">
        <v>52</v>
      </c>
      <c r="AH59" s="29">
        <v>76</v>
      </c>
      <c r="AI59" s="29">
        <v>106</v>
      </c>
      <c r="AJ59" s="29">
        <v>106</v>
      </c>
      <c r="AK59" s="29">
        <v>125</v>
      </c>
      <c r="AL59" s="29">
        <v>136</v>
      </c>
      <c r="AM59" s="29">
        <v>164</v>
      </c>
    </row>
    <row r="60" spans="1:58" x14ac:dyDescent="0.25">
      <c r="A60">
        <f t="shared" si="125"/>
        <v>54</v>
      </c>
      <c r="B60" t="s">
        <v>1101</v>
      </c>
      <c r="C60" t="s">
        <v>30</v>
      </c>
      <c r="G60" s="31">
        <f t="shared" si="54"/>
        <v>812</v>
      </c>
      <c r="H60" s="31"/>
      <c r="I60" s="30">
        <f t="shared" si="138"/>
        <v>12</v>
      </c>
      <c r="J60" s="30">
        <f t="shared" si="129"/>
        <v>112</v>
      </c>
      <c r="K60" s="30">
        <f t="shared" si="130"/>
        <v>355</v>
      </c>
      <c r="L60" s="30">
        <f t="shared" si="131"/>
        <v>333</v>
      </c>
      <c r="M60" s="30">
        <f t="shared" si="132"/>
        <v>0</v>
      </c>
      <c r="N60" s="30">
        <f t="shared" si="127"/>
        <v>0</v>
      </c>
      <c r="O60" s="30">
        <f t="shared" si="128"/>
        <v>0</v>
      </c>
      <c r="P60" s="30"/>
      <c r="Q60" s="30"/>
      <c r="R60" s="30"/>
      <c r="AC60" s="30">
        <v>1</v>
      </c>
      <c r="AD60" s="30">
        <v>2</v>
      </c>
      <c r="AE60" s="30">
        <v>5</v>
      </c>
      <c r="AF60" s="30">
        <v>4</v>
      </c>
      <c r="AG60" s="30">
        <v>14</v>
      </c>
      <c r="AH60" s="30">
        <v>22</v>
      </c>
      <c r="AI60" s="30">
        <v>34</v>
      </c>
      <c r="AJ60" s="30">
        <v>42</v>
      </c>
      <c r="AK60" s="30">
        <v>64</v>
      </c>
      <c r="AL60" s="30">
        <v>78</v>
      </c>
      <c r="AM60" s="30">
        <v>90</v>
      </c>
      <c r="AN60" s="30">
        <v>123</v>
      </c>
      <c r="AO60" s="30">
        <v>151</v>
      </c>
      <c r="AP60" s="30">
        <v>182</v>
      </c>
    </row>
    <row r="61" spans="1:58" x14ac:dyDescent="0.25">
      <c r="A61">
        <f t="shared" si="125"/>
        <v>55</v>
      </c>
      <c r="B61" t="s">
        <v>1110</v>
      </c>
      <c r="C61" t="s">
        <v>30</v>
      </c>
      <c r="G61" s="31">
        <f t="shared" si="54"/>
        <v>765</v>
      </c>
      <c r="H61" s="31"/>
      <c r="I61" s="30">
        <f t="shared" si="138"/>
        <v>188</v>
      </c>
      <c r="J61" s="30">
        <f t="shared" si="129"/>
        <v>172</v>
      </c>
      <c r="K61" s="30">
        <f t="shared" si="130"/>
        <v>205</v>
      </c>
      <c r="L61" s="30">
        <f t="shared" si="131"/>
        <v>200</v>
      </c>
      <c r="M61" s="30">
        <f t="shared" si="132"/>
        <v>0</v>
      </c>
      <c r="N61" s="30">
        <f t="shared" si="127"/>
        <v>0</v>
      </c>
      <c r="O61" s="30">
        <f t="shared" si="128"/>
        <v>0</v>
      </c>
      <c r="P61" s="30"/>
      <c r="Q61" s="30"/>
      <c r="R61" s="30"/>
      <c r="AC61" s="29">
        <v>35</v>
      </c>
      <c r="AD61" s="29">
        <v>68</v>
      </c>
      <c r="AE61" s="29">
        <v>34</v>
      </c>
      <c r="AF61" s="29">
        <v>51</v>
      </c>
      <c r="AG61" s="29">
        <v>37</v>
      </c>
      <c r="AH61" s="29">
        <v>39</v>
      </c>
      <c r="AI61" s="29">
        <v>47</v>
      </c>
      <c r="AJ61" s="29">
        <v>49</v>
      </c>
      <c r="AK61" s="29">
        <v>51</v>
      </c>
      <c r="AL61" s="29">
        <v>48</v>
      </c>
      <c r="AM61" s="29">
        <v>54</v>
      </c>
      <c r="AN61" s="29">
        <v>52</v>
      </c>
      <c r="AO61" s="29">
        <v>49</v>
      </c>
      <c r="AP61" s="29">
        <v>51</v>
      </c>
      <c r="AQ61" s="29">
        <v>53</v>
      </c>
      <c r="AR61" s="29">
        <v>47</v>
      </c>
    </row>
    <row r="62" spans="1:58" x14ac:dyDescent="0.25">
      <c r="A62">
        <f t="shared" si="125"/>
        <v>56</v>
      </c>
      <c r="B62" t="s">
        <v>1112</v>
      </c>
      <c r="C62" t="s">
        <v>30</v>
      </c>
      <c r="G62" s="31">
        <f t="shared" si="54"/>
        <v>658</v>
      </c>
      <c r="H62" s="31"/>
      <c r="I62" s="30">
        <f t="shared" si="138"/>
        <v>105</v>
      </c>
      <c r="J62" s="30">
        <f t="shared" si="129"/>
        <v>164</v>
      </c>
      <c r="K62" s="30">
        <f t="shared" si="130"/>
        <v>194</v>
      </c>
      <c r="L62" s="30">
        <f t="shared" si="131"/>
        <v>195</v>
      </c>
      <c r="M62" s="30">
        <f t="shared" si="132"/>
        <v>0</v>
      </c>
      <c r="N62" s="30">
        <f t="shared" si="127"/>
        <v>0</v>
      </c>
      <c r="O62" s="30">
        <f t="shared" si="128"/>
        <v>0</v>
      </c>
      <c r="P62" s="30"/>
      <c r="Q62" s="30"/>
      <c r="R62" s="30"/>
      <c r="AC62" s="29">
        <v>15</v>
      </c>
      <c r="AD62" s="29">
        <v>21</v>
      </c>
      <c r="AE62" s="29">
        <v>35</v>
      </c>
      <c r="AF62" s="29">
        <v>34</v>
      </c>
      <c r="AG62" s="29">
        <v>37</v>
      </c>
      <c r="AH62" s="29">
        <v>42</v>
      </c>
      <c r="AI62" s="29">
        <v>42</v>
      </c>
      <c r="AJ62" s="29">
        <v>43</v>
      </c>
      <c r="AK62" s="29">
        <v>44</v>
      </c>
      <c r="AL62" s="29">
        <v>49</v>
      </c>
      <c r="AM62" s="29">
        <v>50</v>
      </c>
      <c r="AN62" s="29">
        <v>51</v>
      </c>
      <c r="AO62" s="29">
        <v>52</v>
      </c>
      <c r="AP62" s="29">
        <v>53</v>
      </c>
      <c r="AQ62" s="29">
        <v>45</v>
      </c>
      <c r="AR62" s="29">
        <v>45</v>
      </c>
    </row>
    <row r="63" spans="1:58" x14ac:dyDescent="0.25">
      <c r="A63">
        <f t="shared" si="125"/>
        <v>57</v>
      </c>
      <c r="B63" t="s">
        <v>1111</v>
      </c>
      <c r="C63" t="s">
        <v>30</v>
      </c>
      <c r="G63" s="31">
        <f t="shared" si="54"/>
        <v>412</v>
      </c>
      <c r="H63" s="31"/>
      <c r="I63" s="30">
        <f t="shared" si="138"/>
        <v>52</v>
      </c>
      <c r="J63" s="30">
        <f t="shared" si="129"/>
        <v>104</v>
      </c>
      <c r="K63" s="30">
        <f t="shared" si="130"/>
        <v>138</v>
      </c>
      <c r="L63" s="30">
        <f t="shared" si="131"/>
        <v>118</v>
      </c>
      <c r="M63" s="30">
        <f t="shared" si="132"/>
        <v>0</v>
      </c>
      <c r="N63" s="30">
        <f t="shared" si="127"/>
        <v>0</v>
      </c>
      <c r="O63" s="30">
        <f t="shared" si="128"/>
        <v>0</v>
      </c>
      <c r="P63" s="30"/>
      <c r="Q63" s="30"/>
      <c r="R63" s="30"/>
      <c r="AC63" s="29">
        <v>6</v>
      </c>
      <c r="AD63" s="29">
        <v>12</v>
      </c>
      <c r="AE63" s="29">
        <v>17</v>
      </c>
      <c r="AF63" s="29">
        <v>17</v>
      </c>
      <c r="AG63" s="29">
        <v>22</v>
      </c>
      <c r="AH63" s="29">
        <v>24</v>
      </c>
      <c r="AI63" s="29">
        <v>27</v>
      </c>
      <c r="AJ63" s="29">
        <v>31</v>
      </c>
      <c r="AK63" s="29">
        <v>30</v>
      </c>
      <c r="AL63" s="29">
        <v>36</v>
      </c>
      <c r="AM63" s="29">
        <v>36</v>
      </c>
      <c r="AN63" s="29">
        <v>36</v>
      </c>
      <c r="AO63" s="29">
        <v>41</v>
      </c>
      <c r="AP63" s="29">
        <v>36</v>
      </c>
      <c r="AQ63" s="29">
        <v>41</v>
      </c>
      <c r="AR63" s="29"/>
    </row>
    <row r="64" spans="1:58" x14ac:dyDescent="0.25">
      <c r="A64">
        <f t="shared" si="125"/>
        <v>58</v>
      </c>
      <c r="B64" t="s">
        <v>639</v>
      </c>
      <c r="C64" t="s">
        <v>20</v>
      </c>
      <c r="G64" s="31">
        <f t="shared" si="54"/>
        <v>394.59999999999991</v>
      </c>
      <c r="H64" s="31"/>
      <c r="I64" s="30">
        <f t="shared" si="138"/>
        <v>53.399999999999991</v>
      </c>
      <c r="J64" s="30">
        <f t="shared" si="129"/>
        <v>139.69999999999999</v>
      </c>
      <c r="K64" s="30">
        <f t="shared" si="130"/>
        <v>201.5</v>
      </c>
      <c r="L64" s="30">
        <f t="shared" si="131"/>
        <v>0</v>
      </c>
      <c r="M64" s="30">
        <f t="shared" si="132"/>
        <v>0</v>
      </c>
      <c r="N64" s="30">
        <f t="shared" si="127"/>
        <v>0</v>
      </c>
      <c r="O64" s="30">
        <f t="shared" si="128"/>
        <v>0</v>
      </c>
      <c r="P64" s="30"/>
      <c r="Q64" s="30"/>
      <c r="R64" s="30"/>
      <c r="AC64" s="30">
        <v>6.3</v>
      </c>
      <c r="AD64" s="30">
        <v>11.6</v>
      </c>
      <c r="AE64" s="30">
        <v>18.7</v>
      </c>
      <c r="AF64" s="30">
        <v>16.8</v>
      </c>
      <c r="AG64" s="30">
        <v>25.7</v>
      </c>
      <c r="AH64" s="30">
        <v>33.6</v>
      </c>
      <c r="AI64" s="30">
        <v>38.6</v>
      </c>
      <c r="AJ64" s="30">
        <v>41.8</v>
      </c>
      <c r="AK64" s="30">
        <v>45</v>
      </c>
      <c r="AL64" s="30">
        <v>40.5</v>
      </c>
      <c r="AM64" s="30">
        <v>64.599999999999994</v>
      </c>
      <c r="AN64" s="30">
        <v>51.4</v>
      </c>
    </row>
    <row r="65" spans="1:125" x14ac:dyDescent="0.25">
      <c r="A65">
        <f t="shared" si="125"/>
        <v>59</v>
      </c>
      <c r="B65" t="s">
        <v>1107</v>
      </c>
      <c r="C65" t="s">
        <v>30</v>
      </c>
      <c r="G65" s="31">
        <f t="shared" si="54"/>
        <v>28</v>
      </c>
      <c r="H65" s="31"/>
      <c r="I65" s="30">
        <f t="shared" si="138"/>
        <v>28</v>
      </c>
      <c r="J65" s="30">
        <f t="shared" si="129"/>
        <v>0</v>
      </c>
      <c r="K65" s="30">
        <f t="shared" si="130"/>
        <v>0</v>
      </c>
      <c r="L65" s="30">
        <f t="shared" si="131"/>
        <v>0</v>
      </c>
      <c r="M65" s="30">
        <f t="shared" si="132"/>
        <v>0</v>
      </c>
      <c r="N65" s="30">
        <f t="shared" si="127"/>
        <v>0</v>
      </c>
      <c r="O65" s="30">
        <f t="shared" si="128"/>
        <v>0</v>
      </c>
      <c r="P65" s="30"/>
      <c r="Q65" s="30"/>
      <c r="R65" s="30"/>
      <c r="AC65" s="28">
        <v>6</v>
      </c>
      <c r="AD65" s="28">
        <v>22</v>
      </c>
    </row>
    <row r="66" spans="1:125" x14ac:dyDescent="0.25">
      <c r="G66" s="31"/>
      <c r="H66" s="31"/>
      <c r="I66" s="30"/>
      <c r="J66" s="30"/>
      <c r="K66" s="30"/>
      <c r="L66" s="30"/>
      <c r="M66" s="30"/>
      <c r="N66" s="30"/>
      <c r="O66" s="30"/>
      <c r="P66" s="30"/>
      <c r="Q66" s="30"/>
      <c r="R66" s="30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</row>
    <row r="67" spans="1:125" x14ac:dyDescent="0.25">
      <c r="G67" s="31"/>
      <c r="H67" s="31"/>
      <c r="I67" s="30"/>
      <c r="J67" s="30"/>
      <c r="K67" s="30"/>
      <c r="L67" s="30"/>
      <c r="M67" s="30"/>
      <c r="N67" s="30"/>
      <c r="O67" s="30"/>
      <c r="P67" s="30"/>
      <c r="Q67" s="30"/>
      <c r="R67" s="30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</row>
    <row r="68" spans="1:125" x14ac:dyDescent="0.25">
      <c r="G68" s="31"/>
      <c r="H68" s="31"/>
      <c r="I68" s="30"/>
      <c r="J68" s="30"/>
      <c r="K68" s="30"/>
      <c r="L68" s="30"/>
      <c r="M68" s="30"/>
      <c r="N68" s="30"/>
      <c r="O68" s="30"/>
      <c r="P68" s="30"/>
      <c r="Q68" s="30"/>
      <c r="R68" s="30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</row>
    <row r="69" spans="1:125" x14ac:dyDescent="0.25">
      <c r="G69" s="31"/>
      <c r="H69" s="31"/>
      <c r="I69" s="30"/>
      <c r="J69" s="30"/>
      <c r="K69" s="30"/>
      <c r="L69" s="30"/>
      <c r="M69" s="30"/>
      <c r="N69" s="30"/>
      <c r="O69" s="30"/>
      <c r="P69" s="30"/>
      <c r="Q69" s="30"/>
      <c r="R69" s="30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</row>
    <row r="70" spans="1:125" x14ac:dyDescent="0.25">
      <c r="B70" t="s">
        <v>1053</v>
      </c>
      <c r="C70">
        <v>6.86</v>
      </c>
      <c r="G70" s="31"/>
      <c r="H70" s="31"/>
    </row>
    <row r="71" spans="1:125" x14ac:dyDescent="0.25">
      <c r="G71" s="31"/>
      <c r="H71" s="31"/>
    </row>
    <row r="72" spans="1:125" x14ac:dyDescent="0.25">
      <c r="G72" s="31"/>
      <c r="H72" s="31"/>
    </row>
    <row r="73" spans="1:125" x14ac:dyDescent="0.25">
      <c r="G73" s="31"/>
      <c r="H73" s="31"/>
    </row>
    <row r="77" spans="1:125" x14ac:dyDescent="0.25">
      <c r="B77" t="s">
        <v>1418</v>
      </c>
      <c r="C77" t="s">
        <v>32</v>
      </c>
      <c r="D77" t="s">
        <v>1385</v>
      </c>
      <c r="E77">
        <v>3</v>
      </c>
      <c r="G77" s="31">
        <f>SUM(AC77:EN77)</f>
        <v>76424</v>
      </c>
      <c r="H77" s="31"/>
      <c r="I77" s="30">
        <v>146</v>
      </c>
      <c r="J77" s="30">
        <v>774</v>
      </c>
      <c r="K77" s="30">
        <v>1860</v>
      </c>
      <c r="L77" s="30">
        <v>3343</v>
      </c>
      <c r="M77" s="30">
        <v>4872</v>
      </c>
      <c r="N77" s="30">
        <v>6438</v>
      </c>
      <c r="O77" s="30">
        <v>7929</v>
      </c>
      <c r="P77" s="30">
        <f>SUM(BE77:BH77)</f>
        <v>8933</v>
      </c>
      <c r="Q77" s="30">
        <f>SUM(BI77:BL77)</f>
        <v>10360</v>
      </c>
      <c r="R77" s="30">
        <f>SUM(BM77:BP77)</f>
        <v>11772</v>
      </c>
      <c r="S77" s="30">
        <f>SUM(BQ77:BT77)</f>
        <v>12020</v>
      </c>
      <c r="T77" s="30">
        <f>SUM(BU77:BX77)</f>
        <v>10010</v>
      </c>
      <c r="U77" s="30">
        <f>SUM(BY77:CB77)</f>
        <v>0</v>
      </c>
      <c r="V77" s="30">
        <f>SUM(CC77:CF77)</f>
        <v>0</v>
      </c>
      <c r="W77" s="30"/>
      <c r="X77" s="30"/>
      <c r="Y77" s="30"/>
      <c r="Z77" s="30"/>
      <c r="AA77" s="30"/>
      <c r="AC77" s="30">
        <v>1</v>
      </c>
      <c r="AD77" s="30">
        <v>22</v>
      </c>
      <c r="AE77" s="30">
        <v>12</v>
      </c>
      <c r="AF77" s="28">
        <v>41</v>
      </c>
      <c r="AG77" s="28">
        <v>71</v>
      </c>
      <c r="AH77" s="28">
        <v>106</v>
      </c>
      <c r="AI77" s="30">
        <v>171</v>
      </c>
      <c r="AJ77" s="28">
        <v>216</v>
      </c>
      <c r="AK77" s="28">
        <v>281</v>
      </c>
      <c r="AL77" s="28">
        <v>355</v>
      </c>
      <c r="AM77" s="28">
        <v>437</v>
      </c>
      <c r="AN77" s="28">
        <v>466</v>
      </c>
      <c r="AO77" s="28">
        <v>602</v>
      </c>
      <c r="AP77" s="28">
        <v>734</v>
      </c>
      <c r="AQ77" s="28">
        <v>777</v>
      </c>
      <c r="AR77" s="28">
        <v>884</v>
      </c>
      <c r="AS77" s="28">
        <v>948</v>
      </c>
      <c r="AT77" s="28">
        <v>1101</v>
      </c>
      <c r="AU77" s="28">
        <v>1176</v>
      </c>
      <c r="AV77" s="28">
        <v>1232</v>
      </c>
      <c r="AW77" s="28">
        <v>1363</v>
      </c>
      <c r="AX77" s="28">
        <v>1506</v>
      </c>
      <c r="AY77" s="28">
        <v>1650</v>
      </c>
      <c r="AZ77" s="28">
        <v>1577</v>
      </c>
      <c r="BA77" s="28">
        <v>1705</v>
      </c>
      <c r="BB77" s="28">
        <v>1925</v>
      </c>
      <c r="BC77" s="28">
        <v>2042</v>
      </c>
      <c r="BD77" s="28">
        <v>1928</v>
      </c>
      <c r="BE77" s="28">
        <v>2034</v>
      </c>
      <c r="BF77" s="28">
        <v>2641</v>
      </c>
      <c r="BG77" s="28">
        <v>2163</v>
      </c>
      <c r="BH77" s="28">
        <v>2095</v>
      </c>
      <c r="BI77" s="28">
        <v>2269</v>
      </c>
      <c r="BJ77" s="28">
        <v>2886</v>
      </c>
      <c r="BK77" s="28">
        <v>2792</v>
      </c>
      <c r="BL77" s="28">
        <v>2413</v>
      </c>
      <c r="BM77" s="28">
        <v>2671</v>
      </c>
      <c r="BN77" s="28">
        <v>3211</v>
      </c>
      <c r="BO77" s="28">
        <v>3235</v>
      </c>
      <c r="BP77" s="28">
        <v>2655</v>
      </c>
      <c r="BQ77" s="28">
        <v>2688</v>
      </c>
      <c r="BR77" s="28">
        <v>3423</v>
      </c>
      <c r="BS77" s="28">
        <v>3204</v>
      </c>
      <c r="BT77" s="28">
        <v>2705</v>
      </c>
      <c r="BU77" s="28">
        <v>2874</v>
      </c>
      <c r="BV77" s="28">
        <v>3720</v>
      </c>
      <c r="BW77" s="28">
        <v>3416</v>
      </c>
      <c r="BX77" s="28"/>
      <c r="BY77" s="28"/>
      <c r="BZ77" s="28"/>
      <c r="CA77" s="28"/>
      <c r="CB77" s="28"/>
      <c r="CC77" s="28"/>
      <c r="CD77" s="28"/>
      <c r="CE77" s="28"/>
      <c r="CF77" s="28"/>
      <c r="CG77" s="28"/>
      <c r="CH77" s="28"/>
      <c r="CI77" s="28"/>
      <c r="CJ77" s="28"/>
      <c r="CK77" s="28"/>
      <c r="CL77" s="28"/>
      <c r="CM77" s="28"/>
    </row>
    <row r="78" spans="1:125" s="25" customFormat="1" ht="13" x14ac:dyDescent="0.3">
      <c r="A78"/>
      <c r="B78" t="s">
        <v>1417</v>
      </c>
      <c r="C78" t="s">
        <v>24</v>
      </c>
      <c r="D78" t="s">
        <v>1385</v>
      </c>
      <c r="E78">
        <v>3</v>
      </c>
      <c r="F78"/>
      <c r="G78" s="31">
        <f>SUM(AC78:EN78)</f>
        <v>42355</v>
      </c>
      <c r="H78" s="31"/>
      <c r="I78" s="30">
        <f>SUM(AC78:AF78)</f>
        <v>266</v>
      </c>
      <c r="J78" s="30">
        <f t="shared" ref="J78" si="139">SUM(AG78:AJ78)</f>
        <v>788</v>
      </c>
      <c r="K78" s="30">
        <f t="shared" ref="K78" si="140">SUM(AK78:AN78)</f>
        <v>1400</v>
      </c>
      <c r="L78" s="30">
        <f t="shared" ref="L78" si="141">SUM(AO78:AR78)</f>
        <v>1662</v>
      </c>
      <c r="M78" s="30">
        <f t="shared" ref="M78" si="142">SUM(AS78:AV78)</f>
        <v>2523</v>
      </c>
      <c r="N78" s="30">
        <f>SUM(AW78:AZ78)</f>
        <v>3434</v>
      </c>
      <c r="O78" s="30">
        <f>SUM(BA78:BD78)</f>
        <v>4220</v>
      </c>
      <c r="P78" s="30">
        <f>SUM(BE78:BH78)</f>
        <v>4948</v>
      </c>
      <c r="Q78" s="30">
        <f>SUM(BI78:BL78)</f>
        <v>5970</v>
      </c>
      <c r="R78" s="30">
        <f>SUM(BM78:BP78)</f>
        <v>6481</v>
      </c>
      <c r="S78" s="30">
        <f>SUM(BQ78:BT78)</f>
        <v>6746</v>
      </c>
      <c r="T78" s="30">
        <f>SUM(BU78:BX78)</f>
        <v>3917</v>
      </c>
      <c r="U78" s="30">
        <f>SUM(BY78:CB78)</f>
        <v>0</v>
      </c>
      <c r="V78" s="30">
        <f>SUM(CC78:CF78)</f>
        <v>0</v>
      </c>
      <c r="W78" s="30"/>
      <c r="X78" s="30"/>
      <c r="Y78" s="30"/>
      <c r="Z78" s="30"/>
      <c r="AA78" s="30"/>
      <c r="AB78"/>
      <c r="AC78" s="30">
        <v>37</v>
      </c>
      <c r="AD78" s="30">
        <v>57</v>
      </c>
      <c r="AE78" s="30">
        <v>75</v>
      </c>
      <c r="AF78" s="31">
        <v>97</v>
      </c>
      <c r="AG78">
        <v>137</v>
      </c>
      <c r="AH78">
        <v>177</v>
      </c>
      <c r="AI78">
        <v>217</v>
      </c>
      <c r="AJ78">
        <v>257</v>
      </c>
      <c r="AK78">
        <v>300</v>
      </c>
      <c r="AL78">
        <v>350</v>
      </c>
      <c r="AM78">
        <v>350</v>
      </c>
      <c r="AN78">
        <v>400</v>
      </c>
      <c r="AO78">
        <v>354</v>
      </c>
      <c r="AP78">
        <v>371</v>
      </c>
      <c r="AQ78">
        <v>449</v>
      </c>
      <c r="AR78">
        <v>488</v>
      </c>
      <c r="AS78">
        <v>564</v>
      </c>
      <c r="AT78">
        <v>605</v>
      </c>
      <c r="AU78">
        <v>644</v>
      </c>
      <c r="AV78">
        <v>710</v>
      </c>
      <c r="AW78">
        <v>765</v>
      </c>
      <c r="AX78">
        <v>889</v>
      </c>
      <c r="AY78">
        <v>870</v>
      </c>
      <c r="AZ78">
        <v>910</v>
      </c>
      <c r="BA78">
        <v>1011</v>
      </c>
      <c r="BB78">
        <v>1085</v>
      </c>
      <c r="BC78">
        <v>1025</v>
      </c>
      <c r="BD78">
        <v>1099</v>
      </c>
      <c r="BE78">
        <v>1300</v>
      </c>
      <c r="BF78">
        <v>1272</v>
      </c>
      <c r="BG78">
        <v>1114</v>
      </c>
      <c r="BH78">
        <v>1262</v>
      </c>
      <c r="BI78">
        <v>1643</v>
      </c>
      <c r="BJ78">
        <v>1481</v>
      </c>
      <c r="BK78">
        <v>1346</v>
      </c>
      <c r="BL78">
        <v>1500</v>
      </c>
      <c r="BM78">
        <v>1793</v>
      </c>
      <c r="BN78">
        <v>1745</v>
      </c>
      <c r="BO78">
        <v>1464</v>
      </c>
      <c r="BP78">
        <v>1479</v>
      </c>
      <c r="BQ78">
        <v>1874</v>
      </c>
      <c r="BR78">
        <v>1762</v>
      </c>
      <c r="BS78">
        <v>1498</v>
      </c>
      <c r="BT78">
        <v>1612</v>
      </c>
      <c r="BU78">
        <v>2040</v>
      </c>
      <c r="BV78">
        <v>1877</v>
      </c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</row>
    <row r="79" spans="1:125" x14ac:dyDescent="0.25">
      <c r="B79" t="s">
        <v>656</v>
      </c>
      <c r="C79" t="s">
        <v>28</v>
      </c>
      <c r="D79" t="s">
        <v>1388</v>
      </c>
      <c r="E79">
        <v>1</v>
      </c>
      <c r="G79" s="31">
        <f>SUM(AC79:FZ79)</f>
        <v>49414</v>
      </c>
      <c r="H79" s="31"/>
      <c r="I79" s="30">
        <f>SUM(AC79:AF79)</f>
        <v>458</v>
      </c>
      <c r="J79" s="30">
        <f>SUM(AG79:AJ79)</f>
        <v>1185</v>
      </c>
      <c r="K79" s="30">
        <f>SUM(AK79:AN79)</f>
        <v>1364</v>
      </c>
      <c r="L79" s="30">
        <f>SUM(AO79:AR79)</f>
        <v>2269</v>
      </c>
      <c r="M79" s="30">
        <f>SUM(AS79:AV79)</f>
        <v>3039</v>
      </c>
      <c r="N79" s="30">
        <f>SUM(AW79:AZ79)</f>
        <v>3912</v>
      </c>
      <c r="O79" s="30">
        <f>SUM(BA79:BD79)</f>
        <v>4017</v>
      </c>
      <c r="P79" s="30">
        <f>SUM(BE79:BH79)</f>
        <v>3970</v>
      </c>
      <c r="Q79" s="30">
        <f>SUM(BI79:BL79)</f>
        <v>4024</v>
      </c>
      <c r="R79" s="30">
        <f>SUM(BM79:BP79)</f>
        <v>3897</v>
      </c>
      <c r="S79" s="30">
        <f>SUM(BQ79:BT79)</f>
        <v>3731</v>
      </c>
      <c r="T79" s="30">
        <f>SUM(BU79:BX79)</f>
        <v>3694</v>
      </c>
      <c r="U79" s="30">
        <f>SUM(BY79:CB79)</f>
        <v>3469</v>
      </c>
      <c r="V79" s="30">
        <f>SUM(CC79:CF79)</f>
        <v>3392</v>
      </c>
      <c r="W79" s="30"/>
      <c r="X79" s="30"/>
      <c r="Y79" s="30"/>
      <c r="Z79" s="30"/>
      <c r="AA79" s="30"/>
      <c r="AC79" s="30">
        <v>42</v>
      </c>
      <c r="AD79" s="30">
        <v>87</v>
      </c>
      <c r="AE79" s="30">
        <v>144</v>
      </c>
      <c r="AF79">
        <v>185</v>
      </c>
      <c r="AG79">
        <v>200</v>
      </c>
      <c r="AH79">
        <v>272</v>
      </c>
      <c r="AI79">
        <v>334</v>
      </c>
      <c r="AJ79">
        <v>379</v>
      </c>
      <c r="AL79">
        <v>411</v>
      </c>
      <c r="AM79">
        <v>462</v>
      </c>
      <c r="AN79">
        <v>491</v>
      </c>
      <c r="AO79">
        <v>558</v>
      </c>
      <c r="AP79">
        <v>511</v>
      </c>
      <c r="AQ79">
        <v>600</v>
      </c>
      <c r="AR79">
        <v>600</v>
      </c>
      <c r="AS79">
        <v>675</v>
      </c>
      <c r="AT79">
        <v>739</v>
      </c>
      <c r="AU79">
        <v>779</v>
      </c>
      <c r="AV79">
        <v>846</v>
      </c>
      <c r="AW79">
        <v>960</v>
      </c>
      <c r="AX79">
        <v>919</v>
      </c>
      <c r="AY79">
        <v>1058</v>
      </c>
      <c r="AZ79">
        <v>975</v>
      </c>
      <c r="BA79">
        <v>1134</v>
      </c>
      <c r="BB79">
        <v>884</v>
      </c>
      <c r="BC79">
        <v>1072</v>
      </c>
      <c r="BD79">
        <v>927</v>
      </c>
      <c r="BE79">
        <v>1121</v>
      </c>
      <c r="BF79">
        <v>858</v>
      </c>
      <c r="BG79">
        <v>1058</v>
      </c>
      <c r="BH79">
        <v>933</v>
      </c>
      <c r="BI79">
        <v>1082</v>
      </c>
      <c r="BJ79">
        <v>884</v>
      </c>
      <c r="BK79">
        <v>1044</v>
      </c>
      <c r="BL79">
        <v>1014</v>
      </c>
      <c r="BM79">
        <v>921</v>
      </c>
      <c r="BN79">
        <v>906</v>
      </c>
      <c r="BO79">
        <v>1064</v>
      </c>
      <c r="BP79">
        <v>1006</v>
      </c>
      <c r="BQ79">
        <v>932</v>
      </c>
      <c r="BR79">
        <v>839</v>
      </c>
      <c r="BS79">
        <v>948</v>
      </c>
      <c r="BT79">
        <v>1012</v>
      </c>
      <c r="BU79">
        <v>938</v>
      </c>
      <c r="BV79">
        <v>880</v>
      </c>
      <c r="BW79">
        <v>949</v>
      </c>
      <c r="BX79">
        <v>927</v>
      </c>
      <c r="BY79">
        <v>930</v>
      </c>
      <c r="BZ79">
        <v>824</v>
      </c>
      <c r="CA79">
        <v>908</v>
      </c>
      <c r="CB79">
        <v>807</v>
      </c>
      <c r="CC79">
        <v>943</v>
      </c>
      <c r="CD79">
        <v>774</v>
      </c>
      <c r="CE79">
        <v>854</v>
      </c>
      <c r="CF79">
        <v>821</v>
      </c>
      <c r="CG79">
        <v>857</v>
      </c>
      <c r="CH79">
        <v>809</v>
      </c>
      <c r="CI79">
        <v>784</v>
      </c>
      <c r="CJ79">
        <v>852</v>
      </c>
      <c r="CK79">
        <v>878</v>
      </c>
      <c r="CL79">
        <v>779</v>
      </c>
      <c r="CM79">
        <v>756</v>
      </c>
      <c r="CN79">
        <v>717</v>
      </c>
      <c r="CO79">
        <v>561</v>
      </c>
    </row>
    <row r="80" spans="1:125" ht="13" x14ac:dyDescent="0.3">
      <c r="B80" t="s">
        <v>657</v>
      </c>
      <c r="C80" t="s">
        <v>28</v>
      </c>
      <c r="D80" t="s">
        <v>1388</v>
      </c>
      <c r="E80">
        <v>1</v>
      </c>
      <c r="G80" s="31">
        <f>SUM(AC80:FZ80)</f>
        <v>25362.5</v>
      </c>
      <c r="H80" s="31"/>
      <c r="I80" s="30">
        <f>SUM(AC80:AF80)</f>
        <v>131</v>
      </c>
      <c r="J80" s="30">
        <f>SUM(AG80:AJ80)</f>
        <v>415.5</v>
      </c>
      <c r="K80" s="30">
        <f>SUM(AK80:AN80)</f>
        <v>731</v>
      </c>
      <c r="L80" s="30">
        <f>SUM(AO80:AR80)</f>
        <v>1058</v>
      </c>
      <c r="M80" s="30">
        <f>SUM(AS80:AV80)</f>
        <v>1449</v>
      </c>
      <c r="N80" s="30">
        <f>SUM(AW80:AZ80)</f>
        <v>1677</v>
      </c>
      <c r="O80" s="30">
        <f>SUM(BA80:BD80)</f>
        <v>1895</v>
      </c>
      <c r="P80" s="30">
        <f>SUM(BE80:BH80)</f>
        <v>2103</v>
      </c>
      <c r="Q80" s="30">
        <f>SUM(BI80:BL80)</f>
        <v>2148</v>
      </c>
      <c r="R80" s="30">
        <f>SUM(BM80:BP80)</f>
        <v>2190</v>
      </c>
      <c r="S80" s="30">
        <f>SUM(BQ80:BT80)</f>
        <v>2206</v>
      </c>
      <c r="T80" s="30">
        <f>SUM(BU80:BX80)</f>
        <v>2213</v>
      </c>
      <c r="U80" s="30">
        <f>SUM(BY80:CB80)</f>
        <v>2014</v>
      </c>
      <c r="V80" s="30">
        <f>SUM(CC80:CF80)</f>
        <v>1954</v>
      </c>
      <c r="W80" s="30"/>
      <c r="X80" s="30"/>
      <c r="Y80" s="30"/>
      <c r="Z80" s="30"/>
      <c r="AA80" s="30"/>
      <c r="AC80" s="28">
        <v>24</v>
      </c>
      <c r="AD80" s="28">
        <v>19</v>
      </c>
      <c r="AE80" s="28">
        <v>30</v>
      </c>
      <c r="AF80">
        <v>58</v>
      </c>
      <c r="AG80">
        <v>72</v>
      </c>
      <c r="AH80">
        <v>101</v>
      </c>
      <c r="AI80" s="33">
        <f>AVERAGE(AH80,AJ80)</f>
        <v>114.5</v>
      </c>
      <c r="AJ80">
        <v>128</v>
      </c>
      <c r="AK80">
        <v>155</v>
      </c>
      <c r="AL80">
        <v>173</v>
      </c>
      <c r="AM80">
        <v>202</v>
      </c>
      <c r="AN80">
        <v>201</v>
      </c>
      <c r="AO80">
        <v>218</v>
      </c>
      <c r="AP80">
        <v>247</v>
      </c>
      <c r="AQ80">
        <v>288</v>
      </c>
      <c r="AR80">
        <v>305</v>
      </c>
      <c r="AS80">
        <v>321</v>
      </c>
      <c r="AT80">
        <v>350</v>
      </c>
      <c r="AU80">
        <v>386</v>
      </c>
      <c r="AV80">
        <v>392</v>
      </c>
      <c r="AW80">
        <v>411</v>
      </c>
      <c r="AX80">
        <v>405</v>
      </c>
      <c r="AY80">
        <v>452</v>
      </c>
      <c r="AZ80">
        <v>409</v>
      </c>
      <c r="BA80">
        <v>474</v>
      </c>
      <c r="BB80">
        <v>442</v>
      </c>
      <c r="BC80">
        <v>503</v>
      </c>
      <c r="BD80">
        <v>476</v>
      </c>
      <c r="BE80">
        <v>519</v>
      </c>
      <c r="BF80">
        <v>505</v>
      </c>
      <c r="BG80">
        <v>570</v>
      </c>
      <c r="BH80">
        <v>509</v>
      </c>
      <c r="BI80">
        <v>554</v>
      </c>
      <c r="BJ80">
        <v>562</v>
      </c>
      <c r="BK80">
        <v>526</v>
      </c>
      <c r="BL80">
        <v>506</v>
      </c>
      <c r="BM80">
        <v>569</v>
      </c>
      <c r="BN80">
        <v>548</v>
      </c>
      <c r="BO80">
        <v>577</v>
      </c>
      <c r="BP80">
        <v>496</v>
      </c>
      <c r="BQ80">
        <v>563</v>
      </c>
      <c r="BR80">
        <v>513</v>
      </c>
      <c r="BS80">
        <v>586</v>
      </c>
      <c r="BT80">
        <v>544</v>
      </c>
      <c r="BU80">
        <v>585</v>
      </c>
      <c r="BV80">
        <v>563</v>
      </c>
      <c r="BW80">
        <v>535</v>
      </c>
      <c r="BX80">
        <v>530</v>
      </c>
      <c r="BY80">
        <v>533</v>
      </c>
      <c r="BZ80">
        <v>503</v>
      </c>
      <c r="CA80">
        <v>475</v>
      </c>
      <c r="CB80">
        <v>503</v>
      </c>
      <c r="CC80">
        <v>490</v>
      </c>
      <c r="CD80">
        <v>506</v>
      </c>
      <c r="CE80">
        <v>472</v>
      </c>
      <c r="CF80">
        <v>486</v>
      </c>
      <c r="CG80">
        <v>477</v>
      </c>
      <c r="CH80">
        <v>487</v>
      </c>
      <c r="CI80">
        <v>514</v>
      </c>
      <c r="CJ80">
        <v>454</v>
      </c>
      <c r="CK80">
        <v>476</v>
      </c>
      <c r="CL80">
        <v>417</v>
      </c>
      <c r="CM80">
        <v>353</v>
      </c>
    </row>
  </sheetData>
  <sortState xmlns:xlrd2="http://schemas.microsoft.com/office/spreadsheetml/2017/richdata2" ref="A10:DU65">
    <sortCondition descending="1" ref="G10:G65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14" sqref="A14:XFD14"/>
    </sheetView>
  </sheetViews>
  <sheetFormatPr defaultColWidth="8.81640625" defaultRowHeight="12.5" x14ac:dyDescent="0.25"/>
  <cols>
    <col min="1" max="1" width="2" bestFit="1" customWidth="1"/>
    <col min="2" max="2" width="3" bestFit="1" customWidth="1"/>
    <col min="3" max="3" width="22.453125" bestFit="1" customWidth="1"/>
    <col min="4" max="4" width="10.1796875" bestFit="1" customWidth="1"/>
  </cols>
  <sheetData>
    <row r="2" spans="1:28" x14ac:dyDescent="0.25">
      <c r="C2" t="s">
        <v>1</v>
      </c>
    </row>
    <row r="3" spans="1:28" s="1" customFormat="1" x14ac:dyDescent="0.25">
      <c r="A3"/>
      <c r="B3" s="1">
        <f>Acquisitions!A14+1</f>
        <v>1</v>
      </c>
      <c r="C3" t="s">
        <v>261</v>
      </c>
      <c r="D3" t="s">
        <v>262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5">
      <c r="A4"/>
      <c r="B4" s="1">
        <f>Main!D41+1</f>
        <v>33</v>
      </c>
      <c r="C4" t="s">
        <v>267</v>
      </c>
      <c r="D4" t="s">
        <v>268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5">
      <c r="A5" s="1" t="s">
        <v>334</v>
      </c>
      <c r="B5" s="1">
        <f>Main!D32+1</f>
        <v>24</v>
      </c>
      <c r="C5" t="s">
        <v>278</v>
      </c>
      <c r="D5" t="s">
        <v>279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5">
      <c r="A6"/>
      <c r="B6" s="1">
        <f>B5+1</f>
        <v>25</v>
      </c>
      <c r="C6" t="s">
        <v>403</v>
      </c>
      <c r="D6" t="s">
        <v>404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5">
      <c r="A7"/>
      <c r="B7" s="1">
        <f>B6+1</f>
        <v>26</v>
      </c>
      <c r="C7" t="s">
        <v>405</v>
      </c>
      <c r="D7" t="s">
        <v>406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5">
      <c r="A8"/>
      <c r="B8" s="1">
        <f>Main!D50+1</f>
        <v>42</v>
      </c>
      <c r="C8" t="s">
        <v>411</v>
      </c>
      <c r="D8" t="s">
        <v>412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5">
      <c r="A9"/>
      <c r="B9" s="1">
        <f>B8+1</f>
        <v>43</v>
      </c>
      <c r="C9" t="s">
        <v>413</v>
      </c>
      <c r="D9" t="s">
        <v>414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5">
      <c r="A10" s="1" t="s">
        <v>334</v>
      </c>
      <c r="B10" s="1">
        <f>Main!D136+1</f>
        <v>121</v>
      </c>
      <c r="C10" t="s">
        <v>360</v>
      </c>
      <c r="D10" t="s">
        <v>361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5">
      <c r="C11" t="s">
        <v>595</v>
      </c>
      <c r="D11" t="s">
        <v>596</v>
      </c>
    </row>
    <row r="12" spans="1:28" x14ac:dyDescent="0.25">
      <c r="C12" t="s">
        <v>436</v>
      </c>
      <c r="D12" s="23" t="s">
        <v>690</v>
      </c>
      <c r="E12" s="3">
        <v>27.98</v>
      </c>
      <c r="F12" s="6" cm="1">
        <f t="array" ref="F12">40290/CNY</f>
        <v>5682.6516220028207</v>
      </c>
    </row>
    <row r="13" spans="1:28" x14ac:dyDescent="0.25">
      <c r="C13" t="s">
        <v>1066</v>
      </c>
      <c r="D13" t="s">
        <v>1067</v>
      </c>
    </row>
    <row r="15" spans="1:28" x14ac:dyDescent="0.25">
      <c r="B15" s="1"/>
      <c r="C15" s="1" t="s">
        <v>1118</v>
      </c>
      <c r="D15" t="s">
        <v>1119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>
      <selection activeCell="C2" sqref="C2"/>
    </sheetView>
  </sheetViews>
  <sheetFormatPr defaultColWidth="8.81640625" defaultRowHeight="12.5" x14ac:dyDescent="0.25"/>
  <cols>
    <col min="1" max="1" width="4.81640625" bestFit="1" customWidth="1"/>
    <col min="2" max="2" width="11.453125" customWidth="1"/>
  </cols>
  <sheetData>
    <row r="1" spans="1:3" x14ac:dyDescent="0.25">
      <c r="A1" s="5" t="s">
        <v>286</v>
      </c>
    </row>
    <row r="2" spans="1:3" x14ac:dyDescent="0.25">
      <c r="B2" s="1" t="s">
        <v>3</v>
      </c>
      <c r="C2" s="2">
        <v>7.0570000000000004</v>
      </c>
    </row>
    <row r="3" spans="1:3" x14ac:dyDescent="0.25">
      <c r="B3" s="1" t="s">
        <v>4</v>
      </c>
      <c r="C3" s="2">
        <v>0.85</v>
      </c>
    </row>
    <row r="4" spans="1:3" x14ac:dyDescent="0.25">
      <c r="B4" s="1" t="s">
        <v>5</v>
      </c>
      <c r="C4" s="1">
        <v>1.1100000000000001</v>
      </c>
    </row>
    <row r="5" spans="1:3" x14ac:dyDescent="0.25">
      <c r="B5" s="1" t="s">
        <v>6</v>
      </c>
      <c r="C5" s="1">
        <v>0.67</v>
      </c>
    </row>
    <row r="6" spans="1:3" x14ac:dyDescent="0.25">
      <c r="B6" s="1" t="s">
        <v>7</v>
      </c>
      <c r="C6" s="39">
        <v>1.3</v>
      </c>
    </row>
    <row r="7" spans="1:3" x14ac:dyDescent="0.25">
      <c r="B7" t="s">
        <v>374</v>
      </c>
      <c r="C7">
        <v>145.25</v>
      </c>
    </row>
    <row r="8" spans="1:3" x14ac:dyDescent="0.25">
      <c r="B8" t="s">
        <v>397</v>
      </c>
      <c r="C8" s="42">
        <v>7.8</v>
      </c>
    </row>
    <row r="9" spans="1:3" x14ac:dyDescent="0.25">
      <c r="B9" t="s">
        <v>399</v>
      </c>
      <c r="C9">
        <v>1433</v>
      </c>
    </row>
    <row r="10" spans="1:3" x14ac:dyDescent="0.25">
      <c r="B10" t="s">
        <v>433</v>
      </c>
      <c r="C10">
        <v>82.55</v>
      </c>
    </row>
    <row r="11" spans="1:3" x14ac:dyDescent="0.25">
      <c r="B11" t="s">
        <v>437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28"/>
  <sheetViews>
    <sheetView zoomScale="145" zoomScaleNormal="145" workbookViewId="0">
      <pane xSplit="2" ySplit="2" topLeftCell="C100" activePane="bottomRight" state="frozen"/>
      <selection pane="topRight" activeCell="C1" sqref="C1"/>
      <selection pane="bottomLeft" activeCell="A3" sqref="A3"/>
      <selection pane="bottomRight" activeCell="C126" sqref="C126"/>
    </sheetView>
  </sheetViews>
  <sheetFormatPr defaultColWidth="8.81640625" defaultRowHeight="12.5" x14ac:dyDescent="0.25"/>
  <cols>
    <col min="1" max="1" width="5" bestFit="1" customWidth="1"/>
    <col min="2" max="2" width="26.81640625" bestFit="1" customWidth="1"/>
    <col min="3" max="3" width="10.453125" bestFit="1" customWidth="1"/>
    <col min="5" max="5" width="9.81640625" bestFit="1" customWidth="1"/>
    <col min="7" max="7" width="15.453125" customWidth="1"/>
    <col min="8" max="8" width="9.81640625" style="28" customWidth="1"/>
    <col min="9" max="9" width="12.453125" customWidth="1"/>
  </cols>
  <sheetData>
    <row r="1" spans="1:10" x14ac:dyDescent="0.25">
      <c r="A1" s="5" t="s">
        <v>286</v>
      </c>
    </row>
    <row r="2" spans="1:10" x14ac:dyDescent="0.25">
      <c r="B2" t="s">
        <v>1</v>
      </c>
      <c r="C2" t="s">
        <v>2</v>
      </c>
      <c r="D2" t="s">
        <v>284</v>
      </c>
      <c r="E2" t="s">
        <v>324</v>
      </c>
      <c r="F2" t="s">
        <v>326</v>
      </c>
      <c r="G2" t="s">
        <v>327</v>
      </c>
      <c r="H2" s="28" t="s">
        <v>330</v>
      </c>
      <c r="I2" t="s">
        <v>427</v>
      </c>
      <c r="J2" t="s">
        <v>1028</v>
      </c>
    </row>
    <row r="3" spans="1:10" x14ac:dyDescent="0.25">
      <c r="B3" t="s">
        <v>500</v>
      </c>
      <c r="E3" t="s">
        <v>325</v>
      </c>
      <c r="F3">
        <v>3000</v>
      </c>
      <c r="G3" t="s">
        <v>501</v>
      </c>
    </row>
    <row r="4" spans="1:10" x14ac:dyDescent="0.25">
      <c r="B4" t="s">
        <v>479</v>
      </c>
      <c r="E4" t="s">
        <v>613</v>
      </c>
      <c r="F4">
        <v>401</v>
      </c>
      <c r="G4" t="s">
        <v>1023</v>
      </c>
      <c r="H4" s="38">
        <v>45070</v>
      </c>
    </row>
    <row r="5" spans="1:10" x14ac:dyDescent="0.25">
      <c r="B5" t="s">
        <v>441</v>
      </c>
      <c r="C5">
        <v>2018</v>
      </c>
      <c r="D5" t="s">
        <v>442</v>
      </c>
      <c r="E5" t="s">
        <v>393</v>
      </c>
      <c r="F5">
        <v>400</v>
      </c>
    </row>
    <row r="6" spans="1:10" x14ac:dyDescent="0.25">
      <c r="B6" t="s">
        <v>497</v>
      </c>
      <c r="E6" t="s">
        <v>325</v>
      </c>
      <c r="F6">
        <v>350</v>
      </c>
      <c r="G6" t="s">
        <v>1035</v>
      </c>
      <c r="H6" s="38">
        <v>44754</v>
      </c>
    </row>
    <row r="7" spans="1:10" x14ac:dyDescent="0.25">
      <c r="B7" t="s">
        <v>457</v>
      </c>
      <c r="C7">
        <v>2018</v>
      </c>
      <c r="E7" t="s">
        <v>393</v>
      </c>
      <c r="F7">
        <v>300</v>
      </c>
      <c r="G7" t="s">
        <v>1026</v>
      </c>
      <c r="J7">
        <v>1700</v>
      </c>
    </row>
    <row r="8" spans="1:10" x14ac:dyDescent="0.25">
      <c r="B8" t="s">
        <v>1041</v>
      </c>
      <c r="E8" t="s">
        <v>325</v>
      </c>
      <c r="F8">
        <v>290</v>
      </c>
      <c r="G8" t="s">
        <v>1042</v>
      </c>
      <c r="H8" s="38">
        <v>45400</v>
      </c>
    </row>
    <row r="9" spans="1:10" x14ac:dyDescent="0.25">
      <c r="B9" t="s">
        <v>452</v>
      </c>
      <c r="E9" t="s">
        <v>602</v>
      </c>
      <c r="F9">
        <v>221</v>
      </c>
      <c r="G9" t="s">
        <v>1026</v>
      </c>
      <c r="H9" s="38">
        <v>44670</v>
      </c>
    </row>
    <row r="10" spans="1:10" x14ac:dyDescent="0.25">
      <c r="B10" t="s">
        <v>477</v>
      </c>
    </row>
    <row r="11" spans="1:10" x14ac:dyDescent="0.25">
      <c r="B11" t="s">
        <v>478</v>
      </c>
    </row>
    <row r="12" spans="1:10" x14ac:dyDescent="0.25">
      <c r="B12" t="s">
        <v>480</v>
      </c>
      <c r="C12">
        <v>2019</v>
      </c>
      <c r="I12" t="s">
        <v>503</v>
      </c>
    </row>
    <row r="13" spans="1:10" x14ac:dyDescent="0.25">
      <c r="B13" t="s">
        <v>481</v>
      </c>
    </row>
    <row r="14" spans="1:10" x14ac:dyDescent="0.25">
      <c r="B14" t="s">
        <v>482</v>
      </c>
    </row>
    <row r="15" spans="1:10" x14ac:dyDescent="0.25">
      <c r="B15" t="s">
        <v>483</v>
      </c>
    </row>
    <row r="16" spans="1:10" x14ac:dyDescent="0.25">
      <c r="B16" t="s">
        <v>484</v>
      </c>
      <c r="E16" t="s">
        <v>393</v>
      </c>
      <c r="F16">
        <v>270</v>
      </c>
      <c r="G16" t="s">
        <v>1113</v>
      </c>
      <c r="H16" s="38">
        <v>44697</v>
      </c>
    </row>
    <row r="17" spans="2:9" x14ac:dyDescent="0.25">
      <c r="B17" t="s">
        <v>485</v>
      </c>
    </row>
    <row r="18" spans="2:9" x14ac:dyDescent="0.25">
      <c r="B18" t="s">
        <v>1003</v>
      </c>
      <c r="C18">
        <v>2020</v>
      </c>
      <c r="E18" t="s">
        <v>602</v>
      </c>
      <c r="F18">
        <v>150</v>
      </c>
      <c r="H18" s="38">
        <v>44657</v>
      </c>
      <c r="I18" t="s">
        <v>1004</v>
      </c>
    </row>
    <row r="19" spans="2:9" x14ac:dyDescent="0.25">
      <c r="B19" t="s">
        <v>486</v>
      </c>
    </row>
    <row r="20" spans="2:9" x14ac:dyDescent="0.25">
      <c r="B20" t="s">
        <v>1114</v>
      </c>
      <c r="E20" t="s">
        <v>602</v>
      </c>
      <c r="F20">
        <v>110</v>
      </c>
    </row>
    <row r="21" spans="2:9" x14ac:dyDescent="0.25">
      <c r="B21" t="s">
        <v>487</v>
      </c>
      <c r="C21">
        <v>2018</v>
      </c>
      <c r="E21" t="s">
        <v>613</v>
      </c>
      <c r="F21">
        <v>160</v>
      </c>
      <c r="G21" t="s">
        <v>616</v>
      </c>
      <c r="H21" s="38">
        <v>44817</v>
      </c>
      <c r="I21" t="s">
        <v>612</v>
      </c>
    </row>
    <row r="22" spans="2:9" x14ac:dyDescent="0.25">
      <c r="B22" t="s">
        <v>487</v>
      </c>
      <c r="C22">
        <v>2018</v>
      </c>
      <c r="E22" t="s">
        <v>393</v>
      </c>
      <c r="F22">
        <v>108</v>
      </c>
      <c r="G22" t="s">
        <v>615</v>
      </c>
      <c r="H22" s="38">
        <v>44362</v>
      </c>
    </row>
    <row r="23" spans="2:9" x14ac:dyDescent="0.25">
      <c r="B23" t="s">
        <v>487</v>
      </c>
      <c r="C23">
        <v>2018</v>
      </c>
      <c r="E23" t="s">
        <v>602</v>
      </c>
      <c r="F23">
        <v>105</v>
      </c>
      <c r="G23" t="s">
        <v>615</v>
      </c>
      <c r="H23" s="38">
        <v>44173</v>
      </c>
    </row>
    <row r="24" spans="2:9" x14ac:dyDescent="0.25">
      <c r="B24" t="s">
        <v>487</v>
      </c>
      <c r="C24">
        <v>2018</v>
      </c>
      <c r="E24" t="s">
        <v>325</v>
      </c>
      <c r="F24">
        <v>45</v>
      </c>
      <c r="G24" t="s">
        <v>614</v>
      </c>
      <c r="H24" s="38">
        <v>44118</v>
      </c>
    </row>
    <row r="25" spans="2:9" x14ac:dyDescent="0.25">
      <c r="H25" s="38"/>
    </row>
    <row r="26" spans="2:9" x14ac:dyDescent="0.25">
      <c r="B26" t="s">
        <v>392</v>
      </c>
      <c r="E26" t="s">
        <v>1038</v>
      </c>
      <c r="F26">
        <v>145</v>
      </c>
      <c r="G26" t="s">
        <v>1039</v>
      </c>
      <c r="H26" s="38">
        <v>45352</v>
      </c>
    </row>
    <row r="27" spans="2:9" x14ac:dyDescent="0.25">
      <c r="B27" t="s">
        <v>392</v>
      </c>
      <c r="E27" t="s">
        <v>613</v>
      </c>
      <c r="F27">
        <v>178</v>
      </c>
      <c r="G27" t="s">
        <v>1040</v>
      </c>
      <c r="H27" s="38">
        <v>44886</v>
      </c>
    </row>
    <row r="28" spans="2:9" x14ac:dyDescent="0.25">
      <c r="B28" t="s">
        <v>392</v>
      </c>
      <c r="E28" t="s">
        <v>393</v>
      </c>
      <c r="F28">
        <v>107</v>
      </c>
      <c r="I28" t="s">
        <v>394</v>
      </c>
    </row>
    <row r="31" spans="2:9" x14ac:dyDescent="0.25">
      <c r="B31" t="s">
        <v>1031</v>
      </c>
      <c r="E31" t="s">
        <v>602</v>
      </c>
      <c r="F31">
        <v>75</v>
      </c>
      <c r="G31" t="s">
        <v>1032</v>
      </c>
      <c r="H31" s="38">
        <v>45308</v>
      </c>
    </row>
    <row r="32" spans="2:9" x14ac:dyDescent="0.25">
      <c r="B32" t="s">
        <v>1033</v>
      </c>
      <c r="E32" t="s">
        <v>393</v>
      </c>
      <c r="F32">
        <v>75</v>
      </c>
      <c r="G32" t="s">
        <v>1034</v>
      </c>
      <c r="H32" s="38">
        <v>45314</v>
      </c>
    </row>
    <row r="33" spans="2:8" x14ac:dyDescent="0.25">
      <c r="B33" t="s">
        <v>1115</v>
      </c>
      <c r="H33" s="38"/>
    </row>
    <row r="34" spans="2:8" x14ac:dyDescent="0.25">
      <c r="B34" t="s">
        <v>488</v>
      </c>
      <c r="E34" t="s">
        <v>393</v>
      </c>
      <c r="F34">
        <v>259</v>
      </c>
    </row>
    <row r="35" spans="2:8" x14ac:dyDescent="0.25">
      <c r="B35" t="s">
        <v>489</v>
      </c>
    </row>
    <row r="36" spans="2:8" x14ac:dyDescent="0.25">
      <c r="B36" t="s">
        <v>490</v>
      </c>
    </row>
    <row r="37" spans="2:8" x14ac:dyDescent="0.25">
      <c r="B37" t="s">
        <v>491</v>
      </c>
    </row>
    <row r="38" spans="2:8" x14ac:dyDescent="0.25">
      <c r="B38" t="s">
        <v>492</v>
      </c>
    </row>
    <row r="39" spans="2:8" x14ac:dyDescent="0.25">
      <c r="B39" t="s">
        <v>493</v>
      </c>
    </row>
    <row r="40" spans="2:8" x14ac:dyDescent="0.25">
      <c r="B40" t="s">
        <v>1010</v>
      </c>
      <c r="C40">
        <v>2021</v>
      </c>
      <c r="F40">
        <v>20</v>
      </c>
      <c r="H40" s="38">
        <v>45030</v>
      </c>
    </row>
    <row r="41" spans="2:8" x14ac:dyDescent="0.25">
      <c r="B41" t="s">
        <v>1011</v>
      </c>
      <c r="C41">
        <v>2020</v>
      </c>
      <c r="F41">
        <v>20</v>
      </c>
      <c r="H41" s="38">
        <v>44987</v>
      </c>
    </row>
    <row r="42" spans="2:8" x14ac:dyDescent="0.25">
      <c r="B42" t="s">
        <v>1009</v>
      </c>
    </row>
    <row r="43" spans="2:8" x14ac:dyDescent="0.25">
      <c r="B43" t="s">
        <v>1012</v>
      </c>
      <c r="C43" s="13">
        <v>44188</v>
      </c>
      <c r="F43">
        <v>19</v>
      </c>
      <c r="H43" s="38">
        <v>44545</v>
      </c>
    </row>
    <row r="44" spans="2:8" x14ac:dyDescent="0.25">
      <c r="B44" t="s">
        <v>1036</v>
      </c>
      <c r="C44" s="13"/>
      <c r="E44" t="s">
        <v>325</v>
      </c>
      <c r="F44">
        <v>16.8</v>
      </c>
      <c r="G44" t="s">
        <v>1037</v>
      </c>
      <c r="H44" s="38">
        <v>45349</v>
      </c>
    </row>
    <row r="45" spans="2:8" x14ac:dyDescent="0.25">
      <c r="B45" t="s">
        <v>1181</v>
      </c>
      <c r="C45" s="13"/>
      <c r="H45" s="38"/>
    </row>
    <row r="46" spans="2:8" x14ac:dyDescent="0.25">
      <c r="B46" t="s">
        <v>1029</v>
      </c>
      <c r="C46" s="13"/>
      <c r="E46" t="s">
        <v>325</v>
      </c>
      <c r="F46">
        <v>14</v>
      </c>
      <c r="G46" t="s">
        <v>1030</v>
      </c>
      <c r="H46" s="38">
        <v>45307</v>
      </c>
    </row>
    <row r="47" spans="2:8" x14ac:dyDescent="0.25">
      <c r="B47" t="s">
        <v>494</v>
      </c>
    </row>
    <row r="48" spans="2:8" x14ac:dyDescent="0.25">
      <c r="B48" t="s">
        <v>1008</v>
      </c>
    </row>
    <row r="49" spans="2:8" x14ac:dyDescent="0.25">
      <c r="B49" t="s">
        <v>1186</v>
      </c>
    </row>
    <row r="50" spans="2:8" x14ac:dyDescent="0.25">
      <c r="B50" t="s">
        <v>495</v>
      </c>
    </row>
    <row r="51" spans="2:8" x14ac:dyDescent="0.25">
      <c r="B51" t="s">
        <v>496</v>
      </c>
    </row>
    <row r="52" spans="2:8" x14ac:dyDescent="0.25">
      <c r="B52" t="s">
        <v>444</v>
      </c>
    </row>
    <row r="53" spans="2:8" x14ac:dyDescent="0.25">
      <c r="B53" t="s">
        <v>1143</v>
      </c>
      <c r="E53" t="s">
        <v>602</v>
      </c>
      <c r="F53">
        <v>120</v>
      </c>
      <c r="H53" s="38">
        <v>45511</v>
      </c>
    </row>
    <row r="54" spans="2:8" x14ac:dyDescent="0.25">
      <c r="B54" t="s">
        <v>445</v>
      </c>
    </row>
    <row r="55" spans="2:8" x14ac:dyDescent="0.25">
      <c r="B55" t="s">
        <v>446</v>
      </c>
    </row>
    <row r="56" spans="2:8" x14ac:dyDescent="0.25">
      <c r="B56" t="s">
        <v>447</v>
      </c>
    </row>
    <row r="57" spans="2:8" x14ac:dyDescent="0.25">
      <c r="B57" t="s">
        <v>1318</v>
      </c>
      <c r="C57" s="13">
        <v>45196</v>
      </c>
      <c r="E57" t="s">
        <v>393</v>
      </c>
      <c r="F57">
        <v>175</v>
      </c>
      <c r="G57" t="s">
        <v>1319</v>
      </c>
    </row>
    <row r="58" spans="2:8" x14ac:dyDescent="0.25">
      <c r="B58" t="s">
        <v>448</v>
      </c>
    </row>
    <row r="59" spans="2:8" x14ac:dyDescent="0.25">
      <c r="B59" t="s">
        <v>450</v>
      </c>
    </row>
    <row r="60" spans="2:8" x14ac:dyDescent="0.25">
      <c r="B60" t="s">
        <v>449</v>
      </c>
    </row>
    <row r="61" spans="2:8" x14ac:dyDescent="0.25">
      <c r="B61" t="s">
        <v>451</v>
      </c>
      <c r="E61" t="s">
        <v>602</v>
      </c>
      <c r="F61">
        <v>500</v>
      </c>
    </row>
    <row r="62" spans="2:8" x14ac:dyDescent="0.25">
      <c r="B62" t="s">
        <v>453</v>
      </c>
    </row>
    <row r="63" spans="2:8" x14ac:dyDescent="0.25">
      <c r="B63" t="s">
        <v>454</v>
      </c>
    </row>
    <row r="64" spans="2:8" x14ac:dyDescent="0.25">
      <c r="B64" t="s">
        <v>455</v>
      </c>
    </row>
    <row r="65" spans="2:6" x14ac:dyDescent="0.25">
      <c r="B65" t="s">
        <v>456</v>
      </c>
    </row>
    <row r="66" spans="2:6" x14ac:dyDescent="0.25">
      <c r="B66" t="s">
        <v>473</v>
      </c>
    </row>
    <row r="67" spans="2:6" x14ac:dyDescent="0.25">
      <c r="B67" t="s">
        <v>474</v>
      </c>
    </row>
    <row r="68" spans="2:6" x14ac:dyDescent="0.25">
      <c r="B68" t="s">
        <v>476</v>
      </c>
    </row>
    <row r="69" spans="2:6" x14ac:dyDescent="0.25">
      <c r="B69" t="s">
        <v>475</v>
      </c>
    </row>
    <row r="70" spans="2:6" x14ac:dyDescent="0.25">
      <c r="B70" t="s">
        <v>458</v>
      </c>
    </row>
    <row r="71" spans="2:6" x14ac:dyDescent="0.25">
      <c r="B71" t="s">
        <v>459</v>
      </c>
    </row>
    <row r="72" spans="2:6" x14ac:dyDescent="0.25">
      <c r="B72" t="s">
        <v>461</v>
      </c>
    </row>
    <row r="73" spans="2:6" x14ac:dyDescent="0.25">
      <c r="B73" t="s">
        <v>462</v>
      </c>
    </row>
    <row r="74" spans="2:6" x14ac:dyDescent="0.25">
      <c r="B74" t="s">
        <v>463</v>
      </c>
    </row>
    <row r="75" spans="2:6" x14ac:dyDescent="0.25">
      <c r="B75" t="s">
        <v>464</v>
      </c>
    </row>
    <row r="76" spans="2:6" x14ac:dyDescent="0.25">
      <c r="B76" t="s">
        <v>466</v>
      </c>
    </row>
    <row r="77" spans="2:6" x14ac:dyDescent="0.25">
      <c r="B77" t="s">
        <v>467</v>
      </c>
    </row>
    <row r="78" spans="2:6" x14ac:dyDescent="0.25">
      <c r="B78" t="s">
        <v>468</v>
      </c>
    </row>
    <row r="79" spans="2:6" x14ac:dyDescent="0.25">
      <c r="B79" t="s">
        <v>469</v>
      </c>
    </row>
    <row r="80" spans="2:6" x14ac:dyDescent="0.25">
      <c r="B80" t="s">
        <v>470</v>
      </c>
      <c r="E80" t="s">
        <v>602</v>
      </c>
      <c r="F80" t="s">
        <v>1005</v>
      </c>
    </row>
    <row r="81" spans="2:8" x14ac:dyDescent="0.25">
      <c r="B81" t="s">
        <v>1006</v>
      </c>
      <c r="E81" t="s">
        <v>325</v>
      </c>
      <c r="F81" t="s">
        <v>1007</v>
      </c>
    </row>
    <row r="82" spans="2:8" x14ac:dyDescent="0.25">
      <c r="B82" t="s">
        <v>471</v>
      </c>
    </row>
    <row r="83" spans="2:8" x14ac:dyDescent="0.25">
      <c r="B83" t="s">
        <v>472</v>
      </c>
    </row>
    <row r="84" spans="2:8" x14ac:dyDescent="0.25">
      <c r="B84" t="s">
        <v>465</v>
      </c>
    </row>
    <row r="85" spans="2:8" x14ac:dyDescent="0.25">
      <c r="B85" t="s">
        <v>460</v>
      </c>
    </row>
    <row r="86" spans="2:8" x14ac:dyDescent="0.25">
      <c r="B86" t="s">
        <v>443</v>
      </c>
    </row>
    <row r="87" spans="2:8" x14ac:dyDescent="0.25">
      <c r="B87" t="s">
        <v>0</v>
      </c>
    </row>
    <row r="88" spans="2:8" x14ac:dyDescent="0.25">
      <c r="B88" t="s">
        <v>280</v>
      </c>
    </row>
    <row r="89" spans="2:8" x14ac:dyDescent="0.25">
      <c r="B89" t="s">
        <v>281</v>
      </c>
    </row>
    <row r="90" spans="2:8" x14ac:dyDescent="0.25">
      <c r="B90" t="s">
        <v>282</v>
      </c>
      <c r="C90">
        <v>2019</v>
      </c>
      <c r="D90" t="s">
        <v>283</v>
      </c>
    </row>
    <row r="91" spans="2:8" x14ac:dyDescent="0.25">
      <c r="B91" t="s">
        <v>285</v>
      </c>
    </row>
    <row r="92" spans="2:8" x14ac:dyDescent="0.25">
      <c r="B92" t="s">
        <v>287</v>
      </c>
    </row>
    <row r="93" spans="2:8" x14ac:dyDescent="0.25">
      <c r="B93" t="s">
        <v>290</v>
      </c>
    </row>
    <row r="94" spans="2:8" x14ac:dyDescent="0.25">
      <c r="B94" t="s">
        <v>323</v>
      </c>
      <c r="C94">
        <v>2019</v>
      </c>
      <c r="D94" t="s">
        <v>331</v>
      </c>
      <c r="E94" t="s">
        <v>325</v>
      </c>
      <c r="F94" t="s">
        <v>329</v>
      </c>
      <c r="G94" t="s">
        <v>328</v>
      </c>
      <c r="H94" s="38">
        <v>44599</v>
      </c>
    </row>
    <row r="95" spans="2:8" x14ac:dyDescent="0.25">
      <c r="B95" t="s">
        <v>338</v>
      </c>
      <c r="E95" t="s">
        <v>325</v>
      </c>
      <c r="F95" t="s">
        <v>339</v>
      </c>
    </row>
    <row r="96" spans="2:8" x14ac:dyDescent="0.25">
      <c r="B96" t="s">
        <v>340</v>
      </c>
    </row>
    <row r="97" spans="2:9" x14ac:dyDescent="0.25">
      <c r="B97" t="s">
        <v>1043</v>
      </c>
    </row>
    <row r="98" spans="2:9" x14ac:dyDescent="0.25">
      <c r="B98" t="s">
        <v>341</v>
      </c>
      <c r="I98" t="s">
        <v>342</v>
      </c>
    </row>
    <row r="99" spans="2:9" x14ac:dyDescent="0.25">
      <c r="B99" t="s">
        <v>384</v>
      </c>
    </row>
    <row r="100" spans="2:9" x14ac:dyDescent="0.25">
      <c r="B100" t="s">
        <v>387</v>
      </c>
      <c r="C100" t="s">
        <v>388</v>
      </c>
      <c r="E100" t="s">
        <v>325</v>
      </c>
      <c r="F100" t="s">
        <v>389</v>
      </c>
      <c r="H100" s="38">
        <v>43466</v>
      </c>
      <c r="I100" t="s">
        <v>390</v>
      </c>
    </row>
    <row r="101" spans="2:9" x14ac:dyDescent="0.25">
      <c r="B101" t="s">
        <v>391</v>
      </c>
    </row>
    <row r="103" spans="2:9" x14ac:dyDescent="0.25">
      <c r="B103" t="s">
        <v>398</v>
      </c>
      <c r="E103" t="s">
        <v>393</v>
      </c>
      <c r="F103">
        <v>121</v>
      </c>
    </row>
    <row r="104" spans="2:9" x14ac:dyDescent="0.25">
      <c r="B104" t="s">
        <v>415</v>
      </c>
    </row>
    <row r="105" spans="2:9" x14ac:dyDescent="0.25">
      <c r="B105" t="s">
        <v>418</v>
      </c>
    </row>
    <row r="106" spans="2:9" x14ac:dyDescent="0.25">
      <c r="B106" t="s">
        <v>420</v>
      </c>
    </row>
    <row r="107" spans="2:9" x14ac:dyDescent="0.25">
      <c r="B107" t="s">
        <v>425</v>
      </c>
      <c r="I107" t="s">
        <v>426</v>
      </c>
    </row>
    <row r="108" spans="2:9" x14ac:dyDescent="0.25">
      <c r="B108" t="s">
        <v>440</v>
      </c>
    </row>
    <row r="109" spans="2:9" x14ac:dyDescent="0.25">
      <c r="B109" t="s">
        <v>502</v>
      </c>
    </row>
    <row r="110" spans="2:9" x14ac:dyDescent="0.25">
      <c r="B110" t="s">
        <v>518</v>
      </c>
      <c r="I110" t="s">
        <v>519</v>
      </c>
    </row>
    <row r="111" spans="2:9" x14ac:dyDescent="0.25">
      <c r="B111" t="s">
        <v>521</v>
      </c>
      <c r="I111" t="s">
        <v>519</v>
      </c>
    </row>
    <row r="112" spans="2:9" x14ac:dyDescent="0.25">
      <c r="B112" t="s">
        <v>606</v>
      </c>
      <c r="C112">
        <v>2018</v>
      </c>
      <c r="D112" t="s">
        <v>609</v>
      </c>
      <c r="E112" t="s">
        <v>607</v>
      </c>
      <c r="F112" t="s">
        <v>608</v>
      </c>
      <c r="H112" s="38">
        <v>43251</v>
      </c>
    </row>
    <row r="113" spans="2:9" x14ac:dyDescent="0.25">
      <c r="B113" t="s">
        <v>606</v>
      </c>
      <c r="C113">
        <v>2018</v>
      </c>
      <c r="D113" t="s">
        <v>609</v>
      </c>
      <c r="E113" t="s">
        <v>605</v>
      </c>
      <c r="F113" t="s">
        <v>604</v>
      </c>
    </row>
    <row r="114" spans="2:9" x14ac:dyDescent="0.25">
      <c r="B114" t="s">
        <v>606</v>
      </c>
      <c r="C114">
        <v>2018</v>
      </c>
      <c r="D114" t="s">
        <v>609</v>
      </c>
      <c r="E114" t="s">
        <v>602</v>
      </c>
      <c r="F114" t="s">
        <v>603</v>
      </c>
    </row>
    <row r="115" spans="2:9" x14ac:dyDescent="0.25">
      <c r="B115" t="s">
        <v>610</v>
      </c>
      <c r="I115" t="s">
        <v>611</v>
      </c>
    </row>
    <row r="116" spans="2:9" x14ac:dyDescent="0.25">
      <c r="B116" t="s">
        <v>617</v>
      </c>
      <c r="E116" t="s">
        <v>602</v>
      </c>
      <c r="F116" t="s">
        <v>619</v>
      </c>
    </row>
    <row r="117" spans="2:9" x14ac:dyDescent="0.25">
      <c r="B117" t="s">
        <v>617</v>
      </c>
      <c r="E117" t="s">
        <v>325</v>
      </c>
      <c r="F117" t="s">
        <v>618</v>
      </c>
      <c r="G117" t="s">
        <v>620</v>
      </c>
    </row>
    <row r="118" spans="2:9" x14ac:dyDescent="0.25">
      <c r="B118" t="s">
        <v>621</v>
      </c>
      <c r="E118" t="s">
        <v>393</v>
      </c>
      <c r="F118" t="s">
        <v>622</v>
      </c>
    </row>
    <row r="119" spans="2:9" x14ac:dyDescent="0.25">
      <c r="B119" t="s">
        <v>621</v>
      </c>
      <c r="E119" t="s">
        <v>613</v>
      </c>
      <c r="F119" t="s">
        <v>608</v>
      </c>
    </row>
    <row r="120" spans="2:9" x14ac:dyDescent="0.25">
      <c r="B120" t="s">
        <v>1013</v>
      </c>
      <c r="E120" t="s">
        <v>602</v>
      </c>
      <c r="F120" t="s">
        <v>1014</v>
      </c>
    </row>
    <row r="121" spans="2:9" x14ac:dyDescent="0.25">
      <c r="B121" t="s">
        <v>1015</v>
      </c>
      <c r="E121" t="s">
        <v>325</v>
      </c>
      <c r="F121" t="s">
        <v>1016</v>
      </c>
    </row>
    <row r="122" spans="2:9" x14ac:dyDescent="0.25">
      <c r="B122" t="s">
        <v>1018</v>
      </c>
      <c r="E122" t="s">
        <v>1019</v>
      </c>
      <c r="F122" t="s">
        <v>1020</v>
      </c>
    </row>
    <row r="123" spans="2:9" x14ac:dyDescent="0.25">
      <c r="B123" t="s">
        <v>1021</v>
      </c>
    </row>
    <row r="124" spans="2:9" x14ac:dyDescent="0.25">
      <c r="B124" t="s">
        <v>1022</v>
      </c>
    </row>
    <row r="125" spans="2:9" x14ac:dyDescent="0.25">
      <c r="B125" t="s">
        <v>1652</v>
      </c>
    </row>
    <row r="126" spans="2:9" x14ac:dyDescent="0.25">
      <c r="B126" t="s">
        <v>1653</v>
      </c>
    </row>
    <row r="128" spans="2:9" x14ac:dyDescent="0.25">
      <c r="B128" t="s">
        <v>1024</v>
      </c>
      <c r="E128" t="s">
        <v>1019</v>
      </c>
      <c r="F128" t="s">
        <v>1025</v>
      </c>
      <c r="G128" t="s">
        <v>1026</v>
      </c>
      <c r="H128" s="38">
        <v>44915</v>
      </c>
      <c r="I128" t="s">
        <v>1027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5FFF-8E15-4528-B07F-6A1BFCFA1FC9}">
  <dimension ref="A1:F25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ColWidth="8.81640625" defaultRowHeight="12.5" x14ac:dyDescent="0.25"/>
  <cols>
    <col min="1" max="1" width="5" bestFit="1" customWidth="1"/>
    <col min="2" max="2" width="13.453125" bestFit="1" customWidth="1"/>
    <col min="3" max="3" width="17.81640625" bestFit="1" customWidth="1"/>
    <col min="4" max="4" width="15.453125" bestFit="1" customWidth="1"/>
    <col min="5" max="6" width="9.1796875" style="28"/>
  </cols>
  <sheetData>
    <row r="1" spans="1:6" x14ac:dyDescent="0.25">
      <c r="A1" s="5" t="s">
        <v>286</v>
      </c>
    </row>
    <row r="2" spans="1:6" x14ac:dyDescent="0.25">
      <c r="B2" t="s">
        <v>1</v>
      </c>
      <c r="C2" t="s">
        <v>1339</v>
      </c>
      <c r="D2" t="s">
        <v>1320</v>
      </c>
      <c r="E2" s="28" t="s">
        <v>1329</v>
      </c>
      <c r="F2" s="28" t="s">
        <v>1330</v>
      </c>
    </row>
    <row r="3" spans="1:6" x14ac:dyDescent="0.25">
      <c r="B3" t="s">
        <v>1321</v>
      </c>
      <c r="C3" t="s">
        <v>1344</v>
      </c>
      <c r="D3" t="s">
        <v>1322</v>
      </c>
      <c r="E3" s="30">
        <v>21976.23993</v>
      </c>
      <c r="F3" s="30">
        <v>7825</v>
      </c>
    </row>
    <row r="4" spans="1:6" x14ac:dyDescent="0.25">
      <c r="B4" t="s">
        <v>1337</v>
      </c>
      <c r="D4" t="s">
        <v>1360</v>
      </c>
      <c r="E4" s="30">
        <v>18211.07</v>
      </c>
    </row>
    <row r="5" spans="1:6" x14ac:dyDescent="0.25">
      <c r="B5" t="s">
        <v>1336</v>
      </c>
      <c r="D5" t="s">
        <v>1360</v>
      </c>
      <c r="E5" s="30">
        <v>16117.395447000001</v>
      </c>
    </row>
    <row r="6" spans="1:6" x14ac:dyDescent="0.25">
      <c r="B6" t="s">
        <v>1335</v>
      </c>
      <c r="C6" t="s">
        <v>1345</v>
      </c>
      <c r="D6" t="s">
        <v>1361</v>
      </c>
      <c r="E6" s="30">
        <v>11227.234425000001</v>
      </c>
    </row>
    <row r="7" spans="1:6" x14ac:dyDescent="0.25">
      <c r="B7" t="s">
        <v>1323</v>
      </c>
      <c r="D7" t="s">
        <v>1360</v>
      </c>
      <c r="E7" s="30">
        <v>9575.6820260000004</v>
      </c>
    </row>
    <row r="8" spans="1:6" x14ac:dyDescent="0.25">
      <c r="B8" t="s">
        <v>1324</v>
      </c>
      <c r="C8" t="s">
        <v>1346</v>
      </c>
      <c r="D8" t="s">
        <v>1362</v>
      </c>
      <c r="E8" s="30">
        <v>8820.4850540000007</v>
      </c>
    </row>
    <row r="9" spans="1:6" x14ac:dyDescent="0.25">
      <c r="B9" t="s">
        <v>1333</v>
      </c>
      <c r="E9" s="30">
        <v>8737.9044240000003</v>
      </c>
    </row>
    <row r="10" spans="1:6" x14ac:dyDescent="0.25">
      <c r="B10" t="s">
        <v>1370</v>
      </c>
      <c r="C10" t="s">
        <v>1371</v>
      </c>
      <c r="D10" t="s">
        <v>1363</v>
      </c>
      <c r="E10" s="30"/>
      <c r="F10" s="30">
        <v>6000</v>
      </c>
    </row>
    <row r="11" spans="1:6" x14ac:dyDescent="0.25">
      <c r="B11" t="s">
        <v>1334</v>
      </c>
      <c r="C11" t="s">
        <v>1347</v>
      </c>
      <c r="D11" t="s">
        <v>1363</v>
      </c>
      <c r="E11" s="30">
        <v>5911.15</v>
      </c>
    </row>
    <row r="12" spans="1:6" x14ac:dyDescent="0.25">
      <c r="B12" t="s">
        <v>1325</v>
      </c>
      <c r="E12" s="30">
        <v>5768.7178190000004</v>
      </c>
    </row>
    <row r="13" spans="1:6" x14ac:dyDescent="0.25">
      <c r="B13" t="s">
        <v>1364</v>
      </c>
      <c r="C13" t="s">
        <v>1365</v>
      </c>
      <c r="D13" t="s">
        <v>1363</v>
      </c>
      <c r="E13" s="30"/>
      <c r="F13" s="30">
        <v>5600</v>
      </c>
    </row>
    <row r="14" spans="1:6" x14ac:dyDescent="0.25">
      <c r="B14" t="s">
        <v>1338</v>
      </c>
      <c r="E14" s="30">
        <v>5116.0800019999997</v>
      </c>
    </row>
    <row r="15" spans="1:6" x14ac:dyDescent="0.25">
      <c r="B15" t="s">
        <v>1327</v>
      </c>
      <c r="E15" s="30">
        <v>5001.7414399999998</v>
      </c>
    </row>
    <row r="16" spans="1:6" x14ac:dyDescent="0.25">
      <c r="B16" s="5" t="s">
        <v>1340</v>
      </c>
      <c r="C16" t="s">
        <v>1341</v>
      </c>
      <c r="E16" s="30">
        <v>4902.1930000000002</v>
      </c>
      <c r="F16" s="30">
        <v>3187.7679090000001</v>
      </c>
    </row>
    <row r="17" spans="2:5" x14ac:dyDescent="0.25">
      <c r="B17" t="s">
        <v>1326</v>
      </c>
      <c r="C17" t="s">
        <v>1348</v>
      </c>
      <c r="E17" s="30">
        <v>4012.7660850000002</v>
      </c>
    </row>
    <row r="18" spans="2:5" x14ac:dyDescent="0.25">
      <c r="B18" t="s">
        <v>1332</v>
      </c>
      <c r="E18" s="30">
        <v>3542.0446270000002</v>
      </c>
    </row>
    <row r="19" spans="2:5" x14ac:dyDescent="0.25">
      <c r="B19" t="s">
        <v>1343</v>
      </c>
      <c r="E19" s="30">
        <v>2643.6989920000001</v>
      </c>
    </row>
    <row r="20" spans="2:5" x14ac:dyDescent="0.25">
      <c r="B20" s="5" t="s">
        <v>1350</v>
      </c>
      <c r="E20" s="30">
        <v>1296.421245</v>
      </c>
    </row>
    <row r="21" spans="2:5" x14ac:dyDescent="0.25">
      <c r="B21" t="s">
        <v>1331</v>
      </c>
      <c r="E21" s="30">
        <v>1057</v>
      </c>
    </row>
    <row r="22" spans="2:5" x14ac:dyDescent="0.25">
      <c r="B22" t="s">
        <v>1342</v>
      </c>
      <c r="C22" t="s">
        <v>1349</v>
      </c>
      <c r="E22" s="30">
        <v>981.87468000000001</v>
      </c>
    </row>
    <row r="23" spans="2:5" x14ac:dyDescent="0.25">
      <c r="B23" t="s">
        <v>1328</v>
      </c>
      <c r="E23" s="30">
        <v>507.774765</v>
      </c>
    </row>
    <row r="24" spans="2:5" x14ac:dyDescent="0.25">
      <c r="B24" t="s">
        <v>1351</v>
      </c>
    </row>
    <row r="25" spans="2:5" x14ac:dyDescent="0.25">
      <c r="B25" t="s">
        <v>1352</v>
      </c>
    </row>
  </sheetData>
  <hyperlinks>
    <hyperlink ref="A1" location="Main!A1" display="Main" xr:uid="{A5D06D9C-5A5F-4219-91DC-EC46896EA7D7}"/>
    <hyperlink ref="B16" r:id="rId1" xr:uid="{58224390-4954-446C-A607-69D5082BF3A9}"/>
    <hyperlink ref="B20" r:id="rId2" xr:uid="{B090EDB5-C40B-4CBB-9675-88BEE621013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112"/>
  <sheetViews>
    <sheetView zoomScale="205" zoomScaleNormal="205" workbookViewId="0">
      <pane xSplit="2" ySplit="2" topLeftCell="C106" activePane="bottomRight" state="frozen"/>
      <selection pane="topRight" activeCell="C1" sqref="C1"/>
      <selection pane="bottomLeft" activeCell="A3" sqref="A3"/>
      <selection pane="bottomRight" activeCell="D112" sqref="D112"/>
    </sheetView>
  </sheetViews>
  <sheetFormatPr defaultColWidth="8.81640625" defaultRowHeight="12.5" x14ac:dyDescent="0.25"/>
  <cols>
    <col min="1" max="1" width="5" bestFit="1" customWidth="1"/>
    <col min="2" max="2" width="15.453125" customWidth="1"/>
    <col min="3" max="3" width="10.453125" customWidth="1"/>
    <col min="4" max="4" width="12.453125" bestFit="1" customWidth="1"/>
    <col min="5" max="5" width="10.453125" bestFit="1" customWidth="1"/>
    <col min="6" max="6" width="9.453125" bestFit="1" customWidth="1"/>
    <col min="10" max="10" width="10.453125" customWidth="1"/>
  </cols>
  <sheetData>
    <row r="1" spans="1:15" x14ac:dyDescent="0.25">
      <c r="A1" s="5" t="s">
        <v>286</v>
      </c>
    </row>
    <row r="2" spans="1:15" x14ac:dyDescent="0.25">
      <c r="B2" t="s">
        <v>294</v>
      </c>
      <c r="C2" t="s">
        <v>295</v>
      </c>
      <c r="D2" t="s">
        <v>320</v>
      </c>
      <c r="E2" t="s">
        <v>1203</v>
      </c>
      <c r="F2" t="s">
        <v>1219</v>
      </c>
      <c r="G2" t="s">
        <v>427</v>
      </c>
    </row>
    <row r="3" spans="1:15" x14ac:dyDescent="0.25">
      <c r="B3" t="s">
        <v>1251</v>
      </c>
      <c r="C3" t="s">
        <v>1252</v>
      </c>
      <c r="D3" s="6">
        <v>76000</v>
      </c>
      <c r="E3">
        <v>2000</v>
      </c>
      <c r="G3" t="s">
        <v>1253</v>
      </c>
    </row>
    <row r="4" spans="1:15" x14ac:dyDescent="0.25">
      <c r="B4" t="s">
        <v>1205</v>
      </c>
      <c r="C4" t="s">
        <v>32</v>
      </c>
      <c r="D4" s="6">
        <v>74000</v>
      </c>
      <c r="E4" s="13">
        <v>43468</v>
      </c>
    </row>
    <row r="5" spans="1:15" x14ac:dyDescent="0.25">
      <c r="B5" t="s">
        <v>1207</v>
      </c>
      <c r="C5" t="s">
        <v>24</v>
      </c>
      <c r="D5" s="6">
        <v>68000</v>
      </c>
      <c r="E5" s="13">
        <v>39838</v>
      </c>
    </row>
    <row r="6" spans="1:15" x14ac:dyDescent="0.25">
      <c r="B6" t="s">
        <v>1248</v>
      </c>
      <c r="C6" t="s">
        <v>1249</v>
      </c>
      <c r="D6" s="6">
        <v>67000</v>
      </c>
      <c r="E6" s="8">
        <v>1999</v>
      </c>
      <c r="G6" t="s">
        <v>1250</v>
      </c>
    </row>
    <row r="7" spans="1:15" x14ac:dyDescent="0.25">
      <c r="B7" t="s">
        <v>1225</v>
      </c>
      <c r="C7" t="s">
        <v>35</v>
      </c>
      <c r="D7" s="6">
        <v>64000</v>
      </c>
      <c r="E7" s="13">
        <v>38103</v>
      </c>
      <c r="F7" s="13">
        <v>38103</v>
      </c>
    </row>
    <row r="8" spans="1:15" x14ac:dyDescent="0.25">
      <c r="B8" t="s">
        <v>1204</v>
      </c>
      <c r="C8" t="s">
        <v>18</v>
      </c>
      <c r="D8" s="6">
        <v>63000</v>
      </c>
      <c r="E8" s="13">
        <v>43641</v>
      </c>
    </row>
    <row r="9" spans="1:15" x14ac:dyDescent="0.25">
      <c r="B9" t="s">
        <v>1260</v>
      </c>
      <c r="C9" t="s">
        <v>255</v>
      </c>
      <c r="D9" s="6">
        <v>63000</v>
      </c>
      <c r="E9" s="8">
        <v>2018</v>
      </c>
    </row>
    <row r="10" spans="1:15" x14ac:dyDescent="0.25">
      <c r="B10" t="s">
        <v>1264</v>
      </c>
      <c r="C10" t="s">
        <v>1058</v>
      </c>
      <c r="D10" s="6">
        <v>63000</v>
      </c>
      <c r="E10" s="8">
        <v>1996</v>
      </c>
      <c r="G10" t="s">
        <v>1265</v>
      </c>
    </row>
    <row r="11" spans="1:15" x14ac:dyDescent="0.25">
      <c r="B11" t="s">
        <v>1192</v>
      </c>
      <c r="C11" t="s">
        <v>61</v>
      </c>
      <c r="D11" s="6">
        <v>62000</v>
      </c>
      <c r="E11" s="13">
        <v>43473</v>
      </c>
      <c r="F11" s="13">
        <v>43473</v>
      </c>
    </row>
    <row r="12" spans="1:15" x14ac:dyDescent="0.25">
      <c r="B12" t="s">
        <v>1209</v>
      </c>
      <c r="C12" t="s">
        <v>24</v>
      </c>
      <c r="D12" s="6">
        <v>60000</v>
      </c>
      <c r="E12" s="50" t="s">
        <v>1208</v>
      </c>
    </row>
    <row r="13" spans="1:15" x14ac:dyDescent="0.25">
      <c r="B13" t="s">
        <v>1222</v>
      </c>
      <c r="C13" t="s">
        <v>21</v>
      </c>
      <c r="D13" s="6">
        <v>47000</v>
      </c>
      <c r="E13" s="8">
        <v>2019</v>
      </c>
      <c r="G13" t="s">
        <v>1224</v>
      </c>
    </row>
    <row r="14" spans="1:15" x14ac:dyDescent="0.25">
      <c r="A14" s="1"/>
      <c r="B14" s="5" t="s">
        <v>71</v>
      </c>
      <c r="C14" s="1" t="s">
        <v>72</v>
      </c>
      <c r="D14" s="6">
        <v>43000</v>
      </c>
      <c r="E14" s="8">
        <v>2023</v>
      </c>
      <c r="F14" s="6"/>
      <c r="G14" s="6"/>
      <c r="H14" s="3"/>
      <c r="I14" s="6"/>
      <c r="J14" s="9"/>
      <c r="K14" s="7"/>
      <c r="L14" s="10"/>
      <c r="M14" s="10"/>
      <c r="N14" s="10"/>
      <c r="O14" s="10"/>
    </row>
    <row r="15" spans="1:15" x14ac:dyDescent="0.25">
      <c r="A15" s="1"/>
      <c r="B15" t="s">
        <v>1212</v>
      </c>
      <c r="C15" t="s">
        <v>28</v>
      </c>
      <c r="D15" s="6">
        <v>41100</v>
      </c>
      <c r="E15" s="8">
        <v>2009</v>
      </c>
      <c r="F15" s="6"/>
      <c r="G15" s="6"/>
      <c r="H15" s="3"/>
      <c r="I15" s="6"/>
      <c r="J15" s="9"/>
      <c r="K15" s="7"/>
      <c r="L15" s="10"/>
      <c r="M15" s="10"/>
      <c r="N15" s="10"/>
      <c r="O15" s="10"/>
    </row>
    <row r="16" spans="1:15" x14ac:dyDescent="0.25">
      <c r="A16" s="1"/>
      <c r="B16" t="s">
        <v>1216</v>
      </c>
      <c r="C16" t="s">
        <v>96</v>
      </c>
      <c r="D16" s="6">
        <v>40500</v>
      </c>
      <c r="E16" s="8">
        <v>2015</v>
      </c>
      <c r="F16" s="6"/>
      <c r="G16" s="6"/>
      <c r="H16" s="3"/>
      <c r="I16" s="6"/>
      <c r="J16" s="9"/>
      <c r="K16" s="7"/>
      <c r="L16" s="10"/>
      <c r="M16" s="10"/>
      <c r="N16" s="10"/>
      <c r="O16" s="10"/>
    </row>
    <row r="17" spans="1:15" x14ac:dyDescent="0.25">
      <c r="A17" s="1"/>
      <c r="B17" t="s">
        <v>1246</v>
      </c>
      <c r="C17" t="s">
        <v>29</v>
      </c>
      <c r="D17" s="6">
        <v>39000</v>
      </c>
      <c r="E17" s="8">
        <v>2008</v>
      </c>
      <c r="F17" s="6"/>
      <c r="G17" s="52" t="s">
        <v>1247</v>
      </c>
      <c r="H17" s="3"/>
      <c r="I17" s="6"/>
      <c r="J17" s="9"/>
      <c r="K17" s="7"/>
      <c r="L17" s="10"/>
      <c r="M17" s="10"/>
      <c r="N17" s="10"/>
      <c r="O17" s="10"/>
    </row>
    <row r="18" spans="1:15" x14ac:dyDescent="0.25">
      <c r="B18" t="s">
        <v>1191</v>
      </c>
      <c r="C18" t="s">
        <v>1192</v>
      </c>
      <c r="D18" s="31">
        <v>32000</v>
      </c>
      <c r="E18">
        <v>2016</v>
      </c>
    </row>
    <row r="19" spans="1:15" x14ac:dyDescent="0.25">
      <c r="B19" t="s">
        <v>1259</v>
      </c>
      <c r="C19" t="s">
        <v>14</v>
      </c>
      <c r="D19" s="31">
        <v>30000</v>
      </c>
      <c r="E19" s="53">
        <v>2017</v>
      </c>
    </row>
    <row r="20" spans="1:15" x14ac:dyDescent="0.25">
      <c r="A20" s="1"/>
      <c r="B20" s="5" t="s">
        <v>103</v>
      </c>
      <c r="C20" s="1" t="s">
        <v>34</v>
      </c>
      <c r="D20" s="6">
        <v>27800</v>
      </c>
      <c r="E20">
        <v>2023</v>
      </c>
      <c r="F20" s="6"/>
      <c r="G20" s="6"/>
      <c r="H20" s="3"/>
      <c r="I20" s="6"/>
      <c r="J20" s="9"/>
    </row>
    <row r="21" spans="1:15" x14ac:dyDescent="0.25">
      <c r="A21" s="1"/>
      <c r="B21" t="s">
        <v>1227</v>
      </c>
      <c r="C21" t="s">
        <v>18</v>
      </c>
      <c r="D21" s="6">
        <v>21000</v>
      </c>
      <c r="E21">
        <v>2015</v>
      </c>
      <c r="F21">
        <v>2015</v>
      </c>
      <c r="G21" s="6"/>
      <c r="H21" s="3"/>
      <c r="I21" s="6"/>
      <c r="J21" s="9"/>
    </row>
    <row r="22" spans="1:15" x14ac:dyDescent="0.25">
      <c r="A22" s="1"/>
      <c r="B22" t="s">
        <v>1228</v>
      </c>
      <c r="C22" t="s">
        <v>45</v>
      </c>
      <c r="D22" s="6">
        <v>21000</v>
      </c>
      <c r="G22" s="6"/>
      <c r="H22" s="3"/>
      <c r="I22" s="6"/>
      <c r="J22" s="9"/>
    </row>
    <row r="23" spans="1:15" x14ac:dyDescent="0.25">
      <c r="A23" s="1"/>
      <c r="B23" t="s">
        <v>1206</v>
      </c>
      <c r="C23" t="s">
        <v>35</v>
      </c>
      <c r="D23" s="6">
        <v>20100</v>
      </c>
      <c r="E23" s="13">
        <v>40590</v>
      </c>
      <c r="F23" s="6"/>
      <c r="G23" s="6"/>
      <c r="H23" s="3"/>
      <c r="I23" s="6"/>
      <c r="J23" s="9"/>
    </row>
    <row r="24" spans="1:15" x14ac:dyDescent="0.25">
      <c r="B24" t="s">
        <v>1202</v>
      </c>
      <c r="C24" t="s">
        <v>23</v>
      </c>
      <c r="D24" s="31">
        <v>17000</v>
      </c>
      <c r="E24" s="49">
        <v>42036</v>
      </c>
      <c r="F24" s="13">
        <v>42250</v>
      </c>
    </row>
    <row r="25" spans="1:15" x14ac:dyDescent="0.25">
      <c r="B25" t="s">
        <v>1220</v>
      </c>
      <c r="C25" t="s">
        <v>34</v>
      </c>
      <c r="D25" s="31">
        <v>16000</v>
      </c>
      <c r="E25" s="50">
        <v>37239</v>
      </c>
      <c r="F25" s="13">
        <v>37449</v>
      </c>
    </row>
    <row r="26" spans="1:15" x14ac:dyDescent="0.25">
      <c r="B26" t="s">
        <v>1226</v>
      </c>
      <c r="C26" t="s">
        <v>38</v>
      </c>
      <c r="D26" s="31">
        <v>15600</v>
      </c>
      <c r="E26" s="50">
        <v>39196</v>
      </c>
      <c r="F26" s="50">
        <v>39196</v>
      </c>
    </row>
    <row r="27" spans="1:15" x14ac:dyDescent="0.25">
      <c r="B27" t="s">
        <v>1233</v>
      </c>
      <c r="C27" t="s">
        <v>1232</v>
      </c>
      <c r="D27" s="31">
        <v>14500</v>
      </c>
      <c r="E27" s="50">
        <v>42058</v>
      </c>
      <c r="F27" s="50"/>
    </row>
    <row r="28" spans="1:15" x14ac:dyDescent="0.25">
      <c r="B28" t="s">
        <v>400</v>
      </c>
      <c r="C28" t="s">
        <v>23</v>
      </c>
      <c r="D28" s="31">
        <v>14000</v>
      </c>
      <c r="E28" s="51">
        <v>2016</v>
      </c>
    </row>
    <row r="29" spans="1:15" x14ac:dyDescent="0.25">
      <c r="A29" s="1"/>
      <c r="B29" s="5" t="s">
        <v>599</v>
      </c>
      <c r="C29" t="s">
        <v>32</v>
      </c>
      <c r="D29" s="6">
        <v>12700</v>
      </c>
      <c r="E29" s="51">
        <v>2023</v>
      </c>
      <c r="F29" s="6"/>
      <c r="G29" s="6"/>
      <c r="H29" s="3"/>
      <c r="I29" s="6"/>
      <c r="J29" s="9"/>
    </row>
    <row r="30" spans="1:15" x14ac:dyDescent="0.25">
      <c r="A30" s="1"/>
      <c r="B30" t="s">
        <v>1230</v>
      </c>
      <c r="C30" t="s">
        <v>45</v>
      </c>
      <c r="D30" s="6">
        <v>11900</v>
      </c>
      <c r="E30" s="51">
        <v>2017</v>
      </c>
      <c r="F30" s="6"/>
      <c r="G30" s="6"/>
      <c r="H30" s="3"/>
      <c r="I30" s="6"/>
      <c r="J30" s="9"/>
    </row>
    <row r="31" spans="1:15" x14ac:dyDescent="0.25">
      <c r="B31" t="s">
        <v>355</v>
      </c>
      <c r="C31" t="s">
        <v>44</v>
      </c>
      <c r="D31" s="31">
        <v>11700</v>
      </c>
      <c r="E31">
        <v>2021</v>
      </c>
    </row>
    <row r="32" spans="1:15" x14ac:dyDescent="0.25">
      <c r="B32" t="s">
        <v>87</v>
      </c>
      <c r="C32" t="s">
        <v>23</v>
      </c>
      <c r="D32" s="31">
        <v>11600</v>
      </c>
      <c r="E32">
        <v>2022</v>
      </c>
    </row>
    <row r="33" spans="1:7" x14ac:dyDescent="0.25">
      <c r="B33" t="s">
        <v>416</v>
      </c>
      <c r="C33" t="s">
        <v>35</v>
      </c>
      <c r="D33" s="31">
        <v>11600</v>
      </c>
      <c r="E33" s="50">
        <v>43122</v>
      </c>
    </row>
    <row r="34" spans="1:7" x14ac:dyDescent="0.25">
      <c r="B34" t="s">
        <v>401</v>
      </c>
      <c r="C34" t="s">
        <v>23</v>
      </c>
      <c r="D34" s="31">
        <v>11400</v>
      </c>
      <c r="E34" s="13">
        <v>43633</v>
      </c>
    </row>
    <row r="35" spans="1:7" x14ac:dyDescent="0.25">
      <c r="B35" t="s">
        <v>1217</v>
      </c>
      <c r="C35" t="s">
        <v>45</v>
      </c>
      <c r="D35" s="31">
        <v>11000</v>
      </c>
      <c r="E35">
        <v>2011</v>
      </c>
    </row>
    <row r="36" spans="1:7" x14ac:dyDescent="0.25">
      <c r="A36" s="1"/>
      <c r="B36" t="s">
        <v>1017</v>
      </c>
      <c r="C36" t="s">
        <v>18</v>
      </c>
      <c r="D36" s="31">
        <v>10100</v>
      </c>
      <c r="E36" s="13">
        <v>45260</v>
      </c>
    </row>
    <row r="37" spans="1:7" x14ac:dyDescent="0.25">
      <c r="B37" t="s">
        <v>1214</v>
      </c>
      <c r="C37" t="s">
        <v>30</v>
      </c>
      <c r="D37" s="31">
        <v>9700</v>
      </c>
      <c r="E37">
        <v>2019</v>
      </c>
    </row>
    <row r="38" spans="1:7" x14ac:dyDescent="0.25">
      <c r="B38" t="s">
        <v>1244</v>
      </c>
      <c r="C38" t="s">
        <v>1205</v>
      </c>
      <c r="D38" s="31">
        <v>9000</v>
      </c>
      <c r="E38">
        <v>2018</v>
      </c>
    </row>
    <row r="39" spans="1:7" x14ac:dyDescent="0.25">
      <c r="B39" t="s">
        <v>1215</v>
      </c>
      <c r="C39" t="s">
        <v>30</v>
      </c>
      <c r="D39" s="31">
        <v>8700</v>
      </c>
      <c r="E39">
        <v>2018</v>
      </c>
    </row>
    <row r="40" spans="1:7" x14ac:dyDescent="0.25">
      <c r="B40" t="s">
        <v>147</v>
      </c>
      <c r="C40" t="s">
        <v>18</v>
      </c>
      <c r="D40" s="31">
        <v>8700</v>
      </c>
      <c r="F40" s="13">
        <v>45505</v>
      </c>
    </row>
    <row r="41" spans="1:7" x14ac:dyDescent="0.25">
      <c r="B41" t="s">
        <v>1231</v>
      </c>
      <c r="C41" t="s">
        <v>1232</v>
      </c>
      <c r="D41" s="31">
        <v>8700</v>
      </c>
      <c r="E41" s="13">
        <v>41421</v>
      </c>
      <c r="F41" s="13"/>
    </row>
    <row r="42" spans="1:7" x14ac:dyDescent="0.25">
      <c r="B42" t="s">
        <v>1213</v>
      </c>
      <c r="C42" t="s">
        <v>28</v>
      </c>
      <c r="D42" s="31">
        <v>8400</v>
      </c>
      <c r="E42">
        <v>2014</v>
      </c>
    </row>
    <row r="43" spans="1:7" x14ac:dyDescent="0.25">
      <c r="B43" t="s">
        <v>1261</v>
      </c>
      <c r="C43" t="s">
        <v>1262</v>
      </c>
      <c r="D43" s="31">
        <v>7700</v>
      </c>
      <c r="E43">
        <v>2005</v>
      </c>
      <c r="G43" t="s">
        <v>1250</v>
      </c>
    </row>
    <row r="44" spans="1:7" x14ac:dyDescent="0.25">
      <c r="B44" t="s">
        <v>1239</v>
      </c>
      <c r="C44" t="s">
        <v>1240</v>
      </c>
      <c r="D44" s="31">
        <v>7600</v>
      </c>
      <c r="E44">
        <v>2004</v>
      </c>
      <c r="G44" t="s">
        <v>1241</v>
      </c>
    </row>
    <row r="45" spans="1:7" x14ac:dyDescent="0.25">
      <c r="B45" t="s">
        <v>1243</v>
      </c>
      <c r="C45" t="s">
        <v>93</v>
      </c>
      <c r="D45" s="31">
        <v>7200</v>
      </c>
      <c r="E45">
        <v>2021</v>
      </c>
    </row>
    <row r="46" spans="1:7" x14ac:dyDescent="0.25">
      <c r="B46" t="s">
        <v>1234</v>
      </c>
      <c r="C46" t="s">
        <v>96</v>
      </c>
      <c r="D46" s="31">
        <v>6800</v>
      </c>
      <c r="E46">
        <v>2011</v>
      </c>
    </row>
    <row r="47" spans="1:7" x14ac:dyDescent="0.25">
      <c r="B47" t="s">
        <v>402</v>
      </c>
      <c r="C47" t="s">
        <v>23</v>
      </c>
      <c r="D47" s="31">
        <v>6700</v>
      </c>
      <c r="E47" s="13">
        <v>44543</v>
      </c>
    </row>
    <row r="48" spans="1:7" x14ac:dyDescent="0.25">
      <c r="B48" t="s">
        <v>1257</v>
      </c>
      <c r="C48" t="s">
        <v>1255</v>
      </c>
      <c r="D48" s="31">
        <v>6500</v>
      </c>
      <c r="E48">
        <v>2008</v>
      </c>
      <c r="G48" t="s">
        <v>1258</v>
      </c>
    </row>
    <row r="49" spans="1:7" x14ac:dyDescent="0.25">
      <c r="B49" t="s">
        <v>1235</v>
      </c>
      <c r="C49" t="s">
        <v>263</v>
      </c>
      <c r="D49" s="31">
        <v>5800</v>
      </c>
      <c r="E49" s="50" t="s">
        <v>1236</v>
      </c>
    </row>
    <row r="50" spans="1:7" x14ac:dyDescent="0.25">
      <c r="B50" s="1" t="s">
        <v>189</v>
      </c>
      <c r="C50" s="1" t="s">
        <v>23</v>
      </c>
      <c r="D50" s="31">
        <v>5400</v>
      </c>
      <c r="F50" s="13">
        <v>44840</v>
      </c>
    </row>
    <row r="51" spans="1:7" x14ac:dyDescent="0.25">
      <c r="B51" t="s">
        <v>1237</v>
      </c>
      <c r="C51" t="s">
        <v>29</v>
      </c>
      <c r="D51" s="31">
        <v>5100</v>
      </c>
      <c r="E51">
        <v>2005</v>
      </c>
      <c r="F51" s="13"/>
      <c r="G51" s="23" t="s">
        <v>1238</v>
      </c>
    </row>
    <row r="52" spans="1:7" x14ac:dyDescent="0.25">
      <c r="B52" t="s">
        <v>346</v>
      </c>
      <c r="C52" t="s">
        <v>14</v>
      </c>
      <c r="D52" s="31">
        <v>4900</v>
      </c>
      <c r="E52">
        <v>1999</v>
      </c>
    </row>
    <row r="53" spans="1:7" x14ac:dyDescent="0.25">
      <c r="A53" s="1"/>
      <c r="B53" t="s">
        <v>600</v>
      </c>
      <c r="C53" t="s">
        <v>601</v>
      </c>
      <c r="D53" s="6">
        <v>4800</v>
      </c>
      <c r="E53" s="13">
        <v>45207</v>
      </c>
    </row>
    <row r="54" spans="1:7" x14ac:dyDescent="0.25">
      <c r="B54" t="s">
        <v>345</v>
      </c>
      <c r="C54" t="s">
        <v>35</v>
      </c>
      <c r="D54" s="31">
        <v>4800</v>
      </c>
      <c r="E54" s="13">
        <v>43129</v>
      </c>
    </row>
    <row r="55" spans="1:7" x14ac:dyDescent="0.25">
      <c r="B55" t="s">
        <v>752</v>
      </c>
      <c r="C55" t="s">
        <v>45</v>
      </c>
      <c r="D55" s="31">
        <v>4300</v>
      </c>
      <c r="E55">
        <v>2024</v>
      </c>
    </row>
    <row r="56" spans="1:7" x14ac:dyDescent="0.25">
      <c r="A56" s="1"/>
      <c r="B56" s="1" t="s">
        <v>150</v>
      </c>
      <c r="C56" s="1" t="s">
        <v>151</v>
      </c>
      <c r="D56" s="6">
        <v>4100</v>
      </c>
      <c r="E56" s="13">
        <v>44715</v>
      </c>
    </row>
    <row r="57" spans="1:7" x14ac:dyDescent="0.25">
      <c r="A57" s="1"/>
      <c r="B57" t="s">
        <v>1242</v>
      </c>
      <c r="C57" t="s">
        <v>81</v>
      </c>
      <c r="D57" s="6">
        <v>4000</v>
      </c>
      <c r="E57">
        <v>2010</v>
      </c>
    </row>
    <row r="58" spans="1:7" x14ac:dyDescent="0.25">
      <c r="B58" t="s">
        <v>1218</v>
      </c>
      <c r="C58" t="s">
        <v>28</v>
      </c>
      <c r="D58" s="31">
        <v>3850</v>
      </c>
      <c r="E58">
        <v>2014</v>
      </c>
      <c r="G58" t="s">
        <v>1308</v>
      </c>
    </row>
    <row r="59" spans="1:7" x14ac:dyDescent="0.25">
      <c r="B59" s="1" t="s">
        <v>186</v>
      </c>
      <c r="C59" s="1" t="s">
        <v>34</v>
      </c>
      <c r="D59" s="6">
        <v>3700</v>
      </c>
      <c r="E59" s="13">
        <v>44777</v>
      </c>
    </row>
    <row r="60" spans="1:7" x14ac:dyDescent="0.25">
      <c r="B60" t="s">
        <v>1229</v>
      </c>
      <c r="C60" t="s">
        <v>45</v>
      </c>
      <c r="D60" s="31">
        <v>2500</v>
      </c>
      <c r="E60">
        <v>2006</v>
      </c>
    </row>
    <row r="61" spans="1:7" x14ac:dyDescent="0.25">
      <c r="B61" t="s">
        <v>347</v>
      </c>
      <c r="C61" t="s">
        <v>32</v>
      </c>
      <c r="D61" s="31">
        <v>2400</v>
      </c>
      <c r="F61" s="13">
        <v>40057</v>
      </c>
    </row>
    <row r="62" spans="1:7" x14ac:dyDescent="0.25">
      <c r="B62" t="s">
        <v>1221</v>
      </c>
      <c r="C62" t="s">
        <v>14</v>
      </c>
      <c r="D62" s="31">
        <v>2400</v>
      </c>
      <c r="E62">
        <v>2003</v>
      </c>
    </row>
    <row r="63" spans="1:7" x14ac:dyDescent="0.25">
      <c r="B63" t="s">
        <v>1254</v>
      </c>
      <c r="C63" t="s">
        <v>1255</v>
      </c>
      <c r="D63" s="31">
        <v>2300</v>
      </c>
      <c r="E63">
        <v>2006</v>
      </c>
    </row>
    <row r="64" spans="1:7" x14ac:dyDescent="0.25">
      <c r="B64" t="s">
        <v>1222</v>
      </c>
      <c r="C64" t="s">
        <v>21</v>
      </c>
      <c r="D64" s="31">
        <v>2100</v>
      </c>
      <c r="E64">
        <v>1990</v>
      </c>
      <c r="G64" t="s">
        <v>1223</v>
      </c>
    </row>
    <row r="65" spans="1:10" x14ac:dyDescent="0.25">
      <c r="B65" t="s">
        <v>1256</v>
      </c>
      <c r="C65" t="s">
        <v>1255</v>
      </c>
      <c r="D65" s="31">
        <v>2100</v>
      </c>
      <c r="E65">
        <v>2006</v>
      </c>
    </row>
    <row r="66" spans="1:10" x14ac:dyDescent="0.25">
      <c r="B66" t="s">
        <v>435</v>
      </c>
      <c r="C66" t="s">
        <v>28</v>
      </c>
      <c r="D66" s="31">
        <v>1350</v>
      </c>
      <c r="E66" s="13">
        <v>44886</v>
      </c>
    </row>
    <row r="67" spans="1:10" x14ac:dyDescent="0.25">
      <c r="B67" t="s">
        <v>1245</v>
      </c>
      <c r="C67" t="s">
        <v>14</v>
      </c>
      <c r="D67" s="31">
        <v>1000</v>
      </c>
      <c r="E67" s="13">
        <v>39955</v>
      </c>
    </row>
    <row r="68" spans="1:10" x14ac:dyDescent="0.25">
      <c r="B68" t="s">
        <v>1071</v>
      </c>
      <c r="C68" t="s">
        <v>39</v>
      </c>
      <c r="D68" s="31">
        <v>1000</v>
      </c>
      <c r="E68" s="13">
        <v>45300</v>
      </c>
    </row>
    <row r="69" spans="1:10" x14ac:dyDescent="0.25">
      <c r="B69" t="s">
        <v>254</v>
      </c>
      <c r="C69" t="s">
        <v>1246</v>
      </c>
      <c r="D69" s="31">
        <v>770</v>
      </c>
      <c r="E69" s="13">
        <v>44796</v>
      </c>
    </row>
    <row r="70" spans="1:10" x14ac:dyDescent="0.25">
      <c r="B70" t="s">
        <v>1210</v>
      </c>
      <c r="C70" t="s">
        <v>1209</v>
      </c>
      <c r="D70" s="31">
        <v>650</v>
      </c>
      <c r="E70" s="51" t="s">
        <v>1211</v>
      </c>
    </row>
    <row r="71" spans="1:10" x14ac:dyDescent="0.25">
      <c r="B71" t="s">
        <v>319</v>
      </c>
      <c r="C71" t="s">
        <v>45</v>
      </c>
      <c r="D71" s="31">
        <v>405</v>
      </c>
      <c r="E71" s="13">
        <v>44777</v>
      </c>
    </row>
    <row r="72" spans="1:10" x14ac:dyDescent="0.25">
      <c r="B72" t="s">
        <v>434</v>
      </c>
      <c r="C72" t="s">
        <v>18</v>
      </c>
    </row>
    <row r="73" spans="1:10" x14ac:dyDescent="0.25">
      <c r="B73" t="s">
        <v>1000</v>
      </c>
      <c r="C73" t="s">
        <v>255</v>
      </c>
      <c r="E73">
        <v>2021</v>
      </c>
    </row>
    <row r="74" spans="1:10" x14ac:dyDescent="0.25">
      <c r="B74" t="s">
        <v>1001</v>
      </c>
      <c r="C74" t="s">
        <v>255</v>
      </c>
      <c r="E74">
        <v>2020</v>
      </c>
    </row>
    <row r="75" spans="1:10" x14ac:dyDescent="0.25">
      <c r="B75" t="s">
        <v>1002</v>
      </c>
      <c r="C75" t="s">
        <v>255</v>
      </c>
      <c r="E75">
        <v>2019</v>
      </c>
    </row>
    <row r="76" spans="1:10" x14ac:dyDescent="0.25">
      <c r="A76" s="1"/>
      <c r="B76" s="5" t="s">
        <v>259</v>
      </c>
      <c r="C76" s="1" t="s">
        <v>260</v>
      </c>
      <c r="D76" s="19">
        <v>44.85</v>
      </c>
      <c r="E76" s="6" cm="1">
        <f t="array" ref="E76">+D76*I76/HKD</f>
        <v>24515.28782275</v>
      </c>
      <c r="F76" s="6">
        <f>([174]Main!$J$5-[174]Main!$J$6)/HKD</f>
        <v>991.71512820512828</v>
      </c>
      <c r="G76" s="6">
        <f>+E76-F76</f>
        <v>23523.572694544873</v>
      </c>
      <c r="H76" s="3" t="s">
        <v>301</v>
      </c>
      <c r="I76" s="6">
        <f>+[174]Main!$J$3</f>
        <v>4263.5283170000002</v>
      </c>
      <c r="J76" s="9">
        <v>45086</v>
      </c>
    </row>
    <row r="77" spans="1:10" x14ac:dyDescent="0.25">
      <c r="A77" s="1"/>
      <c r="B77" s="1" t="s">
        <v>141</v>
      </c>
      <c r="C77" s="1" t="s">
        <v>142</v>
      </c>
      <c r="D77" s="7">
        <v>12.2</v>
      </c>
    </row>
    <row r="78" spans="1:10" x14ac:dyDescent="0.25">
      <c r="A78" s="1"/>
      <c r="B78" t="s">
        <v>688</v>
      </c>
      <c r="C78" t="s">
        <v>689</v>
      </c>
      <c r="D78" s="3">
        <v>92.93</v>
      </c>
      <c r="E78" s="6">
        <v>3490</v>
      </c>
    </row>
    <row r="79" spans="1:10" ht="13" x14ac:dyDescent="0.3">
      <c r="A79" s="1"/>
      <c r="B79" s="25" t="s">
        <v>508</v>
      </c>
      <c r="C79" s="25" t="s">
        <v>509</v>
      </c>
      <c r="D79" s="7">
        <v>23.01</v>
      </c>
      <c r="E79" s="6">
        <v>2080</v>
      </c>
    </row>
    <row r="80" spans="1:10" ht="13" x14ac:dyDescent="0.3">
      <c r="A80" s="1"/>
      <c r="B80" s="34" t="s">
        <v>343</v>
      </c>
      <c r="C80" s="34" t="s">
        <v>344</v>
      </c>
      <c r="D80" s="36">
        <v>14.86</v>
      </c>
      <c r="E80" s="37">
        <v>2880</v>
      </c>
    </row>
    <row r="81" spans="1:5" x14ac:dyDescent="0.25">
      <c r="A81" s="1"/>
      <c r="B81" s="1" t="s">
        <v>168</v>
      </c>
      <c r="C81" s="1" t="s">
        <v>169</v>
      </c>
      <c r="D81" s="3">
        <v>2.15</v>
      </c>
      <c r="E81" s="6">
        <v>1050</v>
      </c>
    </row>
    <row r="82" spans="1:5" x14ac:dyDescent="0.25">
      <c r="A82" s="1"/>
      <c r="B82" t="s">
        <v>826</v>
      </c>
      <c r="C82" t="s">
        <v>827</v>
      </c>
    </row>
    <row r="83" spans="1:5" x14ac:dyDescent="0.25">
      <c r="A83" s="1"/>
      <c r="B83" t="s">
        <v>724</v>
      </c>
      <c r="C83" t="s">
        <v>725</v>
      </c>
    </row>
    <row r="84" spans="1:5" x14ac:dyDescent="0.25">
      <c r="B84" t="s">
        <v>1144</v>
      </c>
      <c r="C84" t="s">
        <v>67</v>
      </c>
    </row>
    <row r="85" spans="1:5" x14ac:dyDescent="0.25">
      <c r="B85" t="s">
        <v>1149</v>
      </c>
    </row>
    <row r="86" spans="1:5" x14ac:dyDescent="0.25">
      <c r="B86" t="s">
        <v>1152</v>
      </c>
      <c r="C86" t="s">
        <v>39</v>
      </c>
    </row>
    <row r="87" spans="1:5" x14ac:dyDescent="0.25">
      <c r="B87" t="s">
        <v>1153</v>
      </c>
      <c r="C87" t="s">
        <v>39</v>
      </c>
    </row>
    <row r="88" spans="1:5" x14ac:dyDescent="0.25">
      <c r="B88" t="s">
        <v>1154</v>
      </c>
      <c r="C88" t="s">
        <v>15</v>
      </c>
    </row>
    <row r="89" spans="1:5" x14ac:dyDescent="0.25">
      <c r="B89" t="s">
        <v>1167</v>
      </c>
      <c r="C89" t="s">
        <v>39</v>
      </c>
    </row>
    <row r="90" spans="1:5" x14ac:dyDescent="0.25">
      <c r="B90" t="s">
        <v>1263</v>
      </c>
      <c r="C90" t="s">
        <v>103</v>
      </c>
    </row>
    <row r="91" spans="1:5" x14ac:dyDescent="0.25">
      <c r="C91" t="s">
        <v>103</v>
      </c>
    </row>
    <row r="92" spans="1:5" x14ac:dyDescent="0.25">
      <c r="B92" t="s">
        <v>1266</v>
      </c>
      <c r="C92" t="s">
        <v>1267</v>
      </c>
      <c r="E92">
        <v>1970</v>
      </c>
    </row>
    <row r="93" spans="1:5" x14ac:dyDescent="0.25">
      <c r="B93" t="s">
        <v>1268</v>
      </c>
    </row>
    <row r="94" spans="1:5" x14ac:dyDescent="0.25">
      <c r="B94" t="s">
        <v>1269</v>
      </c>
    </row>
    <row r="95" spans="1:5" x14ac:dyDescent="0.25">
      <c r="B95" t="s">
        <v>1270</v>
      </c>
    </row>
    <row r="96" spans="1:5" x14ac:dyDescent="0.25">
      <c r="B96" t="s">
        <v>1271</v>
      </c>
    </row>
    <row r="97" spans="2:5" x14ac:dyDescent="0.25">
      <c r="B97" t="s">
        <v>1274</v>
      </c>
      <c r="C97" t="s">
        <v>263</v>
      </c>
    </row>
    <row r="98" spans="2:5" x14ac:dyDescent="0.25">
      <c r="B98" t="s">
        <v>1277</v>
      </c>
      <c r="C98" t="s">
        <v>29</v>
      </c>
    </row>
    <row r="99" spans="2:5" x14ac:dyDescent="0.25">
      <c r="B99" t="s">
        <v>1278</v>
      </c>
      <c r="C99" t="s">
        <v>1279</v>
      </c>
    </row>
    <row r="100" spans="2:5" x14ac:dyDescent="0.25">
      <c r="B100" t="s">
        <v>1298</v>
      </c>
      <c r="C100" t="s">
        <v>271</v>
      </c>
    </row>
    <row r="101" spans="2:5" x14ac:dyDescent="0.25">
      <c r="B101" t="s">
        <v>1359</v>
      </c>
      <c r="C101" t="s">
        <v>1205</v>
      </c>
      <c r="D101">
        <v>2900</v>
      </c>
    </row>
    <row r="102" spans="2:5" x14ac:dyDescent="0.25">
      <c r="B102" t="s">
        <v>747</v>
      </c>
      <c r="C102" t="s">
        <v>272</v>
      </c>
      <c r="D102">
        <v>2500</v>
      </c>
    </row>
    <row r="103" spans="2:5" x14ac:dyDescent="0.25">
      <c r="B103" t="s">
        <v>1358</v>
      </c>
      <c r="C103" t="s">
        <v>32</v>
      </c>
    </row>
    <row r="104" spans="2:5" x14ac:dyDescent="0.25">
      <c r="B104" t="s">
        <v>1366</v>
      </c>
      <c r="C104" t="s">
        <v>34</v>
      </c>
    </row>
    <row r="105" spans="2:5" x14ac:dyDescent="0.25">
      <c r="B105" t="s">
        <v>1367</v>
      </c>
      <c r="C105" t="s">
        <v>34</v>
      </c>
      <c r="D105">
        <v>993</v>
      </c>
      <c r="E105">
        <v>2021</v>
      </c>
    </row>
    <row r="106" spans="2:5" x14ac:dyDescent="0.25">
      <c r="B106" t="s">
        <v>1368</v>
      </c>
      <c r="C106" t="s">
        <v>34</v>
      </c>
    </row>
    <row r="107" spans="2:5" x14ac:dyDescent="0.25">
      <c r="B107" t="s">
        <v>1369</v>
      </c>
      <c r="C107" t="s">
        <v>34</v>
      </c>
      <c r="D107">
        <v>1600</v>
      </c>
      <c r="E107">
        <v>2021</v>
      </c>
    </row>
    <row r="108" spans="2:5" x14ac:dyDescent="0.25">
      <c r="B108" t="s">
        <v>1411</v>
      </c>
      <c r="C108" t="s">
        <v>1410</v>
      </c>
      <c r="D108">
        <v>7000</v>
      </c>
      <c r="E108">
        <v>2001</v>
      </c>
    </row>
    <row r="109" spans="2:5" x14ac:dyDescent="0.25">
      <c r="B109" t="s">
        <v>1439</v>
      </c>
      <c r="C109" t="s">
        <v>1440</v>
      </c>
    </row>
    <row r="110" spans="2:5" x14ac:dyDescent="0.25">
      <c r="B110" t="s">
        <v>1441</v>
      </c>
      <c r="C110" t="s">
        <v>14</v>
      </c>
    </row>
    <row r="111" spans="2:5" x14ac:dyDescent="0.25">
      <c r="B111" t="s">
        <v>673</v>
      </c>
      <c r="C111" t="s">
        <v>1255</v>
      </c>
      <c r="E111" s="13">
        <v>45520</v>
      </c>
    </row>
    <row r="112" spans="2:5" x14ac:dyDescent="0.25">
      <c r="B112" t="s">
        <v>1654</v>
      </c>
      <c r="C112" t="s">
        <v>1655</v>
      </c>
    </row>
  </sheetData>
  <hyperlinks>
    <hyperlink ref="A1" location="Main!A1" display="Main" xr:uid="{D25979DB-5EBB-4C30-9F58-BD318CF0CEE3}"/>
    <hyperlink ref="B14" r:id="rId1" xr:uid="{547F117B-55D8-401A-AD75-411778B2F717}"/>
    <hyperlink ref="B20" r:id="rId2" xr:uid="{30732F31-0D9B-4774-8215-75872BFC9B96}"/>
    <hyperlink ref="B76" r:id="rId3" xr:uid="{C216ACFE-A1E7-4490-95CC-33302FDEACB6}"/>
    <hyperlink ref="B29" r:id="rId4" xr:uid="{5448F263-AB4A-41FB-B7B9-A94746C9D9E1}"/>
  </hyperlinks>
  <pageMargins left="0.7" right="0.7" top="0.75" bottom="0.75" header="0.3" footer="0.3"/>
  <legacy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740C-53EB-498E-9A8B-9D5A98F98362}">
  <dimension ref="A1:B4"/>
  <sheetViews>
    <sheetView zoomScale="145" zoomScaleNormal="145" workbookViewId="0">
      <selection activeCell="A3" sqref="A3"/>
    </sheetView>
  </sheetViews>
  <sheetFormatPr defaultColWidth="8.81640625" defaultRowHeight="12.5" x14ac:dyDescent="0.25"/>
  <cols>
    <col min="1" max="1" width="5" bestFit="1" customWidth="1"/>
  </cols>
  <sheetData>
    <row r="1" spans="1:2" x14ac:dyDescent="0.25">
      <c r="A1" s="5" t="s">
        <v>286</v>
      </c>
    </row>
    <row r="2" spans="1:2" x14ac:dyDescent="0.25">
      <c r="B2" t="s">
        <v>1263</v>
      </c>
    </row>
    <row r="3" spans="1:2" x14ac:dyDescent="0.25">
      <c r="B3" t="s">
        <v>994</v>
      </c>
    </row>
    <row r="4" spans="1:2" x14ac:dyDescent="0.25">
      <c r="B4" t="s">
        <v>428</v>
      </c>
    </row>
  </sheetData>
  <hyperlinks>
    <hyperlink ref="A1" location="Main!A1" display="Main" xr:uid="{3F46029C-6209-4AF2-8CDB-1F9664685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10</vt:i4>
      </vt:variant>
    </vt:vector>
  </HeadingPairs>
  <TitlesOfParts>
    <vt:vector size="21" baseType="lpstr">
      <vt:lpstr>Main</vt:lpstr>
      <vt:lpstr>Drugs</vt:lpstr>
      <vt:lpstr>Industry Model</vt:lpstr>
      <vt:lpstr>Todo</vt:lpstr>
      <vt:lpstr>Launches</vt:lpstr>
      <vt:lpstr>China</vt:lpstr>
      <vt:lpstr>FX</vt:lpstr>
      <vt:lpstr>Private</vt:lpstr>
      <vt:lpstr>Funds</vt:lpstr>
      <vt:lpstr>Acquisitions</vt:lpstr>
      <vt:lpstr>Bankruptcies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2024-12-12T03:31:18Z</dcterms:modified>
</cp:coreProperties>
</file>