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A3CBE785-1B3A-C64B-B6C9-D13B1AFBA3AE}" xr6:coauthVersionLast="47" xr6:coauthVersionMax="47" xr10:uidLastSave="{00000000-0000-0000-0000-000000000000}"/>
  <bookViews>
    <workbookView xWindow="18320" yWindow="760" windowWidth="16240" windowHeight="20440" firstSheet="1" activeTab="7"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arXiv" sheetId="29" r:id="rId8"/>
    <sheet name="Top Papers" sheetId="16" r:id="rId9"/>
    <sheet name="LLM Vendors" sheetId="19" r:id="rId10"/>
    <sheet name="Inference" sheetId="18" r:id="rId11"/>
    <sheet name="Audio Papers" sheetId="24" r:id="rId12"/>
    <sheet name="TTS Companies" sheetId="25" r:id="rId13"/>
    <sheet name="Audio" sheetId="15" r:id="rId14"/>
    <sheet name="Images" sheetId="28" r:id="rId15"/>
    <sheet name="CUDA" sheetId="27" r:id="rId16"/>
    <sheet name="ASR" sheetId="20" r:id="rId17"/>
    <sheet name="Repos" sheetId="14" r:id="rId18"/>
    <sheet name="People" sheetId="7" r:id="rId19"/>
    <sheet name="Neural Networks" sheetId="21" r:id="rId20"/>
    <sheet name="Transformer" sheetId="5" r:id="rId21"/>
    <sheet name="PyTorch" sheetId="22" r:id="rId22"/>
    <sheet name="DeepMind" sheetId="10" r:id="rId23"/>
    <sheet name="OpenAI" sheetId="9" r:id="rId24"/>
    <sheet name="Meta" sheetId="11" r:id="rId25"/>
    <sheet name="Games" sheetId="23" r:id="rId26"/>
    <sheet name="Education" sheetId="13" r:id="rId27"/>
  </sheets>
  <externalReferences>
    <externalReference r:id="rId28"/>
  </externalReferences>
  <definedNames>
    <definedName name="_xlnm._FilterDatabase" localSheetId="1" hidden="1">Companies!$A$2:$AG$374</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9" l="1"/>
  <c r="B21" i="9"/>
  <c r="G2894" i="2"/>
  <c r="F2894" i="2"/>
  <c r="F2898" i="2"/>
  <c r="F3536" i="2"/>
  <c r="F3183" i="2"/>
  <c r="F3187" i="2"/>
  <c r="F4293" i="2"/>
  <c r="F4368" i="2"/>
  <c r="F4367" i="2"/>
  <c r="F1349" i="2"/>
  <c r="G1884" i="2"/>
  <c r="F4365" i="2"/>
  <c r="F4364" i="2"/>
  <c r="F4363" i="2"/>
  <c r="N1" i="2" l="1"/>
  <c r="G473" i="3"/>
  <c r="G10" i="3"/>
  <c r="AJ10" i="3"/>
  <c r="K9" i="28"/>
  <c r="L9" i="28" s="1"/>
  <c r="G3242" i="2"/>
  <c r="G337" i="3"/>
  <c r="G188" i="3" l="1"/>
  <c r="G831" i="2"/>
  <c r="F52" i="2"/>
  <c r="F107" i="2"/>
  <c r="G1907" i="2"/>
  <c r="G785" i="2"/>
  <c r="G2803" i="2"/>
  <c r="G1108" i="2"/>
  <c r="G2915" i="2"/>
  <c r="F2916" i="2"/>
  <c r="G302" i="3"/>
  <c r="G8" i="28"/>
  <c r="L112" i="7"/>
  <c r="C10" i="9" l="1"/>
  <c r="C19" i="9" s="1"/>
  <c r="C23" i="9" s="1"/>
  <c r="C26" i="9" s="1"/>
  <c r="C27" i="9" s="1"/>
  <c r="C28" i="9" s="1"/>
  <c r="C29" i="9" s="1"/>
  <c r="C30" i="9" s="1"/>
  <c r="C31" i="9" s="1"/>
  <c r="C32" i="9" s="1"/>
  <c r="C33" i="9" s="1"/>
  <c r="C35" i="9" s="1"/>
  <c r="C36" i="9" s="1"/>
  <c r="C38" i="9" s="1"/>
  <c r="C39" i="9" s="1"/>
  <c r="C40" i="9" s="1"/>
  <c r="C41" i="9" s="1"/>
  <c r="C42" i="9" s="1"/>
  <c r="C43" i="9" s="1"/>
  <c r="C46" i="9" s="1"/>
  <c r="C49" i="9" s="1"/>
  <c r="B7" i="9"/>
  <c r="B8" i="9" s="1"/>
  <c r="B9" i="9" s="1"/>
  <c r="B10" i="9" s="1"/>
  <c r="B11" i="9" s="1"/>
  <c r="B12" i="9" s="1"/>
  <c r="B13" i="9" s="1"/>
  <c r="B14" i="9" s="1"/>
  <c r="B15" i="9" s="1"/>
  <c r="B16" i="9" s="1"/>
  <c r="G195" i="2" l="1"/>
  <c r="F195" i="2"/>
  <c r="G908" i="2"/>
  <c r="G1345" i="2"/>
  <c r="G3564" i="2"/>
  <c r="G57" i="3"/>
  <c r="G629" i="2"/>
  <c r="G654" i="2"/>
  <c r="G367" i="2"/>
  <c r="G3568" i="2"/>
  <c r="G3574" i="2"/>
  <c r="G3578" i="2"/>
  <c r="G3582" i="2"/>
  <c r="F3613" i="2"/>
  <c r="G1026" i="2"/>
  <c r="AK27" i="3"/>
  <c r="G121" i="3"/>
  <c r="AJ335" i="3"/>
  <c r="AJ321" i="3"/>
  <c r="AJ320" i="3"/>
  <c r="AJ206" i="3"/>
  <c r="AJ205" i="3"/>
  <c r="AJ204" i="3"/>
  <c r="AJ203" i="3"/>
  <c r="AJ202" i="3"/>
  <c r="AJ201" i="3"/>
  <c r="AJ200" i="3"/>
  <c r="AJ199" i="3"/>
  <c r="AJ198" i="3"/>
  <c r="AJ197" i="3"/>
  <c r="AJ196" i="3"/>
  <c r="AJ195" i="3"/>
  <c r="AJ194" i="3"/>
  <c r="AJ193" i="3"/>
  <c r="AJ192" i="3"/>
  <c r="AJ191" i="3"/>
  <c r="AJ190" i="3"/>
  <c r="AJ189" i="3"/>
  <c r="AJ181" i="3"/>
  <c r="AJ187" i="3"/>
  <c r="AJ184" i="3"/>
  <c r="AJ186" i="3"/>
  <c r="AJ185" i="3"/>
  <c r="AJ183" i="3"/>
  <c r="AJ179" i="3"/>
  <c r="AJ178" i="3"/>
  <c r="AJ177" i="3"/>
  <c r="AJ171" i="3"/>
  <c r="AJ170" i="3"/>
  <c r="AJ169" i="3"/>
  <c r="AJ168" i="3"/>
  <c r="AJ167" i="3"/>
  <c r="AJ166" i="3"/>
  <c r="AJ164" i="3"/>
  <c r="AJ163" i="3"/>
  <c r="AJ162" i="3"/>
  <c r="AJ161" i="3"/>
  <c r="AJ160" i="3"/>
  <c r="AJ159" i="3"/>
  <c r="AJ158" i="3"/>
  <c r="AJ157" i="3"/>
  <c r="AJ156" i="3"/>
  <c r="AJ155" i="3"/>
  <c r="AJ154" i="3"/>
  <c r="AJ153" i="3"/>
  <c r="AJ152" i="3"/>
  <c r="AJ151" i="3"/>
  <c r="AJ149" i="3"/>
  <c r="AJ148" i="3"/>
  <c r="AJ144" i="3"/>
  <c r="AJ143" i="3"/>
  <c r="AJ142" i="3"/>
  <c r="AJ141" i="3"/>
  <c r="AJ140" i="3"/>
  <c r="AJ139" i="3"/>
  <c r="AJ138" i="3"/>
  <c r="AJ137" i="3"/>
  <c r="AJ136" i="3"/>
  <c r="AJ135" i="3"/>
  <c r="AJ134" i="3"/>
  <c r="AJ133" i="3"/>
  <c r="AJ132" i="3"/>
  <c r="AJ131" i="3"/>
  <c r="AJ130" i="3"/>
  <c r="AJ125" i="3"/>
  <c r="AJ124" i="3"/>
  <c r="AJ123" i="3"/>
  <c r="AJ122" i="3"/>
  <c r="AJ119" i="3"/>
  <c r="AJ118" i="3"/>
  <c r="AJ117" i="3"/>
  <c r="AJ110" i="3"/>
  <c r="AJ108" i="3"/>
  <c r="AJ107" i="3"/>
  <c r="AJ105" i="3"/>
  <c r="AJ104" i="3"/>
  <c r="AJ103" i="3"/>
  <c r="AJ97" i="3"/>
  <c r="AJ95" i="3"/>
  <c r="AJ92" i="3"/>
  <c r="AJ91" i="3"/>
  <c r="AJ76" i="3"/>
  <c r="AJ90" i="3"/>
  <c r="AJ89" i="3"/>
  <c r="AJ88" i="3"/>
  <c r="AJ87" i="3"/>
  <c r="AJ86" i="3"/>
  <c r="AJ85" i="3"/>
  <c r="AJ84" i="3"/>
  <c r="AJ83" i="3"/>
  <c r="AJ82" i="3"/>
  <c r="AJ81" i="3"/>
  <c r="AJ80" i="3"/>
  <c r="AJ79" i="3"/>
  <c r="AJ77" i="3"/>
  <c r="AJ73" i="3"/>
  <c r="AJ72" i="3"/>
  <c r="AJ71" i="3"/>
  <c r="AJ70" i="3"/>
  <c r="AJ69" i="3"/>
  <c r="AJ68" i="3"/>
  <c r="AJ67" i="3"/>
  <c r="AJ66" i="3"/>
  <c r="AJ65" i="3"/>
  <c r="AJ64" i="3"/>
  <c r="AJ63" i="3"/>
  <c r="AJ62" i="3"/>
  <c r="AJ61" i="3"/>
  <c r="AJ60" i="3"/>
  <c r="AJ58" i="3"/>
  <c r="AJ56" i="3"/>
  <c r="AJ55" i="3"/>
  <c r="AJ54" i="3"/>
  <c r="AJ53" i="3"/>
  <c r="AJ52" i="3"/>
  <c r="AJ51" i="3"/>
  <c r="AJ50" i="3"/>
  <c r="AJ49" i="3"/>
  <c r="AJ48" i="3"/>
  <c r="AJ44" i="3"/>
  <c r="AJ43" i="3"/>
  <c r="AJ42" i="3"/>
  <c r="AJ41" i="3"/>
  <c r="AJ40" i="3"/>
  <c r="AJ39" i="3"/>
  <c r="AJ38" i="3"/>
  <c r="AJ37" i="3"/>
  <c r="AJ36" i="3"/>
  <c r="AJ35" i="3"/>
  <c r="AJ34" i="3"/>
  <c r="AJ33" i="3"/>
  <c r="AJ32" i="3"/>
  <c r="AJ31" i="3"/>
  <c r="AJ29" i="3"/>
  <c r="AJ28" i="3"/>
  <c r="AJ27" i="3"/>
  <c r="AJ26" i="3"/>
  <c r="AJ25" i="3"/>
  <c r="AJ24" i="3"/>
  <c r="AJ23" i="3"/>
  <c r="AJ22" i="3"/>
  <c r="AJ21" i="3"/>
  <c r="AJ20" i="3"/>
  <c r="AJ19" i="3"/>
  <c r="AJ18" i="3"/>
  <c r="AJ17" i="3"/>
  <c r="AJ16" i="3"/>
  <c r="AJ15" i="3"/>
  <c r="AJ14" i="3"/>
  <c r="AJ11" i="3"/>
  <c r="AJ12" i="3"/>
  <c r="AJ13" i="3"/>
  <c r="AJ7" i="3"/>
  <c r="AJ8" i="3"/>
  <c r="AJ4" i="3"/>
  <c r="AJ6" i="3"/>
  <c r="AJ5" i="3"/>
  <c r="AJ3" i="3"/>
  <c r="F3175" i="2"/>
  <c r="F4316" i="2"/>
  <c r="F4315" i="2"/>
  <c r="F4314" i="2"/>
  <c r="F2079" i="2"/>
  <c r="F3174" i="2"/>
  <c r="G59" i="3"/>
  <c r="F4312" i="2"/>
  <c r="F4311" i="2"/>
  <c r="F331" i="2"/>
  <c r="F3570" i="2"/>
  <c r="F3568" i="2" s="1"/>
  <c r="G302" i="2"/>
  <c r="F329" i="2"/>
  <c r="G3" i="2"/>
  <c r="F21" i="2"/>
  <c r="G423" i="3"/>
  <c r="J10" i="25" l="1"/>
  <c r="P8" i="25"/>
  <c r="O8" i="25"/>
  <c r="P22" i="25"/>
  <c r="P21" i="25"/>
  <c r="O22" i="25"/>
  <c r="O21" i="25"/>
  <c r="P7" i="25" l="1"/>
  <c r="O7" i="25"/>
  <c r="P6" i="25"/>
  <c r="O6" i="25"/>
  <c r="F3543" i="2" l="1"/>
  <c r="G3543" i="2"/>
  <c r="G3586" i="2"/>
  <c r="F3342" i="2"/>
  <c r="P16" i="25"/>
  <c r="J29" i="25"/>
  <c r="O16" i="25"/>
  <c r="P3" i="25"/>
  <c r="O3" i="25"/>
  <c r="J30" i="25"/>
  <c r="I57" i="25" l="1"/>
  <c r="I39" i="25"/>
  <c r="I20" i="25"/>
  <c r="I19" i="25"/>
  <c r="I13" i="25"/>
  <c r="I10" i="25"/>
  <c r="I15" i="25"/>
  <c r="I14" i="25"/>
  <c r="I11" i="25"/>
  <c r="I17" i="25"/>
  <c r="I18" i="25"/>
  <c r="I12" i="25"/>
  <c r="I9" i="25"/>
  <c r="I7" i="25"/>
  <c r="I8" i="25"/>
  <c r="I6" i="25"/>
  <c r="I5" i="25"/>
  <c r="G4" i="25"/>
  <c r="I4" i="25" s="1"/>
  <c r="I3" i="25"/>
  <c r="G109" i="3" l="1"/>
  <c r="G55" i="3"/>
  <c r="G56" i="3"/>
  <c r="G1657" i="2"/>
  <c r="G238" i="2"/>
  <c r="G2531" i="2"/>
  <c r="F639" i="2"/>
  <c r="G1543" i="2"/>
  <c r="F1543" i="2"/>
  <c r="G58" i="3"/>
  <c r="G48" i="3"/>
  <c r="G1965" i="2"/>
  <c r="F1969" i="2"/>
  <c r="F4304" i="2"/>
  <c r="F3584" i="2"/>
  <c r="F2303" i="2"/>
  <c r="G2423" i="2"/>
  <c r="G2260" i="2"/>
  <c r="F2262" i="2"/>
  <c r="G2027" i="2"/>
  <c r="F2029" i="2"/>
  <c r="F2633" i="2"/>
  <c r="G1337" i="2"/>
  <c r="F1340" i="2"/>
  <c r="G60" i="3"/>
  <c r="F613" i="2"/>
  <c r="G1159" i="2"/>
  <c r="F1159" i="2"/>
  <c r="G1601" i="2"/>
  <c r="F1601" i="2"/>
  <c r="G1079" i="2"/>
  <c r="F1079" i="2"/>
  <c r="G36" i="3"/>
  <c r="G64" i="3"/>
  <c r="G33" i="3"/>
  <c r="G32" i="3"/>
  <c r="G20" i="3"/>
  <c r="G1437" i="2"/>
  <c r="F1440" i="2"/>
  <c r="F1437" i="2" s="1"/>
  <c r="F1814" i="2"/>
  <c r="F365" i="2"/>
  <c r="G181" i="2"/>
  <c r="G28" i="3"/>
  <c r="G27" i="3"/>
  <c r="G426" i="2"/>
  <c r="G26" i="3"/>
  <c r="G25" i="3"/>
  <c r="F1488" i="2"/>
  <c r="F4302" i="2"/>
  <c r="F54" i="2"/>
  <c r="F4301" i="2"/>
  <c r="F599" i="2"/>
  <c r="F379" i="2"/>
  <c r="F1262" i="2"/>
  <c r="F1347" i="2"/>
  <c r="G24" i="3"/>
  <c r="G23" i="3"/>
  <c r="G22" i="3"/>
  <c r="G21" i="3"/>
  <c r="F20" i="2"/>
  <c r="F154" i="2"/>
  <c r="G16" i="3"/>
  <c r="G14" i="3"/>
  <c r="G12" i="3"/>
  <c r="F1198" i="2"/>
  <c r="F1193" i="2" s="1"/>
  <c r="F1487" i="2"/>
  <c r="F108" i="2"/>
  <c r="F3594" i="2"/>
  <c r="F578" i="2"/>
  <c r="F179" i="2"/>
  <c r="F53" i="2"/>
  <c r="F270" i="2"/>
  <c r="F4296" i="2"/>
  <c r="F911" i="2"/>
  <c r="F192" i="2"/>
  <c r="F3566" i="2"/>
  <c r="F3564" i="2" s="1"/>
  <c r="F1077" i="2"/>
  <c r="F733" i="2"/>
  <c r="F4290" i="2"/>
  <c r="F961" i="2"/>
  <c r="F441" i="2"/>
  <c r="F364" i="2"/>
  <c r="F4273" i="2"/>
  <c r="F611" i="2"/>
  <c r="F143" i="2"/>
  <c r="F153" i="2"/>
  <c r="F4284" i="2"/>
  <c r="F722" i="2"/>
  <c r="G569" i="2"/>
  <c r="F577" i="2"/>
  <c r="F178" i="2"/>
  <c r="E178" i="2"/>
  <c r="F1281" i="2"/>
  <c r="F269" i="2"/>
  <c r="F910" i="2"/>
  <c r="F908" i="2" s="1"/>
  <c r="F191" i="2"/>
  <c r="F532" i="2"/>
  <c r="F1076" i="2"/>
  <c r="F732" i="2"/>
  <c r="F960" i="2"/>
  <c r="F327" i="2"/>
  <c r="F363" i="2"/>
  <c r="F1611" i="2"/>
  <c r="G580" i="2"/>
  <c r="K583" i="2"/>
  <c r="G1484" i="2"/>
  <c r="F1486" i="2"/>
  <c r="F106" i="2"/>
  <c r="F4281" i="2"/>
  <c r="G715" i="2"/>
  <c r="F721" i="2"/>
  <c r="G23" i="2"/>
  <c r="G1209" i="2"/>
  <c r="F1215" i="2"/>
  <c r="G1278" i="2"/>
  <c r="F1280" i="2"/>
  <c r="F582" i="2"/>
  <c r="F4277" i="2"/>
  <c r="G528" i="2"/>
  <c r="F531" i="2"/>
  <c r="F4275" i="2"/>
  <c r="G728" i="2"/>
  <c r="F731" i="2"/>
  <c r="F440" i="2"/>
  <c r="F378" i="2"/>
  <c r="F4271" i="2"/>
  <c r="G779" i="2"/>
  <c r="F783" i="2"/>
  <c r="F779" i="2" s="1"/>
  <c r="E783" i="2"/>
  <c r="G1084" i="2"/>
  <c r="F1086" i="2"/>
  <c r="F1084" i="2" s="1"/>
  <c r="G1880" i="2"/>
  <c r="F1882" i="2"/>
  <c r="F1880" i="2" s="1"/>
  <c r="G110" i="2"/>
  <c r="F141" i="2"/>
  <c r="F1484" i="2" l="1"/>
  <c r="F1278" i="2"/>
  <c r="G303" i="3"/>
  <c r="F2397" i="2"/>
  <c r="F4266" i="2"/>
  <c r="G343" i="3"/>
  <c r="G304" i="3"/>
  <c r="F858" i="2"/>
  <c r="F810" i="2"/>
  <c r="F1599" i="2"/>
  <c r="G418" i="3"/>
  <c r="G251" i="3"/>
  <c r="F4260" i="2"/>
  <c r="F4258" i="2"/>
  <c r="F3576" i="2"/>
  <c r="G1065" i="2"/>
  <c r="G296" i="3"/>
  <c r="G298" i="3"/>
  <c r="F4256" i="2"/>
  <c r="F4254" i="2"/>
  <c r="F4255" i="2"/>
  <c r="F4115" i="2"/>
  <c r="G641" i="2"/>
  <c r="F651" i="2"/>
  <c r="F4253" i="2"/>
  <c r="F1634" i="2"/>
  <c r="F2810" i="2"/>
  <c r="G2943" i="2"/>
  <c r="G2810" i="2"/>
  <c r="G353" i="3"/>
  <c r="G220" i="3"/>
  <c r="F3410" i="2"/>
  <c r="G3410" i="2"/>
  <c r="F4250" i="2"/>
  <c r="G1456" i="2"/>
  <c r="F4248" i="2"/>
  <c r="G3169" i="2"/>
  <c r="F3173" i="2"/>
  <c r="F3597" i="2"/>
  <c r="F4246" i="2"/>
  <c r="F4245" i="2"/>
  <c r="F4244" i="2"/>
  <c r="F4243" i="2"/>
  <c r="G291" i="3"/>
  <c r="F2016" i="2"/>
  <c r="F2324" i="2"/>
  <c r="G327" i="3"/>
  <c r="N43" i="7"/>
  <c r="N1" i="7"/>
  <c r="L117" i="7"/>
  <c r="F3492" i="2"/>
  <c r="G2039" i="2"/>
  <c r="F193" i="3"/>
  <c r="G193" i="3" s="1"/>
  <c r="G194" i="3"/>
  <c r="G195" i="3"/>
  <c r="G335" i="3" l="1"/>
  <c r="G321" i="3"/>
  <c r="G320" i="3"/>
  <c r="G15" i="3"/>
  <c r="D45" i="7" l="1"/>
  <c r="D119" i="7"/>
  <c r="L82" i="7"/>
  <c r="D64" i="7"/>
  <c r="D62" i="7"/>
  <c r="D77" i="7"/>
  <c r="D103" i="7"/>
  <c r="L105" i="7"/>
  <c r="L113" i="7"/>
  <c r="L122" i="7"/>
  <c r="L134" i="7"/>
  <c r="L111" i="7"/>
  <c r="L12" i="7"/>
  <c r="L128" i="7"/>
  <c r="L119" i="7"/>
  <c r="L118" i="7"/>
  <c r="L92" i="7"/>
  <c r="L115" i="7"/>
  <c r="L114" i="7"/>
  <c r="L91" i="7"/>
  <c r="L103" i="7"/>
  <c r="L130" i="7"/>
  <c r="L97" i="7"/>
  <c r="L125" i="7"/>
  <c r="L77" i="7"/>
  <c r="L133" i="7"/>
  <c r="L33" i="7"/>
  <c r="L25" i="7"/>
  <c r="L24" i="7"/>
  <c r="L23" i="7"/>
  <c r="L21" i="7"/>
  <c r="L19" i="7"/>
  <c r="L18" i="7"/>
  <c r="L15" i="7"/>
  <c r="L11" i="7"/>
  <c r="L10" i="7"/>
  <c r="L9" i="7"/>
  <c r="L8" i="7"/>
  <c r="L7" i="7"/>
  <c r="L6" i="7"/>
  <c r="L4" i="7"/>
  <c r="L3" i="7"/>
  <c r="D30" i="7"/>
  <c r="D69" i="7"/>
  <c r="F702" i="2"/>
  <c r="F2776" i="2"/>
  <c r="F2949" i="2"/>
  <c r="G260" i="3"/>
  <c r="G2770" i="2"/>
  <c r="G1447" i="2"/>
  <c r="G459" i="3"/>
  <c r="G2235" i="2"/>
  <c r="G2239" i="2"/>
  <c r="G1637" i="2"/>
  <c r="G1641" i="2"/>
  <c r="G2128" i="2"/>
  <c r="G1848" i="2"/>
  <c r="G1526" i="2"/>
  <c r="F1526" i="2"/>
  <c r="G1296" i="2"/>
  <c r="F1296" i="2"/>
  <c r="G1408" i="2"/>
  <c r="F1408" i="2"/>
  <c r="G2935" i="2"/>
  <c r="F2935" i="2"/>
  <c r="G2766" i="2"/>
  <c r="G2639" i="2"/>
  <c r="F2639" i="2"/>
  <c r="G3458" i="2"/>
  <c r="F3458" i="2"/>
  <c r="G1217" i="2"/>
  <c r="F1217" i="2"/>
  <c r="G2003" i="2"/>
  <c r="F2003" i="2"/>
  <c r="G2271" i="2"/>
  <c r="G2561" i="2"/>
  <c r="G1692" i="2"/>
  <c r="G3265" i="2"/>
  <c r="G286" i="3"/>
  <c r="G2107" i="2"/>
  <c r="G442" i="3"/>
  <c r="G422" i="3"/>
  <c r="G3330" i="2"/>
  <c r="F3330" i="2"/>
  <c r="G225" i="3"/>
  <c r="F2399" i="2"/>
  <c r="G210" i="3"/>
  <c r="F987" i="2"/>
  <c r="F615" i="2"/>
  <c r="F700" i="2"/>
  <c r="F1956" i="2"/>
  <c r="F857" i="2"/>
  <c r="G212" i="3"/>
  <c r="F856" i="2"/>
  <c r="F1955" i="2"/>
  <c r="F699" i="2"/>
  <c r="F959" i="2"/>
  <c r="G2016" i="2"/>
  <c r="G3211" i="2"/>
  <c r="G2789" i="2"/>
  <c r="G3442" i="2"/>
  <c r="G1552" i="2"/>
  <c r="G2798" i="2"/>
  <c r="G3505" i="2"/>
  <c r="G3013" i="2"/>
  <c r="G2939" i="2"/>
  <c r="G3397" i="2"/>
  <c r="F3397" i="2"/>
  <c r="G3371" i="2"/>
  <c r="G3556" i="2"/>
  <c r="G209" i="3"/>
  <c r="G1990" i="2"/>
  <c r="G1896" i="2"/>
  <c r="G1319" i="2"/>
  <c r="G2662" i="2"/>
  <c r="G2206" i="2"/>
  <c r="F2206" i="2"/>
  <c r="G1360" i="2"/>
  <c r="G3438" i="2"/>
  <c r="G3446" i="2"/>
  <c r="G3085" i="2"/>
  <c r="G3193" i="2"/>
  <c r="G2830" i="2"/>
  <c r="G2244" i="2"/>
  <c r="G2748" i="2"/>
  <c r="G2977" i="2"/>
  <c r="G2652" i="2"/>
  <c r="G2570" i="2"/>
  <c r="G2574" i="2"/>
  <c r="G3381" i="2"/>
  <c r="G3342" i="2"/>
  <c r="G213" i="3"/>
  <c r="G3058" i="2"/>
  <c r="G3355" i="2"/>
  <c r="G2216" i="2"/>
  <c r="F2216" i="2"/>
  <c r="G2710" i="2"/>
  <c r="F2710" i="2"/>
  <c r="G3252" i="2"/>
  <c r="G3519" i="2"/>
  <c r="F3519" i="2"/>
  <c r="F3214" i="2"/>
  <c r="F3211" i="2" s="1"/>
  <c r="F3374" i="2"/>
  <c r="F3371" i="2" s="1"/>
  <c r="F3558" i="2"/>
  <c r="F3556" i="2" s="1"/>
  <c r="G1684" i="2"/>
  <c r="F1684" i="2"/>
  <c r="G1431" i="2"/>
  <c r="G3462" i="2"/>
  <c r="F3462" i="2"/>
  <c r="G3509" i="2"/>
  <c r="F3513" i="2"/>
  <c r="F424" i="2"/>
  <c r="F4216" i="2"/>
  <c r="G2091" i="2"/>
  <c r="G1002" i="2"/>
  <c r="G3073" i="2"/>
  <c r="F3073" i="2"/>
  <c r="G1272" i="2"/>
  <c r="G2310" i="2"/>
  <c r="F2310" i="2"/>
  <c r="G3492" i="2"/>
  <c r="G3376" i="2"/>
  <c r="G3183" i="2"/>
  <c r="G2614" i="2"/>
  <c r="G2960" i="2"/>
  <c r="G2686" i="2"/>
  <c r="F2686" i="2"/>
  <c r="G3165" i="2"/>
  <c r="F3165" i="2"/>
  <c r="G3009" i="2"/>
  <c r="F3009" i="2"/>
  <c r="G3111" i="2"/>
  <c r="F3111" i="2"/>
  <c r="G2969" i="2"/>
  <c r="F268" i="2"/>
  <c r="G223" i="3"/>
  <c r="G234" i="3"/>
  <c r="G181" i="3"/>
  <c r="G211" i="3"/>
  <c r="G176" i="3"/>
  <c r="F3033" i="2"/>
  <c r="F2196" i="2"/>
  <c r="G222" i="3"/>
  <c r="G1829" i="2"/>
  <c r="G224" i="3"/>
  <c r="F2587" i="2"/>
  <c r="G221" i="3"/>
  <c r="F4187" i="2" l="1"/>
  <c r="F495" i="2"/>
  <c r="G1948" i="2"/>
  <c r="F1953" i="2"/>
  <c r="F1948" i="2" s="1"/>
  <c r="F494" i="2"/>
  <c r="F3059" i="2"/>
  <c r="F3058" i="2" s="1"/>
  <c r="F2940" i="2"/>
  <c r="F2939" i="2" s="1"/>
  <c r="F3014" i="2"/>
  <c r="F3013" i="2" s="1"/>
  <c r="F772" i="2"/>
  <c r="F3507" i="2"/>
  <c r="F2801" i="2"/>
  <c r="F2798" i="2" s="1"/>
  <c r="F2534" i="2"/>
  <c r="F2531" i="2" s="1"/>
  <c r="F1674" i="2"/>
  <c r="G219" i="3"/>
  <c r="F4070" i="2"/>
  <c r="F3506" i="2"/>
  <c r="F1396" i="2"/>
  <c r="F3379" i="2"/>
  <c r="F3376" i="2" s="1"/>
  <c r="F1419" i="2"/>
  <c r="F1412" i="2" s="1"/>
  <c r="F2116" i="2"/>
  <c r="F299" i="2"/>
  <c r="F3444" i="2"/>
  <c r="F3442" i="2" s="1"/>
  <c r="G218" i="3"/>
  <c r="F1859" i="2"/>
  <c r="F560" i="2"/>
  <c r="F2963" i="2"/>
  <c r="G147" i="3"/>
  <c r="F2791" i="2"/>
  <c r="F2789" i="2" s="1"/>
  <c r="F4037" i="2"/>
  <c r="F2971" i="2"/>
  <c r="F2962" i="2"/>
  <c r="F3593" i="2"/>
  <c r="F558" i="2"/>
  <c r="F2970" i="2"/>
  <c r="F2961" i="2"/>
  <c r="G2413" i="2"/>
  <c r="F2413" i="2"/>
  <c r="F3535" i="2"/>
  <c r="F4185" i="2"/>
  <c r="F3478" i="2"/>
  <c r="F4184" i="2"/>
  <c r="G146" i="3"/>
  <c r="G3189" i="2"/>
  <c r="F3189" i="2"/>
  <c r="G3157" i="2"/>
  <c r="F3477" i="2"/>
  <c r="G254" i="3"/>
  <c r="F468" i="2"/>
  <c r="F2562" i="2"/>
  <c r="F2561" i="2" s="1"/>
  <c r="F1393" i="2"/>
  <c r="B17" i="9"/>
  <c r="B18" i="9" s="1"/>
  <c r="B19" i="9" s="1"/>
  <c r="B20" i="9" s="1"/>
  <c r="G2973" i="2"/>
  <c r="G129" i="3"/>
  <c r="F3405" i="2"/>
  <c r="F2451" i="2"/>
  <c r="G2451" i="2"/>
  <c r="G120" i="3"/>
  <c r="G1917" i="2"/>
  <c r="F1919" i="2"/>
  <c r="F1917" i="2" s="1"/>
  <c r="G3081" i="2"/>
  <c r="G3269" i="2"/>
  <c r="G2744" i="2"/>
  <c r="F2746" i="2"/>
  <c r="F2744" i="2" s="1"/>
  <c r="F1104" i="2"/>
  <c r="F3505" i="2" l="1"/>
  <c r="F2960" i="2"/>
  <c r="F2969" i="2"/>
  <c r="B23" i="9"/>
  <c r="B24" i="9" s="1"/>
  <c r="B25" i="9" s="1"/>
  <c r="G116" i="3"/>
  <c r="G96" i="3"/>
  <c r="F1718" i="2"/>
  <c r="F2431" i="2"/>
  <c r="G1351" i="2"/>
  <c r="F1355" i="2"/>
  <c r="F925" i="2"/>
  <c r="F913" i="2" s="1"/>
  <c r="F1946" i="2"/>
  <c r="G78" i="3"/>
  <c r="G112" i="3"/>
  <c r="F2272" i="2"/>
  <c r="F2271" i="2" s="1"/>
  <c r="G115" i="3"/>
  <c r="F968" i="2"/>
  <c r="F1164" i="2"/>
  <c r="F1200" i="2"/>
  <c r="F1704" i="2"/>
  <c r="F1720" i="2"/>
  <c r="F1726" i="2"/>
  <c r="F488" i="2"/>
  <c r="F472" i="2" s="1"/>
  <c r="F1188" i="2"/>
  <c r="G113" i="3"/>
  <c r="G30" i="3"/>
  <c r="G166" i="3"/>
  <c r="G190" i="3"/>
  <c r="G158" i="3"/>
  <c r="G175" i="3"/>
  <c r="G86" i="3"/>
  <c r="G81" i="3"/>
  <c r="G73" i="3"/>
  <c r="G41" i="3"/>
  <c r="G68" i="3"/>
  <c r="G75" i="3"/>
  <c r="G66" i="3"/>
  <c r="G53" i="3"/>
  <c r="G92" i="3"/>
  <c r="G87" i="3"/>
  <c r="G85" i="3"/>
  <c r="G83" i="3"/>
  <c r="G70" i="3"/>
  <c r="G52" i="3"/>
  <c r="G49" i="3"/>
  <c r="G89" i="3"/>
  <c r="G84" i="3"/>
  <c r="G71" i="3"/>
  <c r="G67" i="3"/>
  <c r="G72" i="3"/>
  <c r="G74" i="3"/>
  <c r="G62" i="3"/>
  <c r="G114" i="3"/>
  <c r="G63" i="3"/>
  <c r="G79" i="3"/>
  <c r="G80" i="3"/>
  <c r="G82" i="3"/>
  <c r="G69" i="3"/>
  <c r="G54" i="3"/>
  <c r="G103" i="3"/>
  <c r="F4050" i="2"/>
  <c r="F4049" i="2"/>
  <c r="F4048" i="2"/>
  <c r="F4047" i="2"/>
  <c r="F4046" i="2"/>
  <c r="F4045" i="2"/>
  <c r="F1046" i="2"/>
  <c r="F100" i="2"/>
  <c r="F3940" i="2"/>
  <c r="F99" i="2"/>
  <c r="F2616" i="2"/>
  <c r="F466" i="2"/>
  <c r="F3856" i="2"/>
  <c r="F3855" i="2"/>
  <c r="F3854" i="2"/>
  <c r="F465" i="2"/>
  <c r="F3853" i="2"/>
  <c r="F2615" i="2"/>
  <c r="F3852" i="2"/>
  <c r="F422" i="2"/>
  <c r="F1375" i="2"/>
  <c r="G39" i="3"/>
  <c r="G31" i="3"/>
  <c r="G35" i="3"/>
  <c r="G137" i="3"/>
  <c r="G37" i="3"/>
  <c r="G40" i="3"/>
  <c r="G38" i="3"/>
  <c r="G44" i="3"/>
  <c r="G45" i="3"/>
  <c r="G46" i="3"/>
  <c r="F3271" i="2"/>
  <c r="F3269" i="2" s="1"/>
  <c r="F1985" i="2"/>
  <c r="F3979" i="2"/>
  <c r="G273" i="2"/>
  <c r="F295" i="2"/>
  <c r="F2768" i="2"/>
  <c r="F1523" i="2"/>
  <c r="F293" i="2"/>
  <c r="F2767" i="2"/>
  <c r="F2245" i="2"/>
  <c r="F2244" i="2" s="1"/>
  <c r="F1497" i="2"/>
  <c r="B26" i="9" l="1"/>
  <c r="F2766" i="2"/>
  <c r="F2614" i="2"/>
  <c r="G171" i="3"/>
  <c r="G162" i="3"/>
  <c r="G191" i="3"/>
  <c r="G164" i="3"/>
  <c r="G174" i="3"/>
  <c r="G42" i="3"/>
  <c r="G154" i="3"/>
  <c r="G187" i="3"/>
  <c r="G168" i="3"/>
  <c r="G179" i="3"/>
  <c r="G161" i="3"/>
  <c r="G167" i="3"/>
  <c r="G198" i="3"/>
  <c r="G159" i="3"/>
  <c r="G155" i="3"/>
  <c r="G173" i="3"/>
  <c r="G172" i="3"/>
  <c r="G165" i="3"/>
  <c r="G186" i="3"/>
  <c r="G160" i="3"/>
  <c r="G163" i="3"/>
  <c r="G192" i="3"/>
  <c r="G94" i="3"/>
  <c r="G153" i="3"/>
  <c r="G152" i="3"/>
  <c r="G149" i="3"/>
  <c r="G150" i="3"/>
  <c r="G142" i="3"/>
  <c r="G151" i="3"/>
  <c r="G108" i="3"/>
  <c r="G139" i="3"/>
  <c r="G144" i="3"/>
  <c r="G143" i="3"/>
  <c r="G148" i="3"/>
  <c r="G140" i="3"/>
  <c r="G145" i="3"/>
  <c r="G141" i="3"/>
  <c r="G76" i="3"/>
  <c r="G131" i="3"/>
  <c r="G170" i="3"/>
  <c r="G133" i="3"/>
  <c r="G127" i="3"/>
  <c r="G136" i="3"/>
  <c r="B27" i="9" l="1"/>
  <c r="G124" i="3"/>
  <c r="G125" i="3"/>
  <c r="G126" i="3"/>
  <c r="G134" i="3"/>
  <c r="G130" i="3"/>
  <c r="G138" i="3"/>
  <c r="G135" i="3"/>
  <c r="G122" i="3"/>
  <c r="G119" i="3"/>
  <c r="G123" i="3"/>
  <c r="G118" i="3"/>
  <c r="G117" i="3"/>
  <c r="G101" i="3"/>
  <c r="G111" i="3"/>
  <c r="G107" i="3"/>
  <c r="G104" i="3"/>
  <c r="G105" i="3"/>
  <c r="G95" i="3"/>
  <c r="G97" i="3"/>
  <c r="G100" i="3"/>
  <c r="G90" i="3"/>
  <c r="G102" i="3"/>
  <c r="G99" i="3"/>
  <c r="G98" i="3"/>
  <c r="G93" i="3"/>
  <c r="G1221" i="2"/>
  <c r="G3005" i="2"/>
  <c r="G1876" i="2"/>
  <c r="F1876" i="2"/>
  <c r="G3474" i="2"/>
  <c r="G1810" i="2"/>
  <c r="F563" i="2"/>
  <c r="G2965" i="2"/>
  <c r="B28" i="9" l="1"/>
  <c r="F95" i="2"/>
  <c r="F1540" i="2"/>
  <c r="F1535" i="2" s="1"/>
  <c r="F2144" i="2"/>
  <c r="F2141" i="2" s="1"/>
  <c r="F1898" i="2"/>
  <c r="F1896" i="2" s="1"/>
  <c r="F1672" i="2"/>
  <c r="F2672" i="2"/>
  <c r="F3476" i="2"/>
  <c r="F3474" i="2" s="1"/>
  <c r="F1671" i="2"/>
  <c r="F420" i="2"/>
  <c r="F2076" i="2"/>
  <c r="F264" i="2"/>
  <c r="F1238" i="2"/>
  <c r="F418" i="2"/>
  <c r="F263" i="2"/>
  <c r="G1283" i="2"/>
  <c r="F1286" i="2"/>
  <c r="F377" i="2"/>
  <c r="F417" i="2"/>
  <c r="G1760" i="2"/>
  <c r="F1760" i="2"/>
  <c r="G1790" i="2"/>
  <c r="F1790" i="2"/>
  <c r="G3148" i="2"/>
  <c r="F3148" i="2"/>
  <c r="G2390" i="2"/>
  <c r="G3022" i="2"/>
  <c r="G1720" i="2"/>
  <c r="G2566" i="2"/>
  <c r="G2050" i="2"/>
  <c r="G674" i="2"/>
  <c r="F674" i="2"/>
  <c r="G1240" i="2"/>
  <c r="G2825" i="2"/>
  <c r="F1786" i="2"/>
  <c r="F4063" i="2"/>
  <c r="F2828" i="2"/>
  <c r="F1214" i="2"/>
  <c r="F1209" i="2" s="1"/>
  <c r="F1785" i="2"/>
  <c r="F2827" i="2"/>
  <c r="F2568" i="2"/>
  <c r="F2566" i="2" s="1"/>
  <c r="F2826" i="2"/>
  <c r="F2052" i="2"/>
  <c r="F2050" i="2" s="1"/>
  <c r="G1132" i="2"/>
  <c r="F1132" i="2"/>
  <c r="F874" i="2"/>
  <c r="F2693" i="2"/>
  <c r="F2690" i="2" s="1"/>
  <c r="G968" i="2"/>
  <c r="G2267" i="2"/>
  <c r="G2202" i="2"/>
  <c r="G3062" i="2"/>
  <c r="G1704" i="2"/>
  <c r="G3289" i="2"/>
  <c r="G2230" i="2"/>
  <c r="G2516" i="2"/>
  <c r="G2527" i="2"/>
  <c r="F953" i="2"/>
  <c r="F376" i="2"/>
  <c r="G1836" i="2"/>
  <c r="F1024" i="2"/>
  <c r="F1841" i="2"/>
  <c r="F1237" i="2"/>
  <c r="F1023" i="2"/>
  <c r="F952" i="2"/>
  <c r="F1840" i="2"/>
  <c r="F1838" i="2"/>
  <c r="F2529" i="2"/>
  <c r="F2518" i="2"/>
  <c r="F2232" i="2"/>
  <c r="F1837" i="2"/>
  <c r="F2528" i="2"/>
  <c r="F2517" i="2"/>
  <c r="G2375" i="2"/>
  <c r="F1020" i="2"/>
  <c r="F375" i="2"/>
  <c r="F2231" i="2"/>
  <c r="F3031" i="2"/>
  <c r="F3026" i="2" s="1"/>
  <c r="F809" i="2"/>
  <c r="F4066" i="2"/>
  <c r="F3291" i="2"/>
  <c r="G3033" i="2"/>
  <c r="G2366" i="2"/>
  <c r="F2366" i="2"/>
  <c r="G2146" i="2"/>
  <c r="F2862" i="2"/>
  <c r="F2860" i="2" s="1"/>
  <c r="E2862" i="2"/>
  <c r="G2860" i="2"/>
  <c r="F3290" i="2"/>
  <c r="G1994" i="2"/>
  <c r="F91" i="2"/>
  <c r="F290" i="2"/>
  <c r="F2148" i="2"/>
  <c r="F2146" i="2" s="1"/>
  <c r="F806" i="2"/>
  <c r="G1861" i="2"/>
  <c r="F1861" i="2"/>
  <c r="G2226" i="2"/>
  <c r="G1164" i="2"/>
  <c r="G1530" i="2"/>
  <c r="G991" i="2"/>
  <c r="G1613" i="2"/>
  <c r="G1443" i="2"/>
  <c r="G934" i="2"/>
  <c r="F934" i="2"/>
  <c r="G2151" i="2"/>
  <c r="F2151" i="2"/>
  <c r="G2678" i="2"/>
  <c r="F2680" i="2"/>
  <c r="F2678" i="2" s="1"/>
  <c r="F3834" i="2"/>
  <c r="F1292" i="2"/>
  <c r="F3747" i="2"/>
  <c r="F3746" i="2"/>
  <c r="F2295" i="2"/>
  <c r="F3745" i="2"/>
  <c r="F3744" i="2"/>
  <c r="F3743" i="2"/>
  <c r="F3742" i="2"/>
  <c r="F3741" i="2"/>
  <c r="F3740" i="2"/>
  <c r="F3739" i="2"/>
  <c r="F2010" i="2"/>
  <c r="F3575" i="2"/>
  <c r="F3574" i="2" s="1"/>
  <c r="G1617" i="2"/>
  <c r="G1928" i="2"/>
  <c r="G1324" i="2"/>
  <c r="G862" i="2"/>
  <c r="F862" i="2"/>
  <c r="G886" i="2"/>
  <c r="F928" i="2"/>
  <c r="G535" i="2"/>
  <c r="B29" i="9" l="1"/>
  <c r="B30" i="9" s="1"/>
  <c r="B31" i="9" s="1"/>
  <c r="F1836" i="2"/>
  <c r="F1225" i="2"/>
  <c r="F2825" i="2"/>
  <c r="F3289" i="2"/>
  <c r="F2527" i="2"/>
  <c r="F2516" i="2"/>
  <c r="F2230" i="2"/>
  <c r="G2537" i="2"/>
  <c r="G1774" i="2"/>
  <c r="G1377" i="2"/>
  <c r="F1377" i="2"/>
  <c r="G938" i="2"/>
  <c r="G963" i="2"/>
  <c r="G972" i="2"/>
  <c r="G3450" i="2"/>
  <c r="G2951" i="2"/>
  <c r="F2951" i="2"/>
  <c r="G2729" i="2"/>
  <c r="G2598" i="2"/>
  <c r="G2555" i="2"/>
  <c r="G2931" i="2"/>
  <c r="G2956" i="2"/>
  <c r="G1088" i="2"/>
  <c r="G3089" i="2"/>
  <c r="G1764" i="2"/>
  <c r="F1764" i="2"/>
  <c r="G3367" i="2"/>
  <c r="G2007" i="2"/>
  <c r="G3047" i="2"/>
  <c r="F3047" i="2"/>
  <c r="G3043" i="2"/>
  <c r="F3043" i="2"/>
  <c r="G2582" i="2"/>
  <c r="G3418" i="2"/>
  <c r="F3418" i="2"/>
  <c r="F3361" i="2"/>
  <c r="F3359" i="2" s="1"/>
  <c r="L3360" i="2"/>
  <c r="G3359" i="2"/>
  <c r="G3301" i="2"/>
  <c r="G2545" i="2"/>
  <c r="F2545" i="2"/>
  <c r="G2362" i="2"/>
  <c r="G1938" i="2"/>
  <c r="G3018" i="2"/>
  <c r="G2370" i="2"/>
  <c r="G2502" i="2"/>
  <c r="G3497" i="2"/>
  <c r="G1472" i="2"/>
  <c r="G3552" i="2"/>
  <c r="F3552" i="2"/>
  <c r="G3528" i="2"/>
  <c r="G2282" i="2"/>
  <c r="F2282" i="2"/>
  <c r="G2840" i="2"/>
  <c r="G2137" i="2"/>
  <c r="F2137" i="2"/>
  <c r="G2133" i="2"/>
  <c r="F2133" i="2"/>
  <c r="G2604" i="2"/>
  <c r="F2604" i="2"/>
  <c r="G2405" i="2"/>
  <c r="F2405" i="2"/>
  <c r="G3107" i="2"/>
  <c r="G2815" i="2"/>
  <c r="G490" i="2"/>
  <c r="G2725" i="2"/>
  <c r="F2725" i="2"/>
  <c r="F2997" i="2"/>
  <c r="G2997" i="2"/>
  <c r="G2993" i="2"/>
  <c r="F2993" i="2"/>
  <c r="G2989" i="2"/>
  <c r="G2578" i="2"/>
  <c r="F2578" i="2"/>
  <c r="G3466" i="2"/>
  <c r="F3466" i="2"/>
  <c r="G2820" i="2"/>
  <c r="G2380" i="2"/>
  <c r="F2380" i="2"/>
  <c r="G2845" i="2"/>
  <c r="G3144" i="2"/>
  <c r="F3144" i="2"/>
  <c r="G2981" i="2"/>
  <c r="F2981" i="2"/>
  <c r="G2850" i="2"/>
  <c r="F2850" i="2"/>
  <c r="F3242" i="2"/>
  <c r="G3097" i="2"/>
  <c r="G3216" i="2"/>
  <c r="F3216" i="2"/>
  <c r="G2482" i="2"/>
  <c r="F2482" i="2"/>
  <c r="G2592" i="2"/>
  <c r="G2463" i="2"/>
  <c r="F2463" i="2"/>
  <c r="G2645" i="2"/>
  <c r="G3233" i="2"/>
  <c r="F3233" i="2"/>
  <c r="G1503" i="2"/>
  <c r="G1200" i="2"/>
  <c r="G1999" i="2"/>
  <c r="F1999" i="2"/>
  <c r="G1942" i="2"/>
  <c r="G2155" i="2"/>
  <c r="G1497" i="2"/>
  <c r="G1934" i="2"/>
  <c r="F1934" i="2"/>
  <c r="G3548" i="2"/>
  <c r="F3548" i="2"/>
  <c r="G1059" i="2"/>
  <c r="G1288" i="2"/>
  <c r="G2696" i="2"/>
  <c r="G3389" i="2"/>
  <c r="G2446" i="2"/>
  <c r="G3247" i="2"/>
  <c r="G3363" i="2"/>
  <c r="G3026" i="2"/>
  <c r="G3121" i="2"/>
  <c r="G3115" i="2"/>
  <c r="G2985" i="2"/>
  <c r="G997" i="2"/>
  <c r="G3277" i="2"/>
  <c r="F3277" i="2"/>
  <c r="G3470" i="2"/>
  <c r="F3470" i="2"/>
  <c r="G2733" i="2"/>
  <c r="G2618" i="2"/>
  <c r="F2618" i="2"/>
  <c r="G2512" i="2"/>
  <c r="G2220" i="2"/>
  <c r="G2631" i="2"/>
  <c r="G2356" i="2"/>
  <c r="G1329" i="2"/>
  <c r="G3532" i="2"/>
  <c r="G724" i="2"/>
  <c r="F724" i="2"/>
  <c r="G3203" i="2"/>
  <c r="F3203" i="2"/>
  <c r="G3067" i="2"/>
  <c r="F3067" i="2"/>
  <c r="G2428" i="2"/>
  <c r="G3281" i="2"/>
  <c r="G3134" i="2"/>
  <c r="F3134" i="2"/>
  <c r="G3161" i="2"/>
  <c r="F3161" i="2"/>
  <c r="G3238" i="2"/>
  <c r="G2324" i="2"/>
  <c r="G2399" i="2"/>
  <c r="G1921" i="2"/>
  <c r="G2878" i="2"/>
  <c r="F2878" i="2"/>
  <c r="G2785" i="2"/>
  <c r="F2785" i="2"/>
  <c r="G3405" i="2"/>
  <c r="G3338" i="2"/>
  <c r="F3338" i="2"/>
  <c r="G3347" i="2"/>
  <c r="F3347" i="2"/>
  <c r="G3393" i="2"/>
  <c r="F3393" i="2"/>
  <c r="G1700" i="2"/>
  <c r="G2301" i="2"/>
  <c r="G2690" i="2"/>
  <c r="G3256" i="2"/>
  <c r="G1688" i="2"/>
  <c r="F1688" i="2"/>
  <c r="G3039" i="2"/>
  <c r="G3093" i="2"/>
  <c r="F3093" i="2"/>
  <c r="G2835" i="2"/>
  <c r="F2835" i="2"/>
  <c r="G3077" i="2"/>
  <c r="F3077" i="2"/>
  <c r="G3538" i="2"/>
  <c r="G1778" i="2"/>
  <c r="G3139" i="2"/>
  <c r="G3334" i="2"/>
  <c r="F3334" i="2"/>
  <c r="F3385" i="2"/>
  <c r="G3385" i="2"/>
  <c r="G2609" i="2"/>
  <c r="F2609" i="2"/>
  <c r="G3480" i="2"/>
  <c r="F3480" i="2"/>
  <c r="G3484" i="2"/>
  <c r="F3484" i="2"/>
  <c r="G3454" i="2"/>
  <c r="F3454" i="2"/>
  <c r="G3488" i="2"/>
  <c r="F3488" i="2"/>
  <c r="G3273" i="2"/>
  <c r="F3273" i="2"/>
  <c r="G1478" i="2"/>
  <c r="G3051" i="2"/>
  <c r="G2855" i="2"/>
  <c r="F2855" i="2"/>
  <c r="G2759" i="2"/>
  <c r="F2658" i="2"/>
  <c r="F2657" i="2" s="1"/>
  <c r="G2657" i="2"/>
  <c r="G3293" i="2"/>
  <c r="G1712" i="2"/>
  <c r="G3319" i="2"/>
  <c r="G3297" i="2"/>
  <c r="G3422" i="2"/>
  <c r="G3426" i="2"/>
  <c r="G3430" i="2"/>
  <c r="G1071" i="2"/>
  <c r="G3401" i="2"/>
  <c r="G2082" i="2"/>
  <c r="F2084" i="2"/>
  <c r="F2082" i="2" s="1"/>
  <c r="F1843" i="2"/>
  <c r="G1726" i="2"/>
  <c r="G3229" i="2"/>
  <c r="G2287" i="2"/>
  <c r="F2287" i="2"/>
  <c r="G3560" i="2"/>
  <c r="F3562" i="2"/>
  <c r="F3560" i="2" s="1"/>
  <c r="F2188" i="2"/>
  <c r="G3310" i="2"/>
  <c r="F2276" i="2"/>
  <c r="F3064" i="2"/>
  <c r="F2420" i="2"/>
  <c r="G2188" i="2"/>
  <c r="G2865" i="2"/>
  <c r="F2865" i="2"/>
  <c r="F3063" i="2"/>
  <c r="G2417" i="2"/>
  <c r="F2419" i="2"/>
  <c r="G2276" i="2"/>
  <c r="F1618" i="2"/>
  <c r="F1617" i="2" s="1"/>
  <c r="E1618" i="2"/>
  <c r="F3765" i="2"/>
  <c r="E3765" i="2"/>
  <c r="G1645" i="2"/>
  <c r="F2418" i="2"/>
  <c r="E2418" i="2"/>
  <c r="F3764" i="2"/>
  <c r="E3764" i="2"/>
  <c r="F3763" i="2"/>
  <c r="E3763" i="2"/>
  <c r="F3762" i="2"/>
  <c r="E3762" i="2"/>
  <c r="G1244" i="2"/>
  <c r="F43" i="3"/>
  <c r="G43" i="3" s="1"/>
  <c r="E3675" i="2"/>
  <c r="E3674" i="2"/>
  <c r="E1133" i="2"/>
  <c r="D61" i="3"/>
  <c r="D1" i="3" s="1"/>
  <c r="F61" i="3"/>
  <c r="G61" i="3" s="1"/>
  <c r="F1223" i="2"/>
  <c r="F1221" i="2" s="1"/>
  <c r="F649" i="2"/>
  <c r="F3677" i="2"/>
  <c r="F1996" i="2"/>
  <c r="F3736" i="2"/>
  <c r="F2269" i="2"/>
  <c r="F2267" i="2" s="1"/>
  <c r="F2204" i="2"/>
  <c r="F2202" i="2" s="1"/>
  <c r="F3712" i="2"/>
  <c r="F3711" i="2"/>
  <c r="F3710" i="2"/>
  <c r="F3709" i="2"/>
  <c r="F3708" i="2"/>
  <c r="F3707" i="2"/>
  <c r="F3706" i="2"/>
  <c r="F3705" i="2"/>
  <c r="F3704" i="2"/>
  <c r="G2172" i="2"/>
  <c r="G3153" i="2"/>
  <c r="G2873" i="2"/>
  <c r="G1650" i="2"/>
  <c r="G2900" i="2"/>
  <c r="G2674" i="2"/>
  <c r="F3515" i="2"/>
  <c r="G3515" i="2"/>
  <c r="G3351" i="2"/>
  <c r="F3351" i="2"/>
  <c r="G1708" i="2"/>
  <c r="G2297" i="2"/>
  <c r="G1768" i="2"/>
  <c r="G1365" i="2"/>
  <c r="G1960" i="2"/>
  <c r="F1960" i="2"/>
  <c r="G1204" i="2"/>
  <c r="G1852" i="2"/>
  <c r="G3501" i="2"/>
  <c r="F3501" i="2"/>
  <c r="G2022" i="2"/>
  <c r="F2022" i="2"/>
  <c r="G1974" i="2"/>
  <c r="G1696" i="2"/>
  <c r="G1741" i="2"/>
  <c r="G2409" i="2"/>
  <c r="G2086" i="2"/>
  <c r="G2012" i="2"/>
  <c r="G1606" i="2"/>
  <c r="F2909" i="2"/>
  <c r="F2737" i="2"/>
  <c r="F2550" i="2"/>
  <c r="F2496" i="2"/>
  <c r="F2476" i="2"/>
  <c r="F2439" i="2"/>
  <c r="F2350" i="2"/>
  <c r="F2346" i="2"/>
  <c r="F1754" i="2"/>
  <c r="F1557" i="2"/>
  <c r="F1509" i="2"/>
  <c r="J472" i="2"/>
  <c r="J563" i="2"/>
  <c r="T47" i="3"/>
  <c r="G47" i="3" s="1"/>
  <c r="Z51" i="3"/>
  <c r="G51" i="3" s="1"/>
  <c r="F77" i="3"/>
  <c r="Q77" i="3"/>
  <c r="F110" i="3"/>
  <c r="F409" i="3"/>
  <c r="F9" i="2"/>
  <c r="F3" i="2" s="1"/>
  <c r="M23" i="2"/>
  <c r="N23" i="2"/>
  <c r="R23" i="2"/>
  <c r="F24" i="2"/>
  <c r="F28" i="2"/>
  <c r="P23" i="2" s="1"/>
  <c r="F32" i="2"/>
  <c r="O23" i="2" s="1"/>
  <c r="F42" i="2"/>
  <c r="F43" i="2"/>
  <c r="F44" i="2"/>
  <c r="F45" i="2"/>
  <c r="F48" i="2"/>
  <c r="G57" i="2"/>
  <c r="N57" i="2"/>
  <c r="Q57" i="2"/>
  <c r="F61" i="2"/>
  <c r="F63" i="2"/>
  <c r="P57" i="2" s="1"/>
  <c r="F72" i="2"/>
  <c r="F79" i="2"/>
  <c r="F82" i="2"/>
  <c r="R110" i="2"/>
  <c r="F116" i="2"/>
  <c r="F124" i="2"/>
  <c r="O110" i="2" s="1"/>
  <c r="F127" i="2"/>
  <c r="Q110" i="2" s="1"/>
  <c r="F132" i="2"/>
  <c r="F133" i="2"/>
  <c r="G156" i="2"/>
  <c r="O156" i="2"/>
  <c r="R156" i="2"/>
  <c r="F157" i="2"/>
  <c r="F161" i="2"/>
  <c r="G165" i="2"/>
  <c r="O165" i="2"/>
  <c r="R165" i="2"/>
  <c r="F166" i="2"/>
  <c r="P165" i="2" s="1"/>
  <c r="F170" i="2"/>
  <c r="G145" i="2"/>
  <c r="O145" i="2"/>
  <c r="R145" i="2"/>
  <c r="F146" i="2"/>
  <c r="F149" i="2"/>
  <c r="G172" i="2"/>
  <c r="O172" i="2"/>
  <c r="Q172" i="2"/>
  <c r="F173" i="2"/>
  <c r="O181" i="2"/>
  <c r="F182" i="2"/>
  <c r="F187" i="2"/>
  <c r="F188" i="2"/>
  <c r="F190" i="2"/>
  <c r="G199" i="2"/>
  <c r="F204" i="2"/>
  <c r="F213" i="2"/>
  <c r="F220" i="2"/>
  <c r="F221" i="2"/>
  <c r="F225" i="2"/>
  <c r="F228" i="2"/>
  <c r="F229" i="2"/>
  <c r="F234" i="2"/>
  <c r="G334" i="2"/>
  <c r="F335" i="2"/>
  <c r="F334" i="2" s="1"/>
  <c r="G338" i="2"/>
  <c r="F339" i="2"/>
  <c r="F341" i="2"/>
  <c r="F343" i="2"/>
  <c r="F359" i="2"/>
  <c r="F360" i="2"/>
  <c r="F361" i="2"/>
  <c r="G497" i="2"/>
  <c r="F500" i="2"/>
  <c r="F501" i="2"/>
  <c r="E502" i="2"/>
  <c r="F503" i="2"/>
  <c r="F505" i="2"/>
  <c r="E507" i="2"/>
  <c r="F507" i="2"/>
  <c r="G444" i="2"/>
  <c r="F449" i="2"/>
  <c r="F453" i="2"/>
  <c r="F462" i="2"/>
  <c r="F464" i="2"/>
  <c r="G509" i="2"/>
  <c r="F510" i="2"/>
  <c r="F511" i="2"/>
  <c r="G513" i="2"/>
  <c r="F514" i="2"/>
  <c r="F515" i="2"/>
  <c r="F279" i="2"/>
  <c r="F273" i="2" s="1"/>
  <c r="F240" i="2"/>
  <c r="F254" i="2"/>
  <c r="F256" i="2"/>
  <c r="F259" i="2"/>
  <c r="G384" i="2"/>
  <c r="F388" i="2"/>
  <c r="F399" i="2"/>
  <c r="L404" i="2"/>
  <c r="F408" i="2"/>
  <c r="F409" i="2"/>
  <c r="F412" i="2"/>
  <c r="G517" i="2"/>
  <c r="F518" i="2"/>
  <c r="F522" i="2"/>
  <c r="F523" i="2"/>
  <c r="F526" i="2"/>
  <c r="F318" i="2"/>
  <c r="F302" i="2" s="1"/>
  <c r="G540" i="2"/>
  <c r="F546" i="2"/>
  <c r="F557" i="2"/>
  <c r="G563" i="2"/>
  <c r="G472" i="2"/>
  <c r="G585" i="2"/>
  <c r="F587" i="2"/>
  <c r="F588" i="2"/>
  <c r="F589" i="2"/>
  <c r="F596" i="2"/>
  <c r="F597" i="2"/>
  <c r="G615" i="2"/>
  <c r="G602" i="2"/>
  <c r="F603" i="2"/>
  <c r="F604" i="2"/>
  <c r="F571" i="2"/>
  <c r="F575" i="2"/>
  <c r="G704" i="2"/>
  <c r="F708" i="2"/>
  <c r="F711" i="2"/>
  <c r="F713" i="2"/>
  <c r="F630" i="2"/>
  <c r="F635" i="2"/>
  <c r="G678" i="2"/>
  <c r="F682" i="2"/>
  <c r="F684" i="2"/>
  <c r="F687" i="2"/>
  <c r="F688" i="2"/>
  <c r="F689" i="2"/>
  <c r="F690" i="2"/>
  <c r="F691" i="2"/>
  <c r="G735" i="2"/>
  <c r="F736" i="2"/>
  <c r="F737" i="2"/>
  <c r="F738" i="2"/>
  <c r="F740" i="2"/>
  <c r="F741" i="2"/>
  <c r="G750" i="2"/>
  <c r="F753" i="2"/>
  <c r="F759" i="2"/>
  <c r="G772" i="2"/>
  <c r="G814" i="2"/>
  <c r="F815" i="2"/>
  <c r="F822" i="2"/>
  <c r="F824" i="2"/>
  <c r="G877" i="2"/>
  <c r="F878" i="2"/>
  <c r="F880" i="2"/>
  <c r="F881" i="2"/>
  <c r="G900" i="2"/>
  <c r="F903" i="2"/>
  <c r="F904" i="2"/>
  <c r="F656" i="2"/>
  <c r="F658" i="2"/>
  <c r="F659" i="2"/>
  <c r="F661" i="2"/>
  <c r="G866" i="2"/>
  <c r="F867" i="2"/>
  <c r="F868" i="2"/>
  <c r="G928" i="2"/>
  <c r="K831" i="2"/>
  <c r="F849" i="2"/>
  <c r="F854" i="2"/>
  <c r="G890" i="2"/>
  <c r="F892" i="2"/>
  <c r="F893" i="2"/>
  <c r="F894" i="2"/>
  <c r="F895" i="2"/>
  <c r="G913" i="2"/>
  <c r="F529" i="2"/>
  <c r="F528" i="2" s="1"/>
  <c r="F1034" i="2"/>
  <c r="F1035" i="2"/>
  <c r="F1043" i="2"/>
  <c r="G1049" i="2"/>
  <c r="F1050" i="2"/>
  <c r="F1051" i="2"/>
  <c r="F1052" i="2"/>
  <c r="G976" i="2"/>
  <c r="F978" i="2"/>
  <c r="F979" i="2"/>
  <c r="F980" i="2"/>
  <c r="F984" i="2"/>
  <c r="F985" i="2"/>
  <c r="F1112" i="2"/>
  <c r="F1113" i="2"/>
  <c r="F1115" i="2"/>
  <c r="E1116" i="2"/>
  <c r="F1116" i="2"/>
  <c r="G1136" i="2"/>
  <c r="F1137" i="2"/>
  <c r="F1138" i="2"/>
  <c r="F1148" i="2"/>
  <c r="F1152" i="2"/>
  <c r="F1154" i="2"/>
  <c r="F796" i="2"/>
  <c r="F798" i="2"/>
  <c r="F805" i="2"/>
  <c r="G1168" i="2"/>
  <c r="F1171" i="2"/>
  <c r="F1172" i="2"/>
  <c r="G1120" i="2"/>
  <c r="F1122" i="2"/>
  <c r="F1126" i="2"/>
  <c r="F1127" i="2"/>
  <c r="F430" i="2"/>
  <c r="F434" i="2"/>
  <c r="G1096" i="2"/>
  <c r="F1097" i="2"/>
  <c r="F1096" i="2" s="1"/>
  <c r="J1096" i="2" s="1"/>
  <c r="G1264" i="2"/>
  <c r="F1269" i="2"/>
  <c r="F1264" i="2" s="1"/>
  <c r="F370" i="2"/>
  <c r="F372" i="2"/>
  <c r="G1301" i="2"/>
  <c r="F1305" i="2"/>
  <c r="F1306" i="2"/>
  <c r="F1314" i="2"/>
  <c r="G1006" i="2"/>
  <c r="F1014" i="2"/>
  <c r="F1006" i="2" s="1"/>
  <c r="G942" i="2"/>
  <c r="F944" i="2"/>
  <c r="F946" i="2"/>
  <c r="F947" i="2"/>
  <c r="G956" i="2"/>
  <c r="F957" i="2"/>
  <c r="F956" i="2" s="1"/>
  <c r="F644" i="2"/>
  <c r="G1412" i="2"/>
  <c r="G1193" i="2"/>
  <c r="G1371" i="2"/>
  <c r="F1372" i="2"/>
  <c r="F1373" i="2"/>
  <c r="F1374" i="2"/>
  <c r="G1396" i="2"/>
  <c r="G1490" i="2"/>
  <c r="E1495" i="2"/>
  <c r="F1495" i="2"/>
  <c r="F1490" i="2" s="1"/>
  <c r="G1509" i="2"/>
  <c r="G1253" i="2"/>
  <c r="F1257" i="2"/>
  <c r="F1258" i="2"/>
  <c r="E1259" i="2"/>
  <c r="F1259" i="2" s="1"/>
  <c r="G1422" i="2"/>
  <c r="F1425" i="2"/>
  <c r="F1426" i="2"/>
  <c r="G1383" i="2"/>
  <c r="F1384" i="2"/>
  <c r="F1387" i="2"/>
  <c r="F1390" i="2"/>
  <c r="F1391" i="2"/>
  <c r="F1457" i="2"/>
  <c r="F1459" i="2"/>
  <c r="F1460" i="2"/>
  <c r="G1225" i="2"/>
  <c r="G1557" i="2"/>
  <c r="I1557" i="2"/>
  <c r="G1569" i="2"/>
  <c r="F1574" i="2"/>
  <c r="G1577" i="2"/>
  <c r="F1593" i="2"/>
  <c r="F1594" i="2"/>
  <c r="F1595" i="2"/>
  <c r="G1621" i="2"/>
  <c r="F1622" i="2"/>
  <c r="F1623" i="2"/>
  <c r="F1626" i="2"/>
  <c r="F1628" i="2"/>
  <c r="F1629" i="2"/>
  <c r="F1630" i="2"/>
  <c r="G1677" i="2"/>
  <c r="F1679" i="2"/>
  <c r="F1677" i="2" s="1"/>
  <c r="G1175" i="2"/>
  <c r="F1176" i="2"/>
  <c r="F1175" i="2" s="1"/>
  <c r="G1516" i="2"/>
  <c r="F1519" i="2"/>
  <c r="F1516" i="2" s="1"/>
  <c r="G1754" i="2"/>
  <c r="F1661" i="2"/>
  <c r="F1662" i="2"/>
  <c r="F1670" i="2"/>
  <c r="G1843" i="2"/>
  <c r="G1816" i="2"/>
  <c r="F1817" i="2"/>
  <c r="F1818" i="2"/>
  <c r="F1821" i="2"/>
  <c r="G1865" i="2"/>
  <c r="F1867" i="2"/>
  <c r="F1868" i="2"/>
  <c r="F1872" i="2"/>
  <c r="G1872" i="2"/>
  <c r="G1901" i="2"/>
  <c r="F1902" i="2"/>
  <c r="F1901" i="2" s="1"/>
  <c r="F1885" i="2"/>
  <c r="F1891" i="2"/>
  <c r="G1535" i="2"/>
  <c r="G1797" i="2"/>
  <c r="F1798" i="2"/>
  <c r="F1799" i="2"/>
  <c r="F1804" i="2"/>
  <c r="G2097" i="2"/>
  <c r="F2098" i="2"/>
  <c r="F2101" i="2"/>
  <c r="F2103" i="2"/>
  <c r="G2161" i="2"/>
  <c r="F2162" i="2"/>
  <c r="F2167" i="2"/>
  <c r="F2046" i="2"/>
  <c r="F2039" i="2" s="1"/>
  <c r="G2179" i="2"/>
  <c r="F2182" i="2"/>
  <c r="F2179" i="2" s="1"/>
  <c r="G2210" i="2"/>
  <c r="F2211" i="2"/>
  <c r="F2210" i="2" s="1"/>
  <c r="G2249" i="2"/>
  <c r="F2252" i="2"/>
  <c r="F2254" i="2"/>
  <c r="G2331" i="2"/>
  <c r="F2333" i="2"/>
  <c r="F2331" i="2" s="1"/>
  <c r="G2335" i="2"/>
  <c r="F2337" i="2"/>
  <c r="F2335" i="2" s="1"/>
  <c r="G2346" i="2"/>
  <c r="F1909" i="2"/>
  <c r="F1907" i="2" s="1"/>
  <c r="G2119" i="2"/>
  <c r="F2120" i="2"/>
  <c r="F2121" i="2"/>
  <c r="G1730" i="2"/>
  <c r="F1731" i="2"/>
  <c r="F1732" i="2"/>
  <c r="G2314" i="2"/>
  <c r="F2316" i="2"/>
  <c r="F2319" i="2"/>
  <c r="G2385" i="2"/>
  <c r="F2386" i="2"/>
  <c r="F2387" i="2"/>
  <c r="G2350" i="2"/>
  <c r="G2067" i="2"/>
  <c r="F2071" i="2"/>
  <c r="F2072" i="2"/>
  <c r="G2434" i="2"/>
  <c r="F2435" i="2"/>
  <c r="F2434" i="2" s="1"/>
  <c r="G2439" i="2"/>
  <c r="G2458" i="2"/>
  <c r="F2459" i="2"/>
  <c r="F2461" i="2"/>
  <c r="G2467" i="2"/>
  <c r="F2468" i="2"/>
  <c r="F2469" i="2"/>
  <c r="G2476" i="2"/>
  <c r="G1747" i="2"/>
  <c r="F1748" i="2"/>
  <c r="F1747" i="2" s="1"/>
  <c r="G2489" i="2"/>
  <c r="F2490" i="2"/>
  <c r="F2489" i="2" s="1"/>
  <c r="G2496" i="2"/>
  <c r="G2506" i="2"/>
  <c r="F2508" i="2"/>
  <c r="F2506" i="2" s="1"/>
  <c r="G2520" i="2"/>
  <c r="F2524" i="2"/>
  <c r="F2520" i="2" s="1"/>
  <c r="G2541" i="2"/>
  <c r="F2542" i="2"/>
  <c r="F2541" i="2" s="1"/>
  <c r="G2032" i="2"/>
  <c r="F2033" i="2"/>
  <c r="F2032" i="2" s="1"/>
  <c r="G2550" i="2"/>
  <c r="F2622" i="2"/>
  <c r="G2622" i="2"/>
  <c r="G1979" i="2"/>
  <c r="F1983" i="2"/>
  <c r="F1979" i="2" s="1"/>
  <c r="G2666" i="2"/>
  <c r="F2667" i="2"/>
  <c r="F2666" i="2" s="1"/>
  <c r="F2705" i="2"/>
  <c r="G2705" i="2"/>
  <c r="G2626" i="2"/>
  <c r="F2628" i="2"/>
  <c r="F2626" i="2" s="1"/>
  <c r="G2714" i="2"/>
  <c r="F2718" i="2"/>
  <c r="F2719" i="2"/>
  <c r="G2721" i="2"/>
  <c r="F2723" i="2"/>
  <c r="F2721" i="2" s="1"/>
  <c r="G2055" i="2"/>
  <c r="F2056" i="2"/>
  <c r="F2055" i="2" s="1"/>
  <c r="G2737" i="2"/>
  <c r="F2753" i="2"/>
  <c r="G2753" i="2"/>
  <c r="G2141" i="2"/>
  <c r="G2291" i="2"/>
  <c r="F2293" i="2"/>
  <c r="F2294" i="2"/>
  <c r="G2778" i="2"/>
  <c r="F2779" i="2"/>
  <c r="F2780" i="2"/>
  <c r="G2196" i="2"/>
  <c r="G2587" i="2"/>
  <c r="G2869" i="2"/>
  <c r="F2871" i="2"/>
  <c r="F2869" i="2" s="1"/>
  <c r="G2885" i="2"/>
  <c r="F2886" i="2"/>
  <c r="F2885" i="2" s="1"/>
  <c r="F2889" i="2"/>
  <c r="G2889" i="2"/>
  <c r="G2905" i="2"/>
  <c r="F2906" i="2"/>
  <c r="F2905" i="2" s="1"/>
  <c r="G2909" i="2"/>
  <c r="G2923" i="2"/>
  <c r="F2926" i="2"/>
  <c r="F2923" i="2" s="1"/>
  <c r="F2804" i="2"/>
  <c r="F2803" i="2" s="1"/>
  <c r="G3001" i="2"/>
  <c r="F3002" i="2"/>
  <c r="F3001" i="2" s="1"/>
  <c r="G2793" i="2"/>
  <c r="F2795" i="2"/>
  <c r="F2793" i="2" s="1"/>
  <c r="F3122" i="2"/>
  <c r="F3121" i="2" s="1"/>
  <c r="G3125" i="2"/>
  <c r="F3126" i="2"/>
  <c r="F3125" i="2" s="1"/>
  <c r="F1607" i="2"/>
  <c r="F1606" i="2" s="1"/>
  <c r="F3129" i="2"/>
  <c r="G3129" i="2"/>
  <c r="G3199" i="2"/>
  <c r="F3200" i="2"/>
  <c r="F3201" i="2"/>
  <c r="G3207" i="2"/>
  <c r="F3208" i="2"/>
  <c r="F3207" i="2" s="1"/>
  <c r="F3220" i="2"/>
  <c r="G3220" i="2"/>
  <c r="G3224" i="2"/>
  <c r="F3225" i="2"/>
  <c r="F3224" i="2" s="1"/>
  <c r="F3261" i="2"/>
  <c r="G3261" i="2"/>
  <c r="G3177" i="2"/>
  <c r="F3179" i="2"/>
  <c r="F3177" i="2" s="1"/>
  <c r="G3285" i="2"/>
  <c r="F3286" i="2"/>
  <c r="F3287" i="2"/>
  <c r="F3305" i="2"/>
  <c r="G3305" i="2"/>
  <c r="G3315" i="2"/>
  <c r="F3316" i="2"/>
  <c r="F3315" i="2" s="1"/>
  <c r="G3323" i="2"/>
  <c r="F3324" i="2"/>
  <c r="F3327" i="2"/>
  <c r="G3434" i="2"/>
  <c r="F3435" i="2"/>
  <c r="F3434" i="2" s="1"/>
  <c r="G3101" i="2"/>
  <c r="F3103" i="2"/>
  <c r="F3101" i="2" s="1"/>
  <c r="G3524" i="2"/>
  <c r="F3526" i="2"/>
  <c r="F3524" i="2" s="1"/>
  <c r="F1346" i="2"/>
  <c r="F1345" i="2" s="1"/>
  <c r="F2014" i="2"/>
  <c r="F2012" i="2" s="1"/>
  <c r="F2088" i="2"/>
  <c r="F2086" i="2" s="1"/>
  <c r="F2411" i="2"/>
  <c r="F2409" i="2" s="1"/>
  <c r="F1698" i="2"/>
  <c r="F1696" i="2" s="1"/>
  <c r="F1976" i="2"/>
  <c r="F1974" i="2" s="1"/>
  <c r="E1977" i="2"/>
  <c r="F1743" i="2"/>
  <c r="F1744" i="2"/>
  <c r="F3579" i="2"/>
  <c r="F3578" i="2" s="1"/>
  <c r="F3842" i="2"/>
  <c r="F3843" i="2"/>
  <c r="F3861" i="2"/>
  <c r="F3587" i="2"/>
  <c r="F3586" i="2" s="1"/>
  <c r="F3864" i="2"/>
  <c r="F3865" i="2"/>
  <c r="F3866" i="2"/>
  <c r="F3867" i="2"/>
  <c r="F3868" i="2"/>
  <c r="F3869" i="2"/>
  <c r="F3870" i="2"/>
  <c r="F3922" i="2"/>
  <c r="F3923" i="2"/>
  <c r="F3924" i="2"/>
  <c r="F3929" i="2"/>
  <c r="F1811" i="2"/>
  <c r="F1810" i="2" s="1"/>
  <c r="F3599" i="2"/>
  <c r="F2966" i="2"/>
  <c r="F2965" i="2" s="1"/>
  <c r="F3941" i="2"/>
  <c r="F1854" i="2"/>
  <c r="E1857" i="2"/>
  <c r="F1858" i="2"/>
  <c r="F3951" i="2"/>
  <c r="F3972" i="2"/>
  <c r="F3266" i="2"/>
  <c r="F3265" i="2" s="1"/>
  <c r="F3980" i="2"/>
  <c r="F3981" i="2"/>
  <c r="F3982" i="2"/>
  <c r="F3983" i="2"/>
  <c r="F3984" i="2"/>
  <c r="F3985" i="2"/>
  <c r="F3986" i="2"/>
  <c r="F1366" i="2"/>
  <c r="F1365" i="2" s="1"/>
  <c r="F1769" i="2"/>
  <c r="F1768" i="2" s="1"/>
  <c r="F3997" i="2"/>
  <c r="F3998" i="2"/>
  <c r="F3999" i="2"/>
  <c r="F4000" i="2"/>
  <c r="F4001" i="2"/>
  <c r="F4002" i="2"/>
  <c r="F4003" i="2"/>
  <c r="F4004" i="2"/>
  <c r="F4005" i="2"/>
  <c r="F4007" i="2"/>
  <c r="F1206" i="2"/>
  <c r="F1207" i="2"/>
  <c r="F3230" i="2"/>
  <c r="F3229" i="2" s="1"/>
  <c r="F4020" i="2"/>
  <c r="F4021" i="2"/>
  <c r="F4053" i="2"/>
  <c r="F2298" i="2"/>
  <c r="F2299" i="2"/>
  <c r="F1709" i="2"/>
  <c r="F1710" i="2"/>
  <c r="F4079" i="2"/>
  <c r="F4084" i="2"/>
  <c r="F4085" i="2"/>
  <c r="F4086" i="2"/>
  <c r="F4087" i="2"/>
  <c r="F4088" i="2"/>
  <c r="F4139" i="2"/>
  <c r="F4140" i="2"/>
  <c r="F4141" i="2"/>
  <c r="F4188" i="2"/>
  <c r="F4189" i="2"/>
  <c r="F4190" i="2"/>
  <c r="F4204" i="2"/>
  <c r="F4205" i="2"/>
  <c r="F4206" i="2"/>
  <c r="F4207" i="2"/>
  <c r="F2675" i="2"/>
  <c r="F2676" i="2"/>
  <c r="F2901" i="2"/>
  <c r="F2902" i="2"/>
  <c r="F2874" i="2"/>
  <c r="F2875" i="2"/>
  <c r="F3154" i="2"/>
  <c r="F3155" i="2"/>
  <c r="F2173" i="2"/>
  <c r="F2172" i="2" s="1"/>
  <c r="F3402" i="2"/>
  <c r="F3401" i="2" s="1"/>
  <c r="F3423" i="2"/>
  <c r="F3422" i="2" s="1"/>
  <c r="F3311" i="2"/>
  <c r="F3310" i="2" s="1"/>
  <c r="F3298" i="2"/>
  <c r="F3297" i="2" s="1"/>
  <c r="F3320" i="2"/>
  <c r="F3319" i="2" s="1"/>
  <c r="F3294" i="2"/>
  <c r="F3293" i="2" s="1"/>
  <c r="F3427" i="2"/>
  <c r="F3426" i="2" s="1"/>
  <c r="F1713" i="2"/>
  <c r="F1712" i="2" s="1"/>
  <c r="F2762" i="2"/>
  <c r="F2759" i="2" s="1"/>
  <c r="F3054" i="2"/>
  <c r="F3051" i="2" s="1"/>
  <c r="F1482" i="2"/>
  <c r="F1478" i="2" s="1" a="1"/>
  <c r="F1478" i="2" s="1"/>
  <c r="F3140" i="2"/>
  <c r="F3141" i="2"/>
  <c r="F3539" i="2"/>
  <c r="F3540" i="2"/>
  <c r="F1780" i="2"/>
  <c r="F1781" i="2"/>
  <c r="F1449" i="2"/>
  <c r="F1450" i="2"/>
  <c r="F3040" i="2"/>
  <c r="F3039" i="2" s="1"/>
  <c r="F3257" i="2"/>
  <c r="F3256" i="2" s="1"/>
  <c r="F4006" i="2"/>
  <c r="F1701" i="2"/>
  <c r="F1700" i="2" s="1"/>
  <c r="F2302" i="2"/>
  <c r="F2306" i="2"/>
  <c r="F1922" i="2"/>
  <c r="F1923" i="2"/>
  <c r="F2773" i="2"/>
  <c r="F2770" i="2" s="1"/>
  <c r="F3282" i="2"/>
  <c r="F3281" i="2" s="1"/>
  <c r="F3239" i="2"/>
  <c r="F3238" i="2" s="1"/>
  <c r="F2429" i="2"/>
  <c r="F2428" i="2" s="1"/>
  <c r="F3534" i="2"/>
  <c r="F3532" i="2" s="1"/>
  <c r="F1341" i="2"/>
  <c r="F1343" i="2"/>
  <c r="F2030" i="2"/>
  <c r="F2027" i="2" s="1"/>
  <c r="F2632" i="2"/>
  <c r="F2634" i="2"/>
  <c r="F2635" i="2"/>
  <c r="F2636" i="2"/>
  <c r="F2261" i="2"/>
  <c r="F2263" i="2"/>
  <c r="F2264" i="2"/>
  <c r="F2265" i="2"/>
  <c r="F2424" i="2"/>
  <c r="F2426" i="2"/>
  <c r="F3583" i="2"/>
  <c r="F3582" i="2" s="1"/>
  <c r="F3837" i="2"/>
  <c r="F3838" i="2"/>
  <c r="F1966" i="2"/>
  <c r="F1970" i="2"/>
  <c r="F3839" i="2"/>
  <c r="F2221" i="2"/>
  <c r="F2222" i="2"/>
  <c r="F2734" i="2"/>
  <c r="F2735" i="2"/>
  <c r="F2513" i="2"/>
  <c r="F2514" i="2"/>
  <c r="F1330" i="2"/>
  <c r="F1331" i="2"/>
  <c r="F3988" i="2"/>
  <c r="F3989" i="2"/>
  <c r="F3990" i="2"/>
  <c r="F3991" i="2"/>
  <c r="F3992" i="2"/>
  <c r="F4128" i="2"/>
  <c r="F4129" i="2"/>
  <c r="F4130" i="2"/>
  <c r="F4131" i="2"/>
  <c r="F4132" i="2"/>
  <c r="F4133" i="2"/>
  <c r="F4043" i="2"/>
  <c r="F4044" i="2"/>
  <c r="F999" i="2"/>
  <c r="F997" i="2" s="1"/>
  <c r="F2986" i="2"/>
  <c r="F2985" i="2" s="1"/>
  <c r="F3116" i="2"/>
  <c r="F3117" i="2"/>
  <c r="F3119" i="2"/>
  <c r="F4027" i="2"/>
  <c r="F3364" i="2"/>
  <c r="F3365" i="2"/>
  <c r="F3248" i="2"/>
  <c r="F3249" i="2"/>
  <c r="F4028" i="2"/>
  <c r="F2447" i="2"/>
  <c r="F2448" i="2"/>
  <c r="F3390" i="2"/>
  <c r="F3391" i="2"/>
  <c r="F3170" i="2"/>
  <c r="F3171" i="2"/>
  <c r="F3759" i="2"/>
  <c r="F4067" i="2"/>
  <c r="F2699" i="2"/>
  <c r="F2700" i="2"/>
  <c r="F1291" i="2"/>
  <c r="F1288" i="2" s="1"/>
  <c r="F1062" i="2"/>
  <c r="F1063" i="2"/>
  <c r="F3664" i="2"/>
  <c r="F3665" i="2"/>
  <c r="F581" i="2"/>
  <c r="F580" i="2" s="1"/>
  <c r="F2158" i="2"/>
  <c r="F2159" i="2"/>
  <c r="F1944" i="2"/>
  <c r="F1942" i="2" s="1"/>
  <c r="F1073" i="2"/>
  <c r="F1071" i="2" s="1"/>
  <c r="F1506" i="2"/>
  <c r="F1503" i="2" s="1"/>
  <c r="F2647" i="2"/>
  <c r="F2645" i="2" s="1"/>
  <c r="F2594" i="2"/>
  <c r="F2592" i="2" s="1"/>
  <c r="F3099" i="2"/>
  <c r="F3097" i="2" s="1"/>
  <c r="F1647" i="2"/>
  <c r="F1645" i="2" s="1"/>
  <c r="F2846" i="2"/>
  <c r="F2845" i="2" s="1"/>
  <c r="F2821" i="2"/>
  <c r="F2820" i="2" s="1"/>
  <c r="F2990" i="2"/>
  <c r="F2989" i="2" s="1"/>
  <c r="F2108" i="2"/>
  <c r="F2107" i="2" s="1"/>
  <c r="F3847" i="2"/>
  <c r="F3848" i="2"/>
  <c r="F3974" i="2"/>
  <c r="F3975" i="2"/>
  <c r="F3976" i="2"/>
  <c r="F3977" i="2"/>
  <c r="F3978" i="2"/>
  <c r="F4051" i="2"/>
  <c r="F4052" i="2"/>
  <c r="F3158" i="2"/>
  <c r="F3157" i="2" s="1"/>
  <c r="F3912" i="2"/>
  <c r="F2816" i="2"/>
  <c r="F2817" i="2"/>
  <c r="F3108" i="2"/>
  <c r="F3107" i="2" s="1"/>
  <c r="F3920" i="2"/>
  <c r="F3921" i="2"/>
  <c r="F3530" i="2"/>
  <c r="F3528" i="2" s="1"/>
  <c r="F4199" i="2"/>
  <c r="F2843" i="2"/>
  <c r="F2840" i="2" s="1"/>
  <c r="F2357" i="2"/>
  <c r="F2358" i="2"/>
  <c r="F2503" i="2"/>
  <c r="F2502" i="2" s="1"/>
  <c r="F2371" i="2"/>
  <c r="F2372" i="2"/>
  <c r="F3913" i="2"/>
  <c r="F3019" i="2"/>
  <c r="F3018" i="2" s="1"/>
  <c r="F3776" i="2"/>
  <c r="F3777" i="2"/>
  <c r="F3778" i="2"/>
  <c r="F1939" i="2"/>
  <c r="F1938" i="2" s="1"/>
  <c r="F3760" i="2"/>
  <c r="F3761" i="2"/>
  <c r="F3779" i="2"/>
  <c r="F3780" i="2"/>
  <c r="F3781" i="2"/>
  <c r="F2363" i="2"/>
  <c r="F2362" i="2" s="1"/>
  <c r="F3973" i="2"/>
  <c r="F1474" i="2"/>
  <c r="F1472" i="2" s="1"/>
  <c r="F4200" i="2"/>
  <c r="F4201" i="2"/>
  <c r="F4202" i="2"/>
  <c r="F4214" i="2"/>
  <c r="F4215" i="2"/>
  <c r="F4197" i="2"/>
  <c r="F4198" i="2"/>
  <c r="F491" i="2"/>
  <c r="F490" i="2" s="1"/>
  <c r="F4073" i="2"/>
  <c r="F4074" i="2"/>
  <c r="L3302" i="2"/>
  <c r="F3303" i="2"/>
  <c r="F3301" i="2" s="1"/>
  <c r="L2583" i="2"/>
  <c r="F2585" i="2"/>
  <c r="F2582" i="2" s="1"/>
  <c r="L4031" i="2"/>
  <c r="L3044" i="2"/>
  <c r="L3048" i="2"/>
  <c r="L4032" i="2"/>
  <c r="L2008" i="2"/>
  <c r="F2009" i="2"/>
  <c r="F2007" i="2" s="1"/>
  <c r="F3816" i="2"/>
  <c r="F3817" i="2"/>
  <c r="F3818" i="2"/>
  <c r="F2946" i="2"/>
  <c r="F2947" i="2"/>
  <c r="F4217" i="2"/>
  <c r="F4218" i="2"/>
  <c r="F4219" i="2"/>
  <c r="F4220" i="2"/>
  <c r="F3369" i="2"/>
  <c r="F3367" i="2" s="1"/>
  <c r="F2917" i="2"/>
  <c r="F2915" i="2" s="1"/>
  <c r="F3498" i="2"/>
  <c r="F3499" i="2"/>
  <c r="F3938" i="2"/>
  <c r="F3090" i="2"/>
  <c r="F3091" i="2"/>
  <c r="F3914" i="2"/>
  <c r="F3082" i="2"/>
  <c r="F3081" i="2" s="1"/>
  <c r="F2957" i="2"/>
  <c r="F2956" i="2" s="1"/>
  <c r="F3857" i="2"/>
  <c r="F2932" i="2"/>
  <c r="F2931" i="2" s="1"/>
  <c r="F2556" i="2"/>
  <c r="F2555" i="2" s="1"/>
  <c r="F2599" i="2"/>
  <c r="F2598" i="2" s="1"/>
  <c r="F3858" i="2"/>
  <c r="F2730" i="2"/>
  <c r="F2729" i="2" s="1"/>
  <c r="F3859" i="2"/>
  <c r="F3860" i="2"/>
  <c r="F3452" i="2"/>
  <c r="F3450" i="2" s="1"/>
  <c r="F4193" i="2"/>
  <c r="F4194" i="2"/>
  <c r="F4195" i="2"/>
  <c r="F4196" i="2"/>
  <c r="F973" i="2"/>
  <c r="F972" i="2" s="1"/>
  <c r="F3635" i="2"/>
  <c r="F716" i="2"/>
  <c r="F715" i="2" s="1"/>
  <c r="F3621" i="2"/>
  <c r="F3622" i="2"/>
  <c r="F3623" i="2"/>
  <c r="F964" i="2"/>
  <c r="F963" i="2" s="1"/>
  <c r="F1241" i="2"/>
  <c r="F1240" i="2" s="1"/>
  <c r="F939" i="2"/>
  <c r="F938" i="2" s="1"/>
  <c r="F3619" i="2"/>
  <c r="F536" i="2"/>
  <c r="F535" i="2" s="1"/>
  <c r="E538" i="2"/>
  <c r="F887" i="2"/>
  <c r="F886" i="2" s="1"/>
  <c r="F3641" i="2"/>
  <c r="F3642" i="2"/>
  <c r="F1325" i="2"/>
  <c r="F1326" i="2"/>
  <c r="F1327" i="2"/>
  <c r="F1932" i="2"/>
  <c r="F1928" i="2" s="1"/>
  <c r="F3657" i="2"/>
  <c r="F3658" i="2"/>
  <c r="F3659" i="2"/>
  <c r="F1444" i="2"/>
  <c r="F1443" i="2" s="1"/>
  <c r="F3660" i="2"/>
  <c r="F3661" i="2"/>
  <c r="F3662" i="2"/>
  <c r="F3652" i="2"/>
  <c r="F1614" i="2"/>
  <c r="E1615" i="2"/>
  <c r="F1615" i="2"/>
  <c r="F3653" i="2"/>
  <c r="F3719" i="2"/>
  <c r="F3720" i="2"/>
  <c r="F3721" i="2"/>
  <c r="F3722" i="2"/>
  <c r="F3723" i="2"/>
  <c r="F3724" i="2"/>
  <c r="F3725" i="2"/>
  <c r="F729" i="2"/>
  <c r="F728" i="2" s="1"/>
  <c r="F1531" i="2"/>
  <c r="F1533" i="2"/>
  <c r="F3692" i="2"/>
  <c r="F2227" i="2"/>
  <c r="F2226" i="2" s="1"/>
  <c r="F3880" i="2"/>
  <c r="F4056" i="2"/>
  <c r="F3645" i="2"/>
  <c r="F3646" i="2"/>
  <c r="F3647" i="2"/>
  <c r="F3648" i="2"/>
  <c r="F992" i="2"/>
  <c r="F994" i="2"/>
  <c r="F3649" i="2"/>
  <c r="F3650" i="2"/>
  <c r="F3651" i="2"/>
  <c r="F3629" i="2"/>
  <c r="F3630" i="2"/>
  <c r="F3631" i="2"/>
  <c r="F3632" i="2"/>
  <c r="F3773" i="2"/>
  <c r="F3774" i="2"/>
  <c r="F3775" i="2"/>
  <c r="F3023" i="2"/>
  <c r="F3024" i="2"/>
  <c r="F3006" i="2"/>
  <c r="F3007" i="2"/>
  <c r="F2974" i="2"/>
  <c r="F2975" i="2"/>
  <c r="F3946" i="2"/>
  <c r="F3947" i="2"/>
  <c r="F1274" i="2"/>
  <c r="F1272" i="2" s="1"/>
  <c r="F1090" i="2"/>
  <c r="F1088" i="2" s="1"/>
  <c r="E1093" i="2"/>
  <c r="F3656" i="2"/>
  <c r="F1003" i="2"/>
  <c r="F1002" i="2" s="1"/>
  <c r="F2539" i="2"/>
  <c r="F2537" i="2" s="1"/>
  <c r="F3811" i="2"/>
  <c r="F3812" i="2"/>
  <c r="F3813" i="2"/>
  <c r="F3814" i="2"/>
  <c r="F1067" i="2"/>
  <c r="F1065" i="2" s="1"/>
  <c r="F3655" i="2"/>
  <c r="F1432" i="2"/>
  <c r="F1433" i="2"/>
  <c r="F1434" i="2"/>
  <c r="F1653" i="2"/>
  <c r="F1650" i="2" s="1"/>
  <c r="F4192" i="2"/>
  <c r="F3253" i="2"/>
  <c r="F3252" i="2" s="1"/>
  <c r="F3926" i="2"/>
  <c r="F3927" i="2"/>
  <c r="F2376" i="2"/>
  <c r="F2375" i="2" s="1"/>
  <c r="F1995" i="2"/>
  <c r="F3970" i="2"/>
  <c r="F3971" i="2"/>
  <c r="F3356" i="2"/>
  <c r="F3355" i="2" s="1"/>
  <c r="F3382" i="2"/>
  <c r="F3383" i="2"/>
  <c r="F4142" i="2"/>
  <c r="F4143" i="2"/>
  <c r="F4144" i="2"/>
  <c r="F4145" i="2"/>
  <c r="F4146" i="2"/>
  <c r="F4147" i="2"/>
  <c r="F3968" i="2"/>
  <c r="F3969" i="2"/>
  <c r="F2575" i="2"/>
  <c r="F2574" i="2" s="1"/>
  <c r="F2571" i="2"/>
  <c r="F2570" i="2" s="1"/>
  <c r="F2653" i="2"/>
  <c r="F2652" i="2" s="1"/>
  <c r="F2978" i="2"/>
  <c r="F2977" i="2" s="1"/>
  <c r="F3962" i="2"/>
  <c r="F3963" i="2"/>
  <c r="F2749" i="2"/>
  <c r="F2751" i="2"/>
  <c r="F2831" i="2"/>
  <c r="F2830" i="2" s="1"/>
  <c r="F3993" i="2"/>
  <c r="F3194" i="2"/>
  <c r="F3195" i="2"/>
  <c r="F3196" i="2"/>
  <c r="F3197" i="2"/>
  <c r="F3086" i="2"/>
  <c r="F3085" i="2" s="1"/>
  <c r="F3447" i="2"/>
  <c r="F3448" i="2"/>
  <c r="F3439" i="2"/>
  <c r="F3440" i="2"/>
  <c r="F4057" i="2"/>
  <c r="F3510" i="2"/>
  <c r="F3511" i="2"/>
  <c r="F1361" i="2"/>
  <c r="F1360" i="2" s="1"/>
  <c r="I1362" i="2"/>
  <c r="I2207" i="2"/>
  <c r="F2663" i="2"/>
  <c r="F2662" i="2" s="1"/>
  <c r="F3840" i="2"/>
  <c r="F3841" i="2"/>
  <c r="K3618" i="2"/>
  <c r="K1284" i="2"/>
  <c r="F1285" i="2"/>
  <c r="F1283" i="2" s="1"/>
  <c r="F3755" i="2"/>
  <c r="K3755" i="2" s="1"/>
  <c r="F1245" i="2"/>
  <c r="F1246" i="2"/>
  <c r="K1246" i="2" s="1"/>
  <c r="K1247" i="2"/>
  <c r="K1248" i="2"/>
  <c r="F1352" i="2"/>
  <c r="F1353" i="2"/>
  <c r="K1353" i="2" s="1"/>
  <c r="K1354" i="2"/>
  <c r="E3670" i="2"/>
  <c r="E1321" i="2"/>
  <c r="E1322" i="2"/>
  <c r="F1322" i="2" s="1"/>
  <c r="F1319" i="2" s="1" a="1"/>
  <c r="F1319" i="2" s="1"/>
  <c r="E3671" i="2"/>
  <c r="E1991" i="2"/>
  <c r="F1992" i="2"/>
  <c r="F1990" i="2" s="1"/>
  <c r="E3672" i="2"/>
  <c r="E3654" i="2"/>
  <c r="F3654" i="2" s="1"/>
  <c r="F3917" i="2"/>
  <c r="F1553" i="2"/>
  <c r="F1554" i="2"/>
  <c r="F1693" i="2"/>
  <c r="F1694" i="2"/>
  <c r="F3733" i="2"/>
  <c r="F3734" i="2"/>
  <c r="F3590" i="2"/>
  <c r="F3748" i="2"/>
  <c r="F3749" i="2"/>
  <c r="F1775" i="2"/>
  <c r="F1774" i="2" s="1"/>
  <c r="F3687" i="2"/>
  <c r="F3688" i="2"/>
  <c r="F3835" i="2"/>
  <c r="F2129" i="2"/>
  <c r="F2128" i="2" s="1"/>
  <c r="F2236" i="2"/>
  <c r="F2235" i="2" s="1"/>
  <c r="F3716" i="2"/>
  <c r="F3717" i="2"/>
  <c r="F2240" i="2"/>
  <c r="F2239" i="2" s="1"/>
  <c r="E3617" i="2"/>
  <c r="E3637" i="2"/>
  <c r="F3637" i="2"/>
  <c r="F3808" i="2"/>
  <c r="F1830" i="2"/>
  <c r="F1829" i="2" s="1"/>
  <c r="F3809" i="2"/>
  <c r="F1638" i="2"/>
  <c r="F1637" i="2" s="1"/>
  <c r="F1642" i="2"/>
  <c r="F1641" i="2" s="1"/>
  <c r="F2092" i="2"/>
  <c r="F2091" i="2" s="1"/>
  <c r="F1849" i="2"/>
  <c r="F1848" i="2" s="1"/>
  <c r="F2395" i="2"/>
  <c r="F2390" i="2" s="1"/>
  <c r="F3432" i="2"/>
  <c r="F3430" i="2" s="1"/>
  <c r="F1884" i="2" l="1"/>
  <c r="F1857" i="2"/>
  <c r="M1" i="2"/>
  <c r="F785" i="2"/>
  <c r="F831" i="2"/>
  <c r="F1108" i="2"/>
  <c r="F629" i="2"/>
  <c r="F654" i="2"/>
  <c r="J654" i="2" s="1"/>
  <c r="F367" i="2"/>
  <c r="F1026" i="2"/>
  <c r="F2067" i="2"/>
  <c r="F2119" i="2"/>
  <c r="F1383" i="2"/>
  <c r="F1657" i="2"/>
  <c r="F238" i="2"/>
  <c r="J238" i="2" s="1"/>
  <c r="B32" i="9"/>
  <c r="F1965" i="2"/>
  <c r="F2260" i="2"/>
  <c r="F1337" i="2"/>
  <c r="F602" i="2"/>
  <c r="F585" i="2"/>
  <c r="F338" i="2"/>
  <c r="J338" i="2" s="1"/>
  <c r="F181" i="2"/>
  <c r="F426" i="2"/>
  <c r="F23" i="2"/>
  <c r="F1253" i="2"/>
  <c r="F145" i="2"/>
  <c r="F1431" i="2"/>
  <c r="F110" i="2"/>
  <c r="J110" i="2" s="1"/>
  <c r="F57" i="2"/>
  <c r="J57" i="2" s="1"/>
  <c r="F704" i="2"/>
  <c r="F569" i="2"/>
  <c r="P172" i="2"/>
  <c r="F172" i="2"/>
  <c r="F199" i="2"/>
  <c r="J199" i="2" s="1"/>
  <c r="P145" i="2"/>
  <c r="F1621" i="2"/>
  <c r="F1136" i="2"/>
  <c r="F1569" i="2"/>
  <c r="F641" i="2"/>
  <c r="F1049" i="2"/>
  <c r="F1456" i="2"/>
  <c r="F3169" i="2"/>
  <c r="F1816" i="2"/>
  <c r="F678" i="2"/>
  <c r="F2943" i="2"/>
  <c r="F1447" i="2"/>
  <c r="F1692" i="2"/>
  <c r="F735" i="2"/>
  <c r="F384" i="2"/>
  <c r="J384" i="2" s="1"/>
  <c r="F976" i="2"/>
  <c r="K832" i="2"/>
  <c r="F1552" i="2"/>
  <c r="F3438" i="2"/>
  <c r="F3446" i="2"/>
  <c r="F3193" i="2"/>
  <c r="F2748" i="2"/>
  <c r="F3381" i="2"/>
  <c r="F3509" i="2"/>
  <c r="F540" i="2"/>
  <c r="J540" i="2" s="1"/>
  <c r="F814" i="2"/>
  <c r="J814" i="2" s="1"/>
  <c r="F750" i="2"/>
  <c r="F1852" i="2"/>
  <c r="F2696" i="2"/>
  <c r="F444" i="2"/>
  <c r="J444" i="2" s="1"/>
  <c r="F2973" i="2"/>
  <c r="F1797" i="2"/>
  <c r="F156" i="2"/>
  <c r="F2417" i="2"/>
  <c r="F1168" i="2"/>
  <c r="F1351" i="2"/>
  <c r="Q23" i="2"/>
  <c r="K1352" i="2"/>
  <c r="F1730" i="2"/>
  <c r="F1059" i="2"/>
  <c r="F991" i="2"/>
  <c r="G77" i="3"/>
  <c r="F1301" i="2"/>
  <c r="F509" i="2"/>
  <c r="F517" i="2"/>
  <c r="F1371" i="2"/>
  <c r="F497" i="2"/>
  <c r="G110" i="3"/>
  <c r="F3005" i="2"/>
  <c r="F1921" i="2"/>
  <c r="K1285" i="2"/>
  <c r="F1778" i="2"/>
  <c r="F3022" i="2"/>
  <c r="F866" i="2"/>
  <c r="F1204" i="2"/>
  <c r="F1120" i="2"/>
  <c r="K1245" i="2"/>
  <c r="F1244" i="2"/>
  <c r="F1865" i="2"/>
  <c r="F3062" i="2"/>
  <c r="F942" i="2"/>
  <c r="F1329" i="2"/>
  <c r="F1994" i="2"/>
  <c r="F1530" i="2"/>
  <c r="F1613" i="2"/>
  <c r="F2291" i="2"/>
  <c r="F1324" i="2"/>
  <c r="F877" i="2"/>
  <c r="F900" i="2"/>
  <c r="F890" i="2"/>
  <c r="F3089" i="2"/>
  <c r="F2370" i="2"/>
  <c r="F3497" i="2"/>
  <c r="F2815" i="2"/>
  <c r="F2155" i="2"/>
  <c r="F3389" i="2"/>
  <c r="F2446" i="2"/>
  <c r="F3247" i="2"/>
  <c r="F3363" i="2"/>
  <c r="F3115" i="2"/>
  <c r="F2733" i="2"/>
  <c r="F2512" i="2"/>
  <c r="F2220" i="2"/>
  <c r="F2423" i="2"/>
  <c r="F2631" i="2"/>
  <c r="F2356" i="2"/>
  <c r="F2301" i="2"/>
  <c r="F3538" i="2"/>
  <c r="F3139" i="2"/>
  <c r="F2314" i="2"/>
  <c r="F2249" i="2"/>
  <c r="F1422" i="2"/>
  <c r="F3153" i="2"/>
  <c r="F2873" i="2"/>
  <c r="F2900" i="2"/>
  <c r="F2674" i="2"/>
  <c r="F1708" i="2"/>
  <c r="F2297" i="2"/>
  <c r="F1741" i="2"/>
  <c r="F2385" i="2"/>
  <c r="F2714" i="2"/>
  <c r="F2458" i="2"/>
  <c r="F2778" i="2"/>
  <c r="F2467" i="2"/>
  <c r="F2097" i="2"/>
  <c r="F2161" i="2"/>
  <c r="F513" i="2"/>
  <c r="J1557" i="2"/>
  <c r="J956" i="2"/>
  <c r="J302" i="2"/>
  <c r="F165" i="2"/>
  <c r="J165" i="2" s="1"/>
  <c r="F3285" i="2"/>
  <c r="J273" i="2"/>
  <c r="F3323" i="2"/>
  <c r="F3199" i="2"/>
  <c r="O57" i="2"/>
  <c r="P156" i="2"/>
  <c r="P110" i="2"/>
  <c r="P181" i="2"/>
  <c r="B33" i="9" l="1"/>
  <c r="B34" i="9" s="1"/>
  <c r="B35" i="9" s="1"/>
  <c r="B36" i="9" s="1"/>
  <c r="B37" i="9" s="1"/>
  <c r="B38" i="9" s="1"/>
  <c r="B39" i="9" s="1"/>
  <c r="B40" i="9" s="1"/>
  <c r="B41" i="9" s="1"/>
  <c r="B42" i="9" s="1"/>
  <c r="B43" i="9" s="1"/>
  <c r="B44" i="9" s="1"/>
  <c r="B45" i="9" s="1"/>
  <c r="B46" i="9" s="1"/>
  <c r="B47" i="9" l="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l="1"/>
  <c r="B75" i="9"/>
  <c r="B76" i="9" s="1"/>
  <c r="B77" i="9" s="1"/>
  <c r="B78" i="9" s="1"/>
  <c r="B79" i="9" s="1"/>
  <c r="B80" i="9" s="1"/>
  <c r="B81" i="9" s="1"/>
  <c r="B82" i="9" s="1"/>
  <c r="B83" i="9" s="1"/>
  <c r="B84" i="9" s="1"/>
  <c r="B85" i="9" s="1"/>
  <c r="B86" i="9" s="1"/>
  <c r="B87" i="9" s="1"/>
  <c r="B88" i="9" s="1"/>
  <c r="B89" i="9" s="1"/>
  <c r="B90" i="9" s="1"/>
  <c r="B91" i="9" s="1"/>
  <c r="B9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2"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2"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2"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5"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20"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1"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1"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1"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4"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27"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7"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7"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27"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28"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28"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30"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1"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2"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35"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36"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9"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9"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59"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81"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2"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6"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7"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7"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4"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31"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96"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7"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G38"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<sst xmlns="http://schemas.openxmlformats.org/spreadsheetml/2006/main" count="32164" uniqueCount="12563">
  <si>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</si>
  <si>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</si>
  <si>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</si>
  <si>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</si>
  <si>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</si>
  <si>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</si>
  <si>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</si>
  <si>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</si>
  <si>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</si>
  <si>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</si>
  <si>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</si>
  <si>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</si>
  <si>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</si>
  <si>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</si>
  <si>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</si>
  <si>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</si>
  <si>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</si>
  <si>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</si>
  <si>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</si>
  <si>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</si>
  <si>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</si>
  <si>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</si>
  <si>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</si>
  <si>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</si>
  <si>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</si>
  <si>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</si>
  <si>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</si>
  <si>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</si>
  <si>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</si>
  <si>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</si>
  <si>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</si>
  <si>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</si>
  <si>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</si>
  <si>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</si>
  <si>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</si>
  <si>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</si>
  <si>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</si>
  <si>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</si>
  <si>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</si>
  <si>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</si>
  <si>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</si>
  <si>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</si>
  <si>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</si>
  <si>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</si>
  <si>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</si>
  <si>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</si>
  <si>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</si>
  <si>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</si>
  <si>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</si>
  <si>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</si>
  <si>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</si>
  <si>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</si>
  <si>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</si>
  <si>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</si>
  <si>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</si>
  <si>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</si>
  <si>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</si>
  <si>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</si>
  <si>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</si>
  <si>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</si>
  <si>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</si>
  <si>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</si>
  <si>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</si>
  <si>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</si>
  <si>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</si>
  <si>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</si>
  <si>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</si>
  <si>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</si>
  <si>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</si>
  <si>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</si>
  <si>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</si>
  <si>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</si>
  <si>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</si>
  <si>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</si>
  <si>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</si>
  <si>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</si>
  <si>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</si>
  <si>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</si>
  <si>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</si>
  <si>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</si>
  <si>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</si>
  <si>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</si>
  <si>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</si>
  <si>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</si>
  <si>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</si>
  <si>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</si>
  <si>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</si>
  <si>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</si>
  <si>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</si>
  <si>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</si>
  <si>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</si>
  <si>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</si>
  <si>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</si>
  <si>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</si>
  <si>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</si>
  <si>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</si>
  <si>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</si>
  <si>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</si>
  <si>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</si>
  <si>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</si>
  <si>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</si>
  <si>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</si>
  <si>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</si>
  <si>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</si>
  <si>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</si>
  <si>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</si>
  <si>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</si>
  <si>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</si>
  <si>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</si>
  <si>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</si>
  <si>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</si>
  <si>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</si>
  <si>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</si>
  <si>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</si>
  <si>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</si>
  <si>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</si>
  <si>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</si>
  <si>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</si>
  <si>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</si>
  <si>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</si>
  <si>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</si>
  <si>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</si>
  <si>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</si>
  <si>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</si>
  <si>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</si>
  <si>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</si>
  <si>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</si>
  <si>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</si>
  <si>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</si>
  <si>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</si>
  <si>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</si>
  <si>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</si>
  <si>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</si>
  <si>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</si>
  <si>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</si>
  <si>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</si>
  <si>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</si>
  <si>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</si>
  <si>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</si>
  <si>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</si>
  <si>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</si>
  <si>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</si>
  <si>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</si>
  <si>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</si>
  <si>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</si>
  <si>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</si>
  <si>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</si>
  <si>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</si>
  <si>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</si>
  <si>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</si>
  <si>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</si>
  <si>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</si>
  <si>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</si>
  <si>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</si>
  <si>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</si>
  <si>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</si>
  <si>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</si>
  <si>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</si>
  <si>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</si>
  <si>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</si>
  <si>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</si>
  <si>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</si>
  <si>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</si>
  <si>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</si>
  <si>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</si>
  <si>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</si>
  <si>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</si>
  <si>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</si>
  <si>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</si>
  <si>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</si>
  <si>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</si>
  <si>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</si>
  <si>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</si>
  <si>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</si>
  <si>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</si>
  <si>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</si>
  <si>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</si>
  <si>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</si>
  <si>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</si>
  <si>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</si>
  <si>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</si>
  <si>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</si>
  <si>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</si>
  <si>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</si>
  <si>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</si>
  <si>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</si>
  <si>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</si>
  <si>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</si>
  <si>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</si>
  <si>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</si>
  <si>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</si>
  <si>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</si>
  <si>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</si>
  <si>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</si>
  <si>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</si>
  <si>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</si>
  <si>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</si>
  <si>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</si>
  <si>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</si>
  <si>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</si>
  <si>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</si>
  <si>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</si>
  <si>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</si>
  <si>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</si>
  <si>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</si>
  <si>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</si>
  <si>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</si>
  <si>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</si>
  <si>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</si>
  <si>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</si>
  <si>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</si>
  <si>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</si>
  <si>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</si>
  <si>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</si>
  <si>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</si>
  <si>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</si>
  <si>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</si>
  <si>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</si>
  <si>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</si>
  <si>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</si>
  <si>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</si>
  <si>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</si>
  <si>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</si>
  <si>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</si>
  <si>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</si>
  <si>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</si>
  <si>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</si>
  <si>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</si>
  <si>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</si>
  <si>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</si>
  <si>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</si>
  <si>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</si>
  <si>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</si>
  <si>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</si>
  <si>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</si>
  <si>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</si>
  <si>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</si>
  <si>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</si>
  <si>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</si>
  <si>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</si>
  <si>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</si>
  <si>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</si>
  <si>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</si>
  <si>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</si>
  <si>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</si>
  <si>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</si>
  <si>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</si>
  <si>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</si>
  <si>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</si>
  <si>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</si>
  <si>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</si>
  <si>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</si>
  <si>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</si>
  <si>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</si>
  <si>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</si>
  <si>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</si>
  <si>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</si>
  <si>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</si>
  <si>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</si>
  <si>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</si>
  <si>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</si>
  <si>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</si>
  <si>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</si>
  <si>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</si>
  <si>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</si>
  <si>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</si>
  <si>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</si>
  <si>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</si>
  <si>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</si>
  <si>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</si>
  <si>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</si>
  <si>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</si>
  <si>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</si>
  <si>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</si>
  <si>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</si>
  <si>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</si>
  <si>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</si>
  <si>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</si>
  <si>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</si>
  <si>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</si>
  <si>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</si>
  <si>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</si>
  <si>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</si>
  <si>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</si>
  <si>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</si>
  <si>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</si>
  <si>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</si>
  <si>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</si>
  <si>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</si>
  <si>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</si>
  <si>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</si>
  <si>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</si>
  <si>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</si>
  <si>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</si>
  <si>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</si>
  <si>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</si>
  <si>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</si>
  <si>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</si>
  <si>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</si>
  <si>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</si>
  <si>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</si>
  <si>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</si>
  <si>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</si>
  <si>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</si>
  <si>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</si>
  <si>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</si>
  <si>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</si>
  <si>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</si>
  <si>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</si>
  <si>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</si>
  <si>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</si>
  <si>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</si>
  <si>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</si>
  <si>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</si>
  <si>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</si>
  <si>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</si>
  <si>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</si>
  <si>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</si>
  <si>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</si>
  <si>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</si>
  <si>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</si>
  <si>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</si>
  <si>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</si>
  <si>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</si>
  <si>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</si>
  <si>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</si>
  <si>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</si>
  <si>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</si>
  <si>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</si>
  <si>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</si>
  <si>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</si>
  <si>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</si>
  <si>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</si>
  <si>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</si>
  <si>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</si>
  <si>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</si>
  <si>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</si>
  <si>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</si>
  <si>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</si>
  <si>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</si>
  <si>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</si>
  <si>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</si>
  <si>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</si>
  <si>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</si>
  <si>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</si>
  <si>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</si>
  <si>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</si>
  <si>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</si>
  <si>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</si>
  <si>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</si>
  <si>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</si>
  <si>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</si>
  <si>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</si>
  <si>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</si>
  <si>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</si>
  <si>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</si>
  <si>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</si>
  <si>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</si>
  <si>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</si>
  <si>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</si>
  <si>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</si>
  <si>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</si>
  <si>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</si>
  <si>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</si>
  <si>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</si>
  <si>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</si>
  <si>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</si>
  <si>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</si>
  <si>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</si>
  <si>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</si>
  <si>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</si>
  <si>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</si>
  <si>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</si>
  <si>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</si>
  <si>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</si>
  <si>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</si>
  <si>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</si>
  <si>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</si>
  <si>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</si>
  <si>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</si>
  <si>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</si>
  <si>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</si>
  <si>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</si>
  <si>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</si>
  <si>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</si>
  <si>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</si>
  <si>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</si>
  <si>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</si>
  <si>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</si>
  <si>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</si>
  <si>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</si>
  <si>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</si>
  <si>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</si>
  <si>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</si>
  <si>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</si>
  <si>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</si>
  <si>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</si>
  <si>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</si>
  <si>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</si>
  <si>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</si>
  <si>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</si>
  <si>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</si>
  <si>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</si>
  <si>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</si>
  <si>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</si>
  <si>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</si>
  <si>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</si>
  <si>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</si>
  <si>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</si>
  <si>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</si>
  <si>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</si>
  <si>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</si>
  <si>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</si>
  <si>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</si>
  <si>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</si>
  <si>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</si>
  <si>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</si>
  <si>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</si>
  <si>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</si>
  <si>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</si>
  <si>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</si>
  <si>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</si>
  <si>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</si>
  <si>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</si>
  <si>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</si>
  <si>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</si>
  <si>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</si>
  <si>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</si>
  <si>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</si>
  <si>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</si>
  <si>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</si>
  <si>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</si>
  <si>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</si>
  <si>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</si>
  <si>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</si>
  <si>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</si>
  <si>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</si>
  <si>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</si>
  <si>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</si>
  <si>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</si>
  <si>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</si>
  <si>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</si>
  <si>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</si>
  <si>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</si>
  <si>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</si>
  <si>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</si>
  <si>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</si>
  <si>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</si>
  <si>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</si>
  <si>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</si>
  <si>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</si>
  <si>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</si>
  <si>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</si>
  <si>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</si>
  <si>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</si>
  <si>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</si>
  <si>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</si>
  <si>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</si>
  <si>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</si>
  <si>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</si>
  <si>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</si>
  <si>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</si>
  <si>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</si>
  <si>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</si>
  <si>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</si>
  <si>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</si>
  <si>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</si>
  <si>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</si>
  <si>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</si>
  <si>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</si>
  <si>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</si>
  <si>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</si>
  <si>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</si>
  <si>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</si>
  <si>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</si>
  <si>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</si>
  <si>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</si>
  <si>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</si>
  <si>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</si>
  <si>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</si>
  <si>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</si>
  <si>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</si>
  <si>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</si>
  <si>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</si>
  <si>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</si>
  <si>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</si>
  <si>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</si>
  <si>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</si>
  <si>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</si>
  <si>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</si>
  <si>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</si>
  <si>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</si>
  <si>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</si>
  <si>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</si>
  <si>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</si>
  <si>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</si>
  <si>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</si>
  <si>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</si>
  <si>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</si>
  <si>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</si>
  <si>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</si>
  <si>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</si>
  <si>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</si>
  <si>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</si>
  <si>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</si>
  <si>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</si>
  <si>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</si>
  <si>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</si>
  <si>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</si>
  <si>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</si>
  <si>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</si>
  <si>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</si>
  <si>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</si>
  <si>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</si>
  <si>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</si>
  <si>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</si>
  <si>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</si>
  <si>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</si>
  <si>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</si>
  <si>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</si>
  <si>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</si>
  <si>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</si>
  <si>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</si>
  <si>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</si>
  <si>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</si>
  <si>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</si>
  <si>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</si>
  <si>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</si>
  <si>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</si>
  <si>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</si>
  <si>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</si>
  <si>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</si>
  <si>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</si>
  <si>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</si>
  <si>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</si>
  <si>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</si>
  <si>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</si>
  <si>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</si>
  <si>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</si>
  <si>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</si>
  <si>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</si>
  <si>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</si>
  <si>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</si>
  <si>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</si>
  <si>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</si>
  <si>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</si>
  <si>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</si>
  <si>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</si>
  <si>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</si>
  <si>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</si>
  <si>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</si>
  <si>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</si>
  <si>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</si>
  <si>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</si>
  <si>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</si>
  <si>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</si>
  <si>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</si>
  <si>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</si>
  <si>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</si>
  <si>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</si>
  <si>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</si>
  <si>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</si>
  <si>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</si>
  <si>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</si>
  <si>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</si>
  <si>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</si>
  <si>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</si>
  <si>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</si>
  <si>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</si>
  <si>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</si>
  <si>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</si>
  <si>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</si>
  <si>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</si>
  <si>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</si>
  <si>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</si>
  <si>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</si>
  <si>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</si>
  <si>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</si>
  <si>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</si>
  <si>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</si>
  <si>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</si>
  <si>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</si>
  <si>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</si>
  <si>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</si>
  <si>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</si>
  <si>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</si>
  <si>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</si>
  <si>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</si>
  <si>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</si>
  <si>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</si>
  <si>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</si>
  <si>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</si>
  <si>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</si>
  <si>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</si>
  <si>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</si>
  <si>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</si>
  <si>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</si>
  <si>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</si>
  <si>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</si>
  <si>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</si>
  <si>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</si>
  <si>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</si>
  <si>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</si>
  <si>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</si>
  <si>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</si>
  <si>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</si>
  <si>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</si>
  <si>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</si>
  <si>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</si>
  <si>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</si>
  <si>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</si>
  <si>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</si>
  <si>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</si>
  <si>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</si>
  <si>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</si>
  <si>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</si>
  <si>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</si>
  <si>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</si>
  <si>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</si>
  <si>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</si>
  <si>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</si>
  <si>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</si>
  <si>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</si>
  <si>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</si>
  <si>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</si>
  <si>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</si>
  <si>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</si>
  <si>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</si>
  <si>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</si>
  <si>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</si>
  <si>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</si>
  <si>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</si>
  <si>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</si>
  <si>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</si>
  <si>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</si>
  <si>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</si>
  <si>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</si>
  <si>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</si>
  <si>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</si>
  <si>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</si>
  <si>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</si>
  <si>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</si>
  <si>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</si>
  <si>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</si>
  <si>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</si>
  <si>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</si>
  <si>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</si>
  <si>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</si>
  <si>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</si>
  <si>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</si>
  <si>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</si>
  <si>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</si>
  <si>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</si>
  <si>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</si>
  <si>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</si>
  <si>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</si>
  <si>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</si>
  <si>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</si>
  <si>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</si>
  <si>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</si>
  <si>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</si>
  <si>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</si>
  <si>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</si>
  <si>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</si>
  <si>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</si>
  <si>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</si>
  <si>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</si>
  <si>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</si>
  <si>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</si>
  <si>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</si>
  <si>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</si>
  <si>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</si>
  <si>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</si>
  <si>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</si>
  <si>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</si>
  <si>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</si>
  <si>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</si>
  <si>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</si>
  <si>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</si>
  <si>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</si>
  <si>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</si>
  <si>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</si>
  <si>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</si>
  <si>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</si>
  <si>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</si>
  <si>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</si>
  <si>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</si>
  <si>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</si>
  <si>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</si>
  <si>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</si>
  <si>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</si>
  <si>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</si>
  <si>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</si>
  <si>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</si>
  <si>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</si>
  <si>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</si>
  <si>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</si>
  <si>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</si>
  <si>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</si>
  <si>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</si>
  <si>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</si>
  <si>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</si>
  <si>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</si>
  <si>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</si>
  <si>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</si>
  <si>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</si>
  <si>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</si>
  <si>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</si>
  <si>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</si>
  <si>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</si>
  <si>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</si>
  <si>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</si>
  <si>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</si>
  <si>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</si>
  <si>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</si>
  <si>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</si>
  <si>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</si>
  <si>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</si>
  <si>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</si>
  <si>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</si>
  <si>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</si>
  <si>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</si>
  <si>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</si>
  <si>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</si>
  <si>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</si>
  <si>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</si>
  <si>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</si>
  <si>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</si>
  <si>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</si>
  <si>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</si>
  <si>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</si>
  <si>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</si>
  <si>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</si>
  <si>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</si>
  <si>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</si>
  <si>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</si>
  <si>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</si>
  <si>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</si>
  <si>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</si>
  <si>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</si>
  <si>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</si>
  <si>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</si>
  <si>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</si>
  <si>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</si>
  <si>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</si>
  <si>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</si>
  <si>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</si>
  <si>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</si>
  <si>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</si>
  <si>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</si>
  <si>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</si>
  <si>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</si>
  <si>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</si>
  <si>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</si>
  <si>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</si>
  <si>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</si>
  <si>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</si>
  <si>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</si>
  <si>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</si>
  <si>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</si>
  <si>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</si>
  <si>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</si>
  <si>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</si>
  <si>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</si>
  <si>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</si>
  <si>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</si>
  <si>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</si>
  <si>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</si>
  <si>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</si>
  <si>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</si>
  <si>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</si>
  <si>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</si>
  <si>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</si>
  <si>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</si>
  <si>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</si>
  <si>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</si>
  <si>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</si>
  <si>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</si>
  <si>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</si>
  <si>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</si>
  <si>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</si>
  <si>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</si>
  <si>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</si>
  <si>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</si>
  <si>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</si>
  <si>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</si>
  <si>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</si>
  <si>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</si>
  <si>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</si>
  <si>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</si>
  <si>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</si>
  <si>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</si>
  <si>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</si>
  <si>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</si>
  <si>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</si>
  <si>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</si>
  <si>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</si>
  <si>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</si>
  <si>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</si>
  <si>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</si>
  <si>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</si>
  <si>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</si>
  <si>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</si>
  <si>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</si>
  <si>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</si>
  <si>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</si>
  <si>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</si>
  <si>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</si>
  <si>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</si>
  <si>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</si>
  <si>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</si>
  <si>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</si>
  <si>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</si>
  <si>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</si>
  <si>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</si>
  <si>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</si>
  <si>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</si>
  <si>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</si>
  <si>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</si>
  <si>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</si>
  <si>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</si>
  <si>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</si>
  <si>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</si>
  <si>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</si>
  <si>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</si>
  <si>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</si>
  <si>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</si>
  <si>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</si>
  <si>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</si>
  <si>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</si>
  <si>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</si>
  <si>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</si>
  <si>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</si>
  <si>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</si>
  <si>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</si>
  <si>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</si>
  <si>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</si>
  <si>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</si>
  <si>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</si>
  <si>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</si>
  <si>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</si>
  <si>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</si>
  <si>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</si>
  <si>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</si>
  <si>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</si>
  <si>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</si>
  <si>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</si>
  <si>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</si>
  <si>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</si>
  <si>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</si>
  <si>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</si>
  <si>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</si>
  <si>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</si>
  <si>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</si>
  <si>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</si>
  <si>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</si>
  <si>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</si>
  <si>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</si>
  <si>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</si>
  <si>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</si>
  <si>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</si>
  <si>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</si>
  <si>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</si>
  <si>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</si>
  <si>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</si>
  <si>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</si>
  <si>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</si>
  <si>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</si>
  <si>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</si>
  <si>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</si>
  <si>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</si>
  <si>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</si>
  <si>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</si>
  <si>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</si>
  <si>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</si>
  <si>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</si>
  <si>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</si>
  <si>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</si>
  <si>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</si>
  <si>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</si>
  <si>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</si>
  <si>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</si>
  <si>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</si>
  <si>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</si>
  <si>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</si>
  <si>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</si>
  <si>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</si>
  <si>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</si>
  <si>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</si>
  <si>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</si>
  <si>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</si>
  <si>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</si>
  <si>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</si>
  <si>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</si>
  <si>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</si>
  <si>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</si>
  <si>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</si>
  <si>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</si>
  <si>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</si>
  <si>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</si>
  <si>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</si>
  <si>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</si>
  <si>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</si>
  <si>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</si>
  <si>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</si>
  <si>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</si>
  <si>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</si>
  <si>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</si>
  <si>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</si>
  <si>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</si>
  <si>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</si>
  <si>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</si>
  <si>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</si>
  <si>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</si>
  <si>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</si>
  <si>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</si>
  <si>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</si>
  <si>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</si>
  <si>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</si>
  <si>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</si>
  <si>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</si>
  <si>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</si>
  <si>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</si>
  <si>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</si>
  <si>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</si>
  <si>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</si>
  <si>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</si>
  <si>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</si>
  <si>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</si>
  <si>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</si>
  <si>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</si>
  <si>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</si>
  <si>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</si>
  <si>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</si>
  <si>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</si>
  <si>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</si>
  <si>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</si>
  <si>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</si>
  <si>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</si>
  <si>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</si>
  <si>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</si>
  <si>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</si>
  <si>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</si>
  <si>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</si>
  <si>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</si>
  <si>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</si>
  <si>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</si>
  <si>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</si>
  <si>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</si>
  <si>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</si>
  <si>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</si>
  <si>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</si>
  <si>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</si>
  <si>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</si>
  <si>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</si>
  <si>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</si>
  <si>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</si>
  <si>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</si>
  <si>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</si>
  <si>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</si>
  <si>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</si>
  <si>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</si>
  <si>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</si>
  <si>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</si>
  <si>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</si>
  <si>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</si>
  <si>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</si>
  <si>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</si>
  <si>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</si>
  <si>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</si>
  <si>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</si>
  <si>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</si>
  <si>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</si>
  <si>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</si>
  <si>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</si>
  <si>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</si>
  <si>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</si>
  <si>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</si>
  <si>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</si>
  <si>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</si>
  <si>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</si>
  <si>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</si>
  <si>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</si>
  <si>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</si>
  <si>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</si>
  <si>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</si>
  <si>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</si>
  <si>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</si>
  <si>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</si>
  <si>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</si>
  <si>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</si>
  <si>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</si>
  <si>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</si>
  <si>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</si>
  <si>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</si>
  <si>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</si>
  <si>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</si>
  <si>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</si>
  <si>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</si>
  <si>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</si>
  <si>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</si>
  <si>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</si>
  <si>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</si>
  <si>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</si>
  <si>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</si>
  <si>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</si>
  <si>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</si>
  <si>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</si>
  <si>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</si>
  <si>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</si>
  <si>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</si>
  <si>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</si>
  <si>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</si>
  <si>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</si>
  <si>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</si>
  <si>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</si>
  <si>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</si>
  <si>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</si>
  <si>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</si>
  <si>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</si>
  <si>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</si>
  <si>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</si>
  <si>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</si>
  <si>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</si>
  <si>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</si>
  <si>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</si>
  <si>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</si>
  <si>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</si>
  <si>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</si>
  <si>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</si>
  <si>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</si>
  <si>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</si>
  <si>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</si>
  <si>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</si>
  <si>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</si>
  <si>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</si>
  <si>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</si>
  <si>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</si>
  <si>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</si>
  <si>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</si>
  <si>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</si>
  <si>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</si>
  <si>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</si>
  <si>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</si>
  <si>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</si>
  <si>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</si>
  <si>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</si>
  <si>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</si>
  <si>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</si>
  <si>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</si>
  <si>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</si>
  <si>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</si>
  <si>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</si>
  <si>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</si>
  <si>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</si>
  <si>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</si>
  <si>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</si>
  <si>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</si>
  <si>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</si>
  <si>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</si>
  <si>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</si>
  <si>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</si>
  <si>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</si>
  <si>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</si>
  <si>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</si>
  <si>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</si>
  <si>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</si>
  <si>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</si>
  <si>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</si>
  <si>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</si>
  <si>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</si>
  <si>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</si>
  <si>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</si>
  <si>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</si>
  <si>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</si>
  <si>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</si>
  <si>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</si>
  <si>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</si>
  <si>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</si>
  <si>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</si>
  <si>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</si>
  <si>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</si>
  <si>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</si>
  <si>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</si>
  <si>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</si>
  <si>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</si>
  <si>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</si>
  <si>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</si>
  <si>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</si>
  <si>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</si>
  <si>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</si>
  <si>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</si>
  <si>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</si>
  <si>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</si>
  <si>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</si>
  <si>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</si>
  <si>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</si>
  <si>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</si>
  <si>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</si>
  <si>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</si>
  <si>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</si>
  <si>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</si>
  <si>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</si>
  <si>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</si>
  <si>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</si>
  <si>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</si>
  <si>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</si>
  <si>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</si>
  <si>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</si>
  <si>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</si>
  <si>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</si>
  <si>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</si>
  <si>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</si>
  <si>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</si>
  <si>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</si>
  <si>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</si>
  <si>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</si>
  <si>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</si>
  <si>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</si>
  <si>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</si>
  <si>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</si>
  <si>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</si>
  <si>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</si>
  <si>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</si>
  <si>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</si>
  <si>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</si>
  <si>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</si>
  <si>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</si>
  <si>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</si>
  <si>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</si>
  <si>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</si>
  <si>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</si>
  <si>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</si>
  <si>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</si>
  <si>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</si>
  <si>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</si>
  <si>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</si>
  <si>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</si>
  <si>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</si>
  <si>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</si>
  <si>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</si>
  <si>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</si>
  <si>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</si>
  <si>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</si>
  <si>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</si>
  <si>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</si>
  <si>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</si>
  <si>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</si>
  <si>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</si>
  <si>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</si>
  <si>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</si>
  <si>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</si>
  <si>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</si>
  <si>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</si>
  <si>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</si>
  <si>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</si>
  <si>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</si>
  <si>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</si>
  <si>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</si>
  <si>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</si>
  <si>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</si>
  <si>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</si>
  <si>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</si>
  <si>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</si>
  <si>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</si>
  <si>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</si>
  <si>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</si>
  <si>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</si>
  <si>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</si>
  <si>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</si>
  <si>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</si>
  <si>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</si>
  <si>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</si>
  <si>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</si>
  <si>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</si>
  <si>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</si>
  <si>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</si>
  <si>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</si>
  <si>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</si>
  <si>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</si>
  <si>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</si>
  <si>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</si>
  <si>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</si>
  <si>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</si>
  <si>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</si>
  <si>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</si>
  <si>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</si>
  <si>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</si>
  <si>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</si>
  <si>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</si>
  <si>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</si>
  <si>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</si>
  <si>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</si>
  <si>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</si>
  <si>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</si>
  <si>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</si>
  <si>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</si>
  <si>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</si>
  <si>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</si>
  <si>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</si>
  <si>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</si>
  <si>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</si>
  <si>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</si>
  <si>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</si>
  <si>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</si>
  <si>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</si>
  <si>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</si>
  <si>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</si>
  <si>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</si>
  <si>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</si>
  <si>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</si>
  <si>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</si>
  <si>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</si>
  <si>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</si>
  <si>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</si>
  <si>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</si>
  <si>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</si>
  <si>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</si>
  <si>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</si>
  <si>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</si>
  <si>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</si>
  <si>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</si>
  <si>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</si>
  <si>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</si>
  <si>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</si>
  <si>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</si>
  <si>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</si>
  <si>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</si>
  <si>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</si>
  <si>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</si>
  <si>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</si>
  <si>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</si>
  <si>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</si>
  <si>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</si>
  <si>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</si>
  <si>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</si>
  <si>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</si>
  <si>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</si>
  <si>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</si>
  <si>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</si>
  <si>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</si>
  <si>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</si>
  <si>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</si>
  <si>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</si>
  <si>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</si>
  <si>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</si>
  <si>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</si>
  <si>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</si>
  <si>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</si>
  <si>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</si>
  <si>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</si>
  <si>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</si>
  <si>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</si>
  <si>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</si>
  <si>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</si>
  <si>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</si>
  <si>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</si>
  <si>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</si>
  <si>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</si>
  <si>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</si>
  <si>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</si>
  <si>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</si>
  <si>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</si>
  <si>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</si>
  <si>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</si>
  <si>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</si>
  <si>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</si>
  <si>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</si>
  <si>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</si>
  <si>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</si>
  <si>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</si>
  <si>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</si>
  <si>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</si>
  <si>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</si>
  <si>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</si>
  <si>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</si>
  <si>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</si>
  <si>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</si>
  <si>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</si>
  <si>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</si>
  <si>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</si>
  <si>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</si>
  <si>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</si>
  <si>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</si>
  <si>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</si>
  <si>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</si>
  <si>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</si>
  <si>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</si>
  <si>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</si>
  <si>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</si>
  <si>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</si>
  <si>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</si>
  <si>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</si>
  <si>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</si>
  <si>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</si>
  <si>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</si>
  <si>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</si>
  <si>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</si>
  <si>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</si>
  <si>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</si>
  <si>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</si>
  <si>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</si>
  <si>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</si>
  <si>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</si>
  <si>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</si>
  <si>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</si>
  <si>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</si>
  <si>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</si>
  <si>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</si>
  <si>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</si>
  <si>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</si>
  <si>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</si>
  <si>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</si>
  <si>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</si>
  <si>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</si>
  <si>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</si>
  <si>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</si>
  <si>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</si>
  <si>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</si>
  <si>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</si>
  <si>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</si>
  <si>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</si>
  <si>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</si>
  <si>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</si>
  <si>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</si>
  <si>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</si>
  <si>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</si>
  <si>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</si>
  <si>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</si>
  <si>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</si>
  <si>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</si>
  <si>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</si>
  <si>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</si>
  <si>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</si>
  <si>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</si>
  <si>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</si>
  <si>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</si>
  <si>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</si>
  <si>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</si>
  <si>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</si>
  <si>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</si>
  <si>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</si>
  <si>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</si>
  <si>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</si>
  <si>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</si>
  <si>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</si>
  <si>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</si>
  <si>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</si>
  <si>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</si>
  <si>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</si>
  <si>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</si>
  <si>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</si>
  <si>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</si>
  <si>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</si>
  <si>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</si>
  <si>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</si>
  <si>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</si>
  <si>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</si>
  <si>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</si>
  <si>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</si>
  <si>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</si>
  <si>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</si>
  <si>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</si>
  <si>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</si>
  <si>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</si>
  <si>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</si>
  <si>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</si>
  <si>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</si>
  <si>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</si>
  <si>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</si>
  <si>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</si>
  <si>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</si>
  <si>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</si>
  <si>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</si>
  <si>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</si>
  <si>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</si>
  <si>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</si>
  <si>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</si>
  <si>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</si>
  <si>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</si>
  <si>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</si>
  <si>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</si>
  <si>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</si>
  <si>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</si>
  <si>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</si>
  <si>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</si>
  <si>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</si>
  <si>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</si>
  <si>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</si>
  <si>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</si>
  <si>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</si>
  <si>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</si>
  <si>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</si>
  <si>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</si>
  <si>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</si>
  <si>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</si>
  <si>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</si>
  <si>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</si>
  <si>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</si>
  <si>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</si>
  <si>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</si>
  <si>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</si>
  <si>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</si>
  <si>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</si>
  <si>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</si>
  <si>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</si>
  <si>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</si>
  <si>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</si>
  <si>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</si>
  <si>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</si>
  <si>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</si>
  <si>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</si>
  <si>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</si>
  <si>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</si>
  <si>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</si>
  <si>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</si>
  <si>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</si>
  <si>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</si>
  <si>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</si>
  <si>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</si>
  <si>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</si>
  <si>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</si>
  <si>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</si>
  <si>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</si>
  <si>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</si>
  <si>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</si>
  <si>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</si>
  <si>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</si>
  <si>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</si>
  <si>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</si>
  <si>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</si>
  <si>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</si>
  <si>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</si>
  <si>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</si>
  <si>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</si>
  <si>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</si>
  <si>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</si>
  <si>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</si>
  <si>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</si>
  <si>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</si>
  <si>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</si>
  <si>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</si>
  <si>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</si>
  <si>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</si>
  <si>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</si>
  <si>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</si>
  <si>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</si>
  <si>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</si>
  <si>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</si>
  <si>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</si>
  <si>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</si>
  <si>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</si>
  <si>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</si>
  <si>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</si>
  <si>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</si>
  <si>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</si>
  <si>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</si>
  <si>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</si>
  <si>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</si>
  <si>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</si>
  <si>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</si>
  <si>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</si>
  <si>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</si>
  <si>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</si>
  <si>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</si>
  <si>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</si>
  <si>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</si>
  <si>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</si>
  <si>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</si>
  <si>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</si>
  <si>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</si>
  <si>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</si>
  <si>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</si>
  <si>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</si>
  <si>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</si>
  <si>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</si>
  <si>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</si>
  <si>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</si>
  <si>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</si>
  <si>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</si>
  <si>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</si>
  <si>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</si>
  <si>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</si>
  <si>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</si>
  <si>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</si>
  <si>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</si>
  <si>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</si>
  <si>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</si>
  <si>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</si>
  <si>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</si>
  <si>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</si>
  <si>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</si>
  <si>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</si>
  <si>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</si>
  <si>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</si>
  <si>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</si>
  <si>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</si>
  <si>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</si>
  <si>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</si>
  <si>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</si>
  <si>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</si>
  <si>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</si>
  <si>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</si>
  <si>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</si>
  <si>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</si>
  <si>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</si>
  <si>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</si>
  <si>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</si>
  <si>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</si>
  <si>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</si>
  <si>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</si>
  <si>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</si>
  <si>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</si>
  <si>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</si>
  <si>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</si>
  <si>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</si>
  <si>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</si>
  <si>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</si>
  <si>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</si>
  <si>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</si>
  <si>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</si>
  <si>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</si>
  <si>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</si>
  <si>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</si>
  <si>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</si>
  <si>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</si>
  <si>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</si>
  <si>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</si>
  <si>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</si>
  <si>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</si>
  <si>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</si>
  <si>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</si>
  <si>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</si>
  <si>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</si>
  <si>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</si>
  <si>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</si>
  <si>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</si>
  <si>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</si>
  <si>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</si>
  <si>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</si>
  <si>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</si>
  <si>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</si>
  <si>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</si>
  <si>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</si>
  <si>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</si>
  <si>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</si>
  <si>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</si>
  <si>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</si>
  <si>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</si>
  <si>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</si>
  <si>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</si>
  <si>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</si>
  <si>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</si>
  <si>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</si>
  <si>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</si>
  <si>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</si>
  <si>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</si>
  <si>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</si>
  <si>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</si>
  <si>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</si>
  <si>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</si>
  <si>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</si>
  <si>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</si>
  <si>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</si>
  <si>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</si>
  <si>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</si>
  <si>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</si>
  <si>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</si>
  <si>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</si>
  <si>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</si>
  <si>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</si>
  <si>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</si>
  <si>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</si>
  <si>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</si>
  <si>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</si>
  <si>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</si>
  <si>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</si>
  <si>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</si>
  <si>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</si>
  <si>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</si>
  <si>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</si>
  <si>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</si>
  <si>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</si>
  <si>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</si>
  <si>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</si>
  <si>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</si>
  <si>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</si>
  <si>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</si>
  <si>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</si>
  <si>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</si>
  <si>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</si>
  <si>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</si>
  <si>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</si>
  <si>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</si>
  <si>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</si>
  <si>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</si>
  <si>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</si>
  <si>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</si>
  <si>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</si>
  <si>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</si>
  <si>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</si>
  <si>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</si>
  <si>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</si>
  <si>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</si>
  <si>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</si>
  <si>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</si>
  <si>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</si>
  <si>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</si>
  <si>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</si>
  <si>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</si>
  <si>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</si>
  <si>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</si>
  <si>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</si>
  <si>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</si>
  <si>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</si>
  <si>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</si>
  <si>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</si>
  <si>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</si>
  <si>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</si>
  <si>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</si>
  <si>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</si>
  <si>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</si>
  <si>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</si>
  <si>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</si>
  <si>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</si>
  <si>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</si>
  <si>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</si>
  <si>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</si>
  <si>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</si>
  <si>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</si>
  <si>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</si>
  <si>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</si>
  <si>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</si>
  <si>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</si>
  <si>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</si>
  <si>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</si>
  <si>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</si>
  <si>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</si>
  <si>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</si>
  <si>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</si>
  <si>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</si>
  <si>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</si>
  <si>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</si>
  <si>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</si>
  <si>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</si>
  <si>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</si>
  <si>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</si>
  <si>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</si>
  <si>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</si>
  <si>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</si>
  <si>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</si>
  <si>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</si>
  <si>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</si>
  <si>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</si>
  <si>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</si>
  <si>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</si>
  <si>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</si>
  <si>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</si>
  <si>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</si>
  <si>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</si>
  <si>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</si>
  <si>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</si>
  <si>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</si>
  <si>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</si>
  <si>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</si>
  <si>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</si>
  <si>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</si>
  <si>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</si>
  <si>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</si>
  <si>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</si>
  <si>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</si>
  <si>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</si>
  <si>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</si>
  <si>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</si>
  <si>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</si>
  <si>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</si>
  <si>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</si>
  <si>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</si>
  <si>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</si>
  <si>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</si>
  <si>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</si>
  <si>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</si>
  <si>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</si>
  <si>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</si>
  <si>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</si>
  <si>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</si>
  <si>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</si>
  <si>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</si>
  <si>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</si>
  <si>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</si>
  <si>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</si>
  <si>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</si>
  <si>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</si>
  <si>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</si>
  <si>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</si>
  <si>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</si>
  <si>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</si>
  <si>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</si>
  <si>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</si>
  <si>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</si>
  <si>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</si>
  <si>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</si>
  <si>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</si>
  <si>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</si>
  <si>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</si>
  <si>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</si>
  <si>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</si>
  <si>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</si>
  <si>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</si>
  <si>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</si>
  <si>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</si>
  <si>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</si>
  <si>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</si>
  <si>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</si>
  <si>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</si>
  <si>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</si>
  <si>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</si>
  <si>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</si>
  <si>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</si>
  <si>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</si>
  <si>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</si>
  <si>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</si>
  <si>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</si>
  <si>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</si>
  <si>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</si>
  <si>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</si>
  <si>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</si>
  <si>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</si>
  <si>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</si>
  <si>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</si>
  <si>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</si>
  <si>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</si>
  <si>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</si>
  <si>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</si>
  <si>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</si>
  <si>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</si>
  <si>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</si>
  <si>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</si>
  <si>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</si>
  <si>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</si>
  <si>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</si>
  <si>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</si>
  <si>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</si>
  <si>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</si>
  <si>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</si>
  <si>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</si>
  <si>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</si>
  <si>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</si>
  <si>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</si>
  <si>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</si>
  <si>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</si>
  <si>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</si>
  <si>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</si>
  <si>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</si>
  <si>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</si>
  <si>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</si>
  <si>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</si>
  <si>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</si>
  <si>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</si>
  <si>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</si>
  <si>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</si>
  <si>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</si>
  <si>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</si>
  <si>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</si>
  <si>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</si>
  <si>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</si>
  <si>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</si>
  <si>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</si>
  <si>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</si>
  <si>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</si>
  <si>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</si>
  <si>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</si>
  <si>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</si>
  <si>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</si>
  <si>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</si>
  <si>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</si>
  <si>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</si>
  <si>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</si>
  <si>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</si>
  <si>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</si>
  <si>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</si>
  <si>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</si>
  <si>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</si>
  <si>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</si>
  <si>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</si>
  <si>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</si>
  <si>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</si>
  <si>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</si>
  <si>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</si>
  <si>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</si>
  <si>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</si>
  <si>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</si>
  <si>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</si>
  <si>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</si>
  <si>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</si>
  <si>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</si>
  <si>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</si>
  <si>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</si>
  <si>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</si>
  <si>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</si>
  <si>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</si>
  <si>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</si>
  <si>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</si>
  <si>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</si>
  <si>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</si>
  <si>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</si>
  <si>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</si>
  <si>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</si>
  <si>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</si>
  <si>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</si>
  <si>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</si>
  <si>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</si>
  <si>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</si>
  <si>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</si>
  <si>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</si>
  <si>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</si>
  <si>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</si>
  <si>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</si>
  <si>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</si>
  <si>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</si>
  <si>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</si>
  <si>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</si>
  <si>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</si>
  <si>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</si>
  <si>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</si>
  <si>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</si>
  <si>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</si>
  <si>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</si>
  <si>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</si>
  <si>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</si>
  <si>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</si>
  <si>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</si>
  <si>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</si>
  <si>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</si>
  <si>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</si>
  <si>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</si>
  <si>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</si>
  <si>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</si>
  <si>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</si>
  <si>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</si>
  <si>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</si>
  <si>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</si>
  <si>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</si>
  <si>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</si>
  <si>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</si>
  <si>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</si>
  <si>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</si>
  <si>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</si>
  <si>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</si>
  <si>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</si>
  <si>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</si>
  <si>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</si>
  <si>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</si>
  <si>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</si>
  <si>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</si>
  <si>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</si>
  <si>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</si>
  <si>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</si>
  <si>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</si>
  <si>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</si>
  <si>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</si>
  <si>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</si>
  <si>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</si>
  <si>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</si>
  <si>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</si>
  <si>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</si>
  <si>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</si>
  <si>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</si>
  <si>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</si>
  <si>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</si>
  <si>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</si>
  <si>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</si>
  <si>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</si>
  <si>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</si>
  <si>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</si>
  <si>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</si>
  <si>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</si>
  <si>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</si>
  <si>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</si>
  <si>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</si>
  <si>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</si>
  <si>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</si>
  <si>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</si>
  <si>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</si>
  <si>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</si>
  <si>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</si>
  <si>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</si>
  <si>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</si>
  <si>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</si>
  <si>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</si>
  <si>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</si>
  <si>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</si>
  <si>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</si>
  <si>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</si>
  <si>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</si>
  <si>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</si>
  <si>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</si>
  <si>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</si>
  <si>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</si>
  <si>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</si>
  <si>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</si>
  <si>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</si>
  <si>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</si>
  <si>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</si>
  <si>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</si>
  <si>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</si>
  <si>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</si>
  <si>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</si>
  <si>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</si>
  <si>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</si>
  <si>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</si>
  <si>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</si>
  <si>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</si>
  <si>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</si>
  <si>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</si>
  <si>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</si>
  <si>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</si>
  <si>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</si>
  <si>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</si>
  <si>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</si>
  <si>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</si>
  <si>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</si>
  <si>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</si>
  <si>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</si>
  <si>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</si>
  <si>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</si>
  <si>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</si>
  <si>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</si>
  <si>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</si>
  <si>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</si>
  <si>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</si>
  <si>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</si>
  <si>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</si>
  <si>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</si>
  <si>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</si>
  <si>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</si>
  <si>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</si>
  <si>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</si>
  <si>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</si>
  <si>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</si>
  <si>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</si>
  <si>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</si>
  <si>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</si>
  <si>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</si>
  <si>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</si>
  <si>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</si>
  <si>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</si>
  <si>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</si>
  <si>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</si>
  <si>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</si>
  <si>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</si>
  <si>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</si>
  <si>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</si>
  <si>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</si>
  <si>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</si>
  <si>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</si>
  <si>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</si>
  <si>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</si>
  <si>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</si>
  <si>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</si>
  <si>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</si>
  <si>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</si>
  <si>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</si>
  <si>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</si>
  <si>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</si>
  <si>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</si>
  <si>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</si>
  <si>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</si>
  <si>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</si>
  <si>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</si>
  <si>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</si>
  <si>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</si>
  <si>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</si>
  <si>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</si>
  <si>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</si>
  <si>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</si>
  <si>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</si>
  <si>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</si>
  <si>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</si>
  <si>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</si>
  <si>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</si>
  <si>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</si>
  <si>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</si>
  <si>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</si>
  <si>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</si>
  <si>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</si>
  <si>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</si>
  <si>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</si>
  <si>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</si>
  <si>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</si>
  <si>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</si>
  <si>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</si>
  <si>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</si>
  <si>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</si>
  <si>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</si>
  <si>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</si>
  <si>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</si>
  <si>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</si>
  <si>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</si>
  <si>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</si>
  <si>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</si>
  <si>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</si>
  <si>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</si>
  <si>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</si>
  <si>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</si>
  <si>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</si>
  <si>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</si>
  <si>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</si>
  <si>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</si>
  <si>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</si>
  <si>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</si>
  <si>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</si>
  <si>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</si>
  <si>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</si>
  <si>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</si>
  <si>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</si>
  <si>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</si>
  <si>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</si>
  <si>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</si>
  <si>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</si>
  <si>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</si>
  <si>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</si>
  <si>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</si>
  <si>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</si>
  <si>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</si>
  <si>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</si>
  <si>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</si>
  <si>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</si>
  <si>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</si>
  <si>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</si>
  <si>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</si>
  <si>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</si>
  <si>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</si>
  <si>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</si>
  <si>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</si>
  <si>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</si>
  <si>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</si>
  <si>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</si>
  <si>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</si>
  <si>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</si>
  <si>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</si>
  <si>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</si>
  <si>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</si>
  <si>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</si>
  <si>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</si>
  <si>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</si>
  <si>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</si>
  <si>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</si>
  <si>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</si>
  <si>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</si>
  <si>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</si>
  <si>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</si>
  <si>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</si>
  <si>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</si>
  <si>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</si>
  <si>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</si>
  <si>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</si>
  <si>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</si>
  <si>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</si>
  <si>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</si>
  <si>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</si>
  <si>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</si>
  <si>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</si>
  <si>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</si>
  <si>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</si>
  <si>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</si>
  <si>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</si>
  <si>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</si>
  <si>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</si>
  <si>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</si>
  <si>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</si>
  <si>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</si>
  <si>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</si>
  <si>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</si>
  <si>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</si>
  <si>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</si>
  <si>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</si>
  <si>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</si>
  <si>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</si>
  <si>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</si>
  <si>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</si>
  <si>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</si>
  <si>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</si>
  <si>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</si>
  <si>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</si>
  <si>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</si>
  <si>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</si>
  <si>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</si>
  <si>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</si>
  <si>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</si>
  <si>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</si>
  <si>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</si>
  <si>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</si>
  <si>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</si>
  <si>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</si>
  <si>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</si>
  <si>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</si>
  <si>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</si>
  <si>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</si>
  <si>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</si>
  <si>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</si>
  <si>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</si>
  <si>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</si>
  <si>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</si>
  <si>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</si>
  <si>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</si>
  <si>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</si>
  <si>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</si>
  <si>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</si>
  <si>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</si>
  <si>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</si>
  <si>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</si>
  <si>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</si>
  <si>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</si>
  <si>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</si>
  <si>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</si>
  <si>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</si>
  <si>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</si>
  <si>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</si>
  <si>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</si>
  <si>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</si>
  <si>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</si>
  <si>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</si>
  <si>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</si>
  <si>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</si>
  <si>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</si>
  <si>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</si>
  <si>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</si>
  <si>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</si>
  <si>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</si>
  <si>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</si>
  <si>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</si>
  <si>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</si>
  <si>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</si>
  <si>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</si>
  <si>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</si>
  <si>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</si>
  <si>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</si>
  <si>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</si>
  <si>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</si>
  <si>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</si>
  <si>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</si>
  <si>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</si>
  <si>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</si>
  <si>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</si>
  <si>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</si>
  <si>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</si>
  <si>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</si>
  <si>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</si>
  <si>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</si>
  <si>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</si>
  <si>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</si>
  <si>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</si>
  <si>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</si>
  <si>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</si>
  <si>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</si>
  <si>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</si>
  <si>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</si>
  <si>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</si>
  <si>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</si>
  <si>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</si>
  <si>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</si>
  <si>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</si>
  <si>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</si>
  <si>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</si>
  <si>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</si>
  <si>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</si>
  <si>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</si>
  <si>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</si>
  <si>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</si>
  <si>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</si>
  <si>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</si>
  <si>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</si>
  <si>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</si>
  <si>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</si>
  <si>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</si>
  <si>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</si>
  <si>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</si>
  <si>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</si>
  <si>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</si>
  <si>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</si>
  <si>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</si>
  <si>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</si>
  <si>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</si>
  <si>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</si>
  <si>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</si>
  <si>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</si>
  <si>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</si>
  <si>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</si>
  <si>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</si>
  <si>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</si>
  <si>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</si>
  <si>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</si>
  <si>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</si>
  <si>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</si>
  <si>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</si>
  <si>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</si>
  <si>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</si>
  <si>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</si>
  <si>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</si>
  <si>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</si>
  <si>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</si>
  <si>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</si>
  <si>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</si>
  <si>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</si>
  <si>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</si>
  <si>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</si>
  <si>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</si>
  <si>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</si>
  <si>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</si>
  <si>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</si>
  <si>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</si>
  <si>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</si>
  <si>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</si>
  <si>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</si>
  <si>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</si>
  <si>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</si>
  <si>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</si>
  <si>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</si>
  <si>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</si>
  <si>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</si>
  <si>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</si>
  <si>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</si>
  <si>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</si>
  <si>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</si>
  <si>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</si>
  <si>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</si>
  <si>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</si>
  <si>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</si>
  <si>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</si>
  <si>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</si>
  <si>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</si>
  <si>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</si>
  <si>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</si>
  <si>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</si>
  <si>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</si>
  <si>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</si>
  <si>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</si>
  <si>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</si>
  <si>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</si>
  <si>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</si>
  <si>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</si>
  <si>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</si>
  <si>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</si>
  <si>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</si>
  <si>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</si>
  <si>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</si>
  <si>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</si>
  <si>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</si>
  <si>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</si>
  <si>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</si>
  <si>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</si>
  <si>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</si>
  <si>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</si>
  <si>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</si>
  <si>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</si>
  <si>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</si>
  <si>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</si>
  <si>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</si>
  <si>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</si>
  <si>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</si>
  <si>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</si>
  <si>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</si>
  <si>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</si>
  <si>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</si>
  <si>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</si>
  <si>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</si>
  <si>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</si>
  <si>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</si>
  <si>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</si>
  <si>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</si>
  <si>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</si>
  <si>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</si>
  <si>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</si>
  <si>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</si>
  <si>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</si>
  <si>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</si>
  <si>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</si>
  <si>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</si>
  <si>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</si>
  <si>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</si>
  <si>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</si>
  <si>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</si>
  <si>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</si>
  <si>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</si>
  <si>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</si>
  <si>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</si>
  <si>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</si>
  <si>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</si>
  <si>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</si>
  <si>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</si>
  <si>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</si>
  <si>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</si>
  <si>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</si>
  <si>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</si>
  <si>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</si>
  <si>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</si>
  <si>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</si>
  <si>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</si>
  <si>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</si>
  <si>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</si>
  <si>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</si>
  <si>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</si>
  <si>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</si>
  <si>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</si>
  <si>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</si>
  <si>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</si>
  <si>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</si>
  <si>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</si>
  <si>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</si>
  <si>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</si>
  <si>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</si>
  <si>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</si>
  <si>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</si>
  <si>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</si>
  <si>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</si>
  <si>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</si>
  <si>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</si>
  <si>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</si>
  <si>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</si>
  <si>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</si>
  <si>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</si>
  <si>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</si>
  <si>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</si>
  <si>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</si>
  <si>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</si>
  <si>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</si>
  <si>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</si>
  <si>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</si>
  <si>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</si>
  <si>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</si>
  <si>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</si>
  <si>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</si>
  <si>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</si>
  <si>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</si>
  <si>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</si>
  <si>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</si>
  <si>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</si>
  <si>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</si>
  <si>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</si>
  <si>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</si>
  <si>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</si>
  <si>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</si>
  <si>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</si>
  <si>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</si>
  <si>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</si>
  <si>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</si>
  <si>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</si>
  <si>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</si>
  <si>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</si>
  <si>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</si>
  <si>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</si>
  <si>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</si>
  <si>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</si>
  <si>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</si>
  <si>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</si>
  <si>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</si>
  <si>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</si>
  <si>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</si>
  <si>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</si>
  <si>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</si>
  <si>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</si>
  <si>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</si>
  <si>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</si>
  <si>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</si>
  <si>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</si>
  <si>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</si>
  <si>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</si>
  <si>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</si>
  <si>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</si>
  <si>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</si>
  <si>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</si>
  <si>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</si>
  <si>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</si>
  <si>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</si>
  <si>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</si>
  <si>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</si>
  <si>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</si>
  <si>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</si>
  <si>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</si>
  <si>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</si>
  <si>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</si>
  <si>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</si>
  <si>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</si>
  <si>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</si>
  <si>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</si>
  <si>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</si>
  <si>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</si>
  <si>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</si>
  <si>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</si>
  <si>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</si>
  <si>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</si>
  <si>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</si>
  <si>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</si>
  <si>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</si>
  <si>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</si>
  <si>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</si>
  <si>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</si>
  <si>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</si>
  <si>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</si>
  <si>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</si>
  <si>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</si>
  <si>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</si>
  <si>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</si>
  <si>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</si>
  <si>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</si>
  <si>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</si>
  <si>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</si>
  <si>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</si>
  <si>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</si>
  <si>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</si>
  <si>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</si>
  <si>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</si>
  <si>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</si>
  <si>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</si>
  <si>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</si>
  <si>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</si>
  <si>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</si>
  <si>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</si>
  <si>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</si>
  <si>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</si>
  <si>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</si>
  <si>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</si>
  <si>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</si>
  <si>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</si>
  <si>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</si>
  <si>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</si>
  <si>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</si>
  <si>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</si>
  <si>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</si>
  <si>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</si>
  <si>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</si>
  <si>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</si>
  <si>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</si>
  <si>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</si>
  <si>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</si>
  <si>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</si>
  <si>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</si>
  <si>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</si>
  <si>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</si>
  <si>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</si>
  <si>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</si>
  <si>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</si>
  <si>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</si>
  <si>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</si>
  <si>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</si>
  <si>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</si>
  <si>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</si>
  <si>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</si>
  <si>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</si>
  <si>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</si>
  <si>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</si>
  <si>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</si>
  <si>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</si>
  <si>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</si>
  <si>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</si>
  <si>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</si>
  <si>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</si>
  <si>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</si>
  <si>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</si>
  <si>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</si>
  <si>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</si>
  <si>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</si>
  <si>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</si>
  <si>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</si>
  <si>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</si>
  <si>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</si>
  <si>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</si>
  <si>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</si>
  <si>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</si>
  <si>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</si>
  <si>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</si>
  <si>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</si>
  <si>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</si>
  <si>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</si>
  <si>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</si>
  <si>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</si>
  <si>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</si>
  <si>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</si>
  <si>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</si>
  <si>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</si>
  <si>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</si>
  <si>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</si>
  <si>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</si>
  <si>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</si>
  <si>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</si>
  <si>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</si>
  <si>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</si>
  <si>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</si>
  <si>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</si>
  <si>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</si>
  <si>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</si>
  <si>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</si>
  <si>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</si>
  <si>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</si>
  <si>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</si>
  <si>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</si>
  <si>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</si>
  <si>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</si>
  <si>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</si>
  <si>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</si>
  <si>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</si>
  <si>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</si>
  <si>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</si>
  <si>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</si>
  <si>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</si>
  <si>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</si>
  <si>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</si>
  <si>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</si>
  <si>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</si>
  <si>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</si>
  <si>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</si>
  <si>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</si>
  <si>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</si>
  <si>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</si>
  <si>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</si>
  <si>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</si>
  <si>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</si>
  <si>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</si>
  <si>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</si>
  <si>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</si>
  <si>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</si>
  <si>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</si>
  <si>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</si>
  <si>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</si>
  <si>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</si>
  <si>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</si>
  <si>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</si>
  <si>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</si>
  <si>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</si>
  <si>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</si>
  <si>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</si>
  <si>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</si>
  <si>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</si>
  <si>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</si>
  <si>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</si>
  <si>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</si>
  <si>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</si>
  <si>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</si>
  <si>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</si>
  <si>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</si>
  <si>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</si>
  <si>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</si>
  <si>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</si>
  <si>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</si>
  <si>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</si>
  <si>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</si>
  <si>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</si>
  <si>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</si>
  <si>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</si>
  <si>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</si>
  <si>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</si>
  <si>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</si>
  <si>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</si>
  <si>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</si>
  <si>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</si>
  <si>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</si>
  <si>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</si>
  <si>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</si>
  <si>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</si>
  <si>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</si>
  <si>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</si>
  <si>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</si>
  <si>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</si>
  <si>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</si>
  <si>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</si>
  <si>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</si>
  <si>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</si>
  <si>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</si>
  <si>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</si>
  <si>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</si>
  <si>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</si>
  <si>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</si>
  <si>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</si>
  <si>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</si>
  <si>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</si>
  <si>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</si>
  <si>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</si>
  <si>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</si>
  <si>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</si>
  <si>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</si>
  <si>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</si>
  <si>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</si>
  <si>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</si>
  <si>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</si>
  <si>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</si>
  <si>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</si>
  <si>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</si>
  <si>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</si>
  <si>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</si>
  <si>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</si>
  <si>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</si>
  <si>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</si>
  <si>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</si>
  <si>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</si>
  <si>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</si>
  <si>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</si>
  <si>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</si>
  <si>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</si>
  <si>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</si>
  <si>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</si>
  <si>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</si>
  <si>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</si>
  <si>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</si>
  <si>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</si>
  <si>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</si>
  <si>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</si>
  <si>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</si>
  <si>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</si>
  <si>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</si>
  <si>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</si>
  <si>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</si>
  <si>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</si>
  <si>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</si>
  <si>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</si>
  <si>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</si>
  <si>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</si>
  <si>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</si>
  <si>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</si>
  <si>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</si>
  <si>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</si>
  <si>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</si>
  <si>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</si>
  <si>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</si>
  <si>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</si>
  <si>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</si>
  <si>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</si>
  <si>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</si>
  <si>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</si>
  <si>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</si>
  <si>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</si>
  <si>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</si>
  <si>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</si>
  <si>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</si>
  <si>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</si>
  <si>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</si>
  <si>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</si>
  <si>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</si>
  <si>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</si>
  <si>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</si>
  <si>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</si>
  <si>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</si>
  <si>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</si>
  <si>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</si>
  <si>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</si>
  <si>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</si>
  <si>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</si>
  <si>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</si>
  <si>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</si>
  <si>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</si>
  <si>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</si>
  <si>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</si>
  <si>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</si>
  <si>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</si>
  <si>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</si>
  <si>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</si>
  <si>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</si>
  <si>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</si>
  <si>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</si>
  <si>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</si>
  <si>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</si>
  <si>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</si>
  <si>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</si>
  <si>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</si>
  <si>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</si>
  <si>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</si>
  <si>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</si>
  <si>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</si>
  <si>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</si>
  <si>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</si>
  <si>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</si>
  <si>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</si>
  <si>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</si>
  <si>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</si>
  <si>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</si>
  <si>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</si>
  <si>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</si>
  <si>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</si>
  <si>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</si>
  <si>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</si>
  <si>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</si>
  <si>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</si>
  <si>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</si>
  <si>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</si>
  <si>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</si>
  <si>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</si>
  <si>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</si>
  <si>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</si>
  <si>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</si>
  <si>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</si>
  <si>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</si>
  <si>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</si>
  <si>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</si>
  <si>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</si>
  <si>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</si>
  <si>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</si>
  <si>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</si>
  <si>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</si>
  <si>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</si>
  <si>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</si>
  <si>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</si>
  <si>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</si>
  <si>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</si>
  <si>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</si>
  <si>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</si>
  <si>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</si>
  <si>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</si>
  <si>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</si>
  <si>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</si>
  <si>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</si>
  <si>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</si>
  <si>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</si>
  <si>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</si>
  <si>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</si>
  <si>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</si>
  <si>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</si>
  <si>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</si>
  <si>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</si>
  <si>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</si>
  <si>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</si>
  <si>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</si>
  <si>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</si>
  <si>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</si>
  <si>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</si>
  <si>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</si>
  <si>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</si>
  <si>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</si>
  <si>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</si>
  <si>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</si>
  <si>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</si>
  <si>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</si>
  <si>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</si>
  <si>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</si>
  <si>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</si>
  <si>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</si>
  <si>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</si>
  <si>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</si>
  <si>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</si>
  <si>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</si>
  <si>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</si>
  <si>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</si>
  <si>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</si>
  <si>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</si>
  <si>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</si>
  <si>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</si>
  <si>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</si>
  <si>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</si>
  <si>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</si>
  <si>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</si>
  <si>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</si>
  <si>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</si>
  <si>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</si>
  <si>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</si>
  <si>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</si>
  <si>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</si>
  <si>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</si>
  <si>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</si>
  <si>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</si>
  <si>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</si>
  <si>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</si>
  <si>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</si>
  <si>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</si>
  <si>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</si>
  <si>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</si>
  <si>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</si>
  <si>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</si>
  <si>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</si>
  <si>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</si>
  <si>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</si>
  <si>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</si>
  <si>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</si>
  <si>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</si>
  <si>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</si>
  <si>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</si>
  <si>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</si>
  <si>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</si>
  <si>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</si>
  <si>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</si>
  <si>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</si>
  <si>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</si>
  <si>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</si>
  <si>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</si>
  <si>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</si>
  <si>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</si>
  <si>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</si>
  <si>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</si>
  <si>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</si>
  <si>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</si>
  <si>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</si>
  <si>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</si>
  <si>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</si>
  <si>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</si>
  <si>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</si>
  <si>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</si>
  <si>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</si>
  <si>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</si>
  <si>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</si>
  <si>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</si>
  <si>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</si>
  <si>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</si>
  <si>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</si>
  <si>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</si>
  <si>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</si>
  <si>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</si>
  <si>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</si>
  <si>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</si>
  <si>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</si>
  <si>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</si>
  <si>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</si>
  <si>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</si>
  <si>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</si>
  <si>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</si>
  <si>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</si>
  <si>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</si>
  <si>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</si>
  <si>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</si>
  <si>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</si>
  <si>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</si>
  <si>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</si>
  <si>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</si>
  <si>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</si>
  <si>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</si>
  <si>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</si>
  <si>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</si>
  <si>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</si>
  <si>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</si>
  <si>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</si>
  <si>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</si>
  <si>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</si>
  <si>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</si>
  <si>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</si>
  <si>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</si>
  <si>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</si>
  <si>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</si>
  <si>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</si>
  <si>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</si>
  <si>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</si>
  <si>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</si>
  <si>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</si>
  <si>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</si>
  <si>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</si>
  <si>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</si>
  <si>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</si>
  <si>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</si>
  <si>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</si>
  <si>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</si>
  <si>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</si>
  <si>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</si>
  <si>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</si>
  <si>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</si>
  <si>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</si>
  <si>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</si>
  <si>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</si>
  <si>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</si>
  <si>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</si>
  <si>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</si>
  <si>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</si>
  <si>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</si>
  <si>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</si>
  <si>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</si>
  <si>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</si>
  <si>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</si>
  <si>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</si>
  <si>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</si>
  <si>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</si>
  <si>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</si>
  <si>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</si>
  <si>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</si>
  <si>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</si>
  <si>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</si>
  <si>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</si>
  <si>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</si>
  <si>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</si>
  <si>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</si>
  <si>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</si>
  <si>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</si>
  <si>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</si>
  <si>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</si>
  <si>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</si>
  <si>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</si>
  <si>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</si>
  <si>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</si>
  <si>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</si>
  <si>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</si>
  <si>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</si>
  <si>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</si>
  <si>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</si>
  <si>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</si>
  <si>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</si>
  <si>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</si>
  <si>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</si>
  <si>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</si>
  <si>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</si>
  <si>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</si>
  <si>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</si>
  <si>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</si>
  <si>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</si>
  <si>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</si>
  <si>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</si>
  <si>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</si>
  <si>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</si>
  <si>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</si>
  <si>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</si>
  <si>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</si>
  <si>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</si>
  <si>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</si>
  <si>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</si>
  <si>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</si>
  <si>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</si>
  <si>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</si>
  <si>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</si>
  <si>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</si>
  <si>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</si>
  <si>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</si>
  <si>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</si>
  <si>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</si>
  <si>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</si>
  <si>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</si>
  <si>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</si>
  <si>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</si>
  <si>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</si>
  <si>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</si>
  <si>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</si>
  <si>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</si>
  <si>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</si>
  <si>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</si>
  <si>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</si>
  <si>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</si>
  <si>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</si>
  <si>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</si>
  <si>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</si>
  <si>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</si>
  <si>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</si>
  <si>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</si>
  <si>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</si>
  <si>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</si>
  <si>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</si>
  <si>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</si>
  <si>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</si>
  <si>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</si>
  <si>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</si>
  <si>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</si>
  <si>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</si>
  <si>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</si>
  <si>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</si>
  <si>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</si>
  <si>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</si>
  <si>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</si>
  <si>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</si>
  <si>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</si>
  <si>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</si>
  <si>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</si>
  <si>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</si>
  <si>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</si>
  <si>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</si>
  <si>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</si>
  <si>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</si>
  <si>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</si>
  <si>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</si>
  <si>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</si>
  <si>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</si>
  <si>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</si>
  <si>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</si>
  <si>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</si>
  <si>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</si>
  <si>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</si>
  <si>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</si>
  <si>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</si>
  <si>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</si>
  <si>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</si>
  <si>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</si>
  <si>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</si>
  <si>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</si>
  <si>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</si>
  <si>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</si>
  <si>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</si>
  <si>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</si>
  <si>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</si>
  <si>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</si>
  <si>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</si>
  <si>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</si>
  <si>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</si>
  <si>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</si>
  <si>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</si>
  <si>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</si>
  <si>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</si>
  <si>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</si>
  <si>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</si>
  <si>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</si>
  <si>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</si>
  <si>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</si>
  <si>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</si>
  <si>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</si>
  <si>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</si>
  <si>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</si>
  <si>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</si>
  <si>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</si>
  <si>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</si>
  <si>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</si>
  <si>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</si>
  <si>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</si>
  <si>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</si>
  <si>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</si>
  <si>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</si>
  <si>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</si>
  <si>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</si>
  <si>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</si>
  <si>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</si>
  <si>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</si>
  <si>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</si>
  <si>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</si>
  <si>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</si>
  <si>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</si>
  <si>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</si>
  <si>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</si>
  <si>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</si>
  <si>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</si>
  <si>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</si>
  <si>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</si>
  <si>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</si>
  <si>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</si>
  <si>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</si>
  <si>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</si>
  <si>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</si>
  <si>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</si>
  <si>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</si>
  <si>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</si>
  <si>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</si>
  <si>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</si>
  <si>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</si>
  <si>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</si>
  <si>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</si>
  <si>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</si>
  <si>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</si>
  <si>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</si>
  <si>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</si>
  <si>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</si>
  <si>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</si>
  <si>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</si>
  <si>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</si>
  <si>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</si>
  <si>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</si>
  <si>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</si>
  <si>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</si>
  <si>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</si>
  <si>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</si>
  <si>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</si>
  <si>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</si>
  <si>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</si>
  <si>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</si>
  <si>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</si>
  <si>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</si>
  <si>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</si>
  <si>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</si>
  <si>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</si>
  <si>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</si>
  <si>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</si>
  <si>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</si>
  <si>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</si>
  <si>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</si>
  <si>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</si>
  <si>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</si>
  <si>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</si>
  <si>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</si>
  <si>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</si>
  <si>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</si>
  <si>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</si>
  <si>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</si>
  <si>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</si>
  <si>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</si>
  <si>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</si>
  <si>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</si>
  <si>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</si>
  <si>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</si>
  <si>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</si>
  <si>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</si>
  <si>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</si>
  <si>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</si>
  <si>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</si>
  <si>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</si>
  <si>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</si>
  <si>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</si>
  <si>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</si>
  <si>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</si>
  <si>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</si>
  <si>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</si>
  <si>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</si>
  <si>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</si>
  <si>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</si>
  <si>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</si>
  <si>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</si>
  <si>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</si>
  <si>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</si>
  <si>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</si>
  <si>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</si>
  <si>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</si>
  <si>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</si>
  <si>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</si>
  <si>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</si>
  <si>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</si>
  <si>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</si>
  <si>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</si>
  <si>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</si>
  <si>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</si>
  <si>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</si>
  <si>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</si>
  <si>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</si>
  <si>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</si>
  <si>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</si>
  <si>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</si>
  <si>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</si>
  <si>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</si>
  <si>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</si>
  <si>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</si>
  <si>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</si>
  <si>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</si>
  <si>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</si>
  <si>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</si>
  <si>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</si>
  <si>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</si>
  <si>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</si>
  <si>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</si>
  <si>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</si>
  <si>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</si>
  <si>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</si>
  <si>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</si>
  <si>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</si>
  <si>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</si>
  <si>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</si>
  <si>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</si>
  <si>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</si>
  <si>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</si>
  <si>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</si>
  <si>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</si>
  <si>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</si>
  <si>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</si>
  <si>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</si>
  <si>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</si>
  <si>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</si>
  <si>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</si>
  <si>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</si>
  <si>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</si>
  <si>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</si>
  <si>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</si>
  <si>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</si>
  <si>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</si>
  <si>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</si>
  <si>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</si>
  <si>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</si>
  <si>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</si>
  <si>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</si>
  <si>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</si>
  <si>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</si>
  <si>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</si>
  <si>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</si>
  <si>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</si>
  <si>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</si>
  <si>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</si>
  <si>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</si>
  <si>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</si>
  <si>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</si>
  <si>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</si>
  <si>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</si>
  <si>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</si>
  <si>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</si>
  <si>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</si>
  <si>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</si>
  <si>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</si>
  <si>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</si>
  <si>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</si>
  <si>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</si>
  <si>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</si>
  <si>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</si>
  <si>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</si>
  <si>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</si>
  <si>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</si>
  <si>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</si>
  <si>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</si>
  <si>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</si>
  <si>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</si>
  <si>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</si>
  <si>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</si>
  <si>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</si>
  <si>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</si>
  <si>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</si>
  <si>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</si>
  <si>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</si>
  <si>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</si>
  <si>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</si>
  <si>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</si>
  <si>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</si>
  <si>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</si>
  <si>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</si>
  <si>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</si>
  <si>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</si>
  <si>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</si>
  <si>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</si>
  <si>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</si>
  <si>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</si>
  <si>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</si>
  <si>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</si>
  <si>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</si>
  <si>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</si>
  <si>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</si>
  <si>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</si>
  <si>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</si>
  <si>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</si>
  <si>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</si>
  <si>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</si>
  <si>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</si>
  <si>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</si>
  <si>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</si>
  <si>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</si>
  <si>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</si>
  <si>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</si>
  <si>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</si>
  <si>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</si>
  <si>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</si>
  <si>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</si>
  <si>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</si>
  <si>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</si>
  <si>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</si>
  <si>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</si>
  <si>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</si>
  <si>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</si>
  <si>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</si>
  <si>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</si>
  <si>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</si>
  <si>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</si>
  <si>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</si>
  <si>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</si>
  <si>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</si>
  <si>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</si>
  <si>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</si>
  <si>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</si>
  <si>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</si>
  <si>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</si>
  <si>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</si>
  <si>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</si>
  <si>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</si>
  <si>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</si>
  <si>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</si>
  <si>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</si>
  <si>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</si>
  <si>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</si>
  <si>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</si>
  <si>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</si>
  <si>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</si>
  <si>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</si>
  <si>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</si>
  <si>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</si>
  <si>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</si>
  <si>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</si>
  <si>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</si>
  <si>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</si>
  <si>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</si>
  <si>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</si>
  <si>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</si>
  <si>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</si>
  <si>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</si>
  <si>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</si>
  <si>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</si>
  <si>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</si>
  <si>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</si>
  <si>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</si>
  <si>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</si>
  <si>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</si>
  <si>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</si>
  <si>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</si>
  <si>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</si>
  <si>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</si>
  <si>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</si>
  <si>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</si>
  <si>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</si>
  <si>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</si>
  <si>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</si>
  <si>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</si>
  <si>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</si>
  <si>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</si>
  <si>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</si>
  <si>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</si>
  <si>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</si>
  <si>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</si>
  <si>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</si>
  <si>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</si>
  <si>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</si>
  <si>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</si>
  <si>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</si>
  <si>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</si>
  <si>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</si>
  <si>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</si>
  <si>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</si>
  <si>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</si>
  <si>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</si>
  <si>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</si>
  <si>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</si>
  <si>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</si>
  <si>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</si>
  <si>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</si>
  <si>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</si>
  <si>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</si>
  <si>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</si>
  <si>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</si>
  <si>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</si>
  <si>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</si>
  <si>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</si>
  <si>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</si>
  <si>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</si>
  <si>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</si>
  <si>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</si>
  <si>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</si>
  <si>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</si>
  <si>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</si>
  <si>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</si>
  <si>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</si>
  <si>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</si>
  <si>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</si>
  <si>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</si>
  <si>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</si>
  <si>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</si>
  <si>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</si>
  <si>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</si>
  <si>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</si>
  <si>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</si>
  <si>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</si>
  <si>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</si>
  <si>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</si>
  <si>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</si>
  <si>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</si>
  <si>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</si>
  <si>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</si>
  <si>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</si>
  <si>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</si>
  <si>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</si>
  <si>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</si>
  <si>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</si>
  <si>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</si>
  <si>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</si>
  <si>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</si>
  <si>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</si>
  <si>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</si>
  <si>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</si>
  <si>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</si>
  <si>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</si>
  <si>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</si>
  <si>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</si>
  <si>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</si>
  <si>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</si>
  <si>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</si>
  <si>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</si>
  <si>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</si>
  <si>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</si>
  <si>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</si>
  <si>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</si>
  <si>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</si>
  <si>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</si>
  <si>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</si>
  <si>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</si>
  <si>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</si>
  <si>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</si>
  <si>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</si>
  <si>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</si>
  <si>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</si>
  <si>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</si>
  <si>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</si>
  <si>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</si>
  <si>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</si>
  <si>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</si>
  <si>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</si>
  <si>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</si>
  <si>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</si>
  <si>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</si>
  <si>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</si>
  <si>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</si>
  <si>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</si>
  <si>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</si>
  <si>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</si>
  <si>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</si>
  <si>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</si>
  <si>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</si>
  <si>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</si>
  <si>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</si>
  <si>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</si>
  <si>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</si>
  <si>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</si>
  <si>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</si>
  <si>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</si>
  <si>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</si>
  <si>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</si>
  <si>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</si>
  <si>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</si>
  <si>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</si>
  <si>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</si>
  <si>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</si>
  <si>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</si>
  <si>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</si>
  <si>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</si>
  <si>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</si>
  <si>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</si>
  <si>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</si>
  <si>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</si>
  <si>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</si>
  <si>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</si>
  <si>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</si>
  <si>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</si>
  <si>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</si>
  <si>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</si>
  <si>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</si>
  <si>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</si>
  <si>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</si>
  <si>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</si>
  <si>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</si>
  <si>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</si>
  <si>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</si>
  <si>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</si>
  <si>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</si>
  <si>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</si>
  <si>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</si>
  <si>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</si>
  <si>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</si>
  <si>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</si>
  <si>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</si>
  <si>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</si>
  <si>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</si>
  <si>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</si>
  <si>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</si>
  <si>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</si>
  <si>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</si>
  <si>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</si>
  <si>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</si>
  <si>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</si>
  <si>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</si>
  <si>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</si>
  <si>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</si>
  <si>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</si>
  <si>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</si>
  <si>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</si>
  <si>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</si>
  <si>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</si>
  <si>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</si>
  <si>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</si>
  <si>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</si>
  <si>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</si>
  <si>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</si>
  <si>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</si>
  <si>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</si>
  <si>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</si>
  <si>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</si>
  <si>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</si>
  <si>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</si>
  <si>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</si>
  <si>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</si>
  <si>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</si>
  <si>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</si>
  <si>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</si>
  <si>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</si>
  <si>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</si>
  <si>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</si>
  <si>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</si>
  <si>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</si>
  <si>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</si>
  <si>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</si>
  <si>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</si>
  <si>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</si>
  <si>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</si>
  <si>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</si>
  <si>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</si>
  <si>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</si>
  <si>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</si>
  <si>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</si>
  <si>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</si>
  <si>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</si>
  <si>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</si>
  <si>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</si>
  <si>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</si>
  <si>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</si>
  <si>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</si>
  <si>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</si>
  <si>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</si>
  <si>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</si>
  <si>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</si>
  <si>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</si>
  <si>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</si>
  <si>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</si>
  <si>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</si>
  <si>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</si>
  <si>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</si>
  <si>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</si>
  <si>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</si>
  <si>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</si>
  <si>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</si>
  <si>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</si>
  <si>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</si>
  <si>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</si>
  <si>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</si>
  <si>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</si>
  <si>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</si>
  <si>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</si>
  <si>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</si>
  <si>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</si>
  <si>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</si>
  <si>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</si>
  <si>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</si>
  <si>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</si>
  <si>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</si>
  <si>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</si>
  <si>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</si>
  <si>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</si>
  <si>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</si>
  <si>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</si>
  <si>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</si>
  <si>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</si>
  <si>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</si>
  <si>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</si>
  <si>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</si>
  <si>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</si>
  <si>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</si>
  <si>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</si>
  <si>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</si>
  <si>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</si>
  <si>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</si>
  <si>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</si>
  <si>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</si>
  <si>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</si>
  <si>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</si>
  <si>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</si>
  <si>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</si>
  <si>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</si>
  <si>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</si>
  <si>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</si>
  <si>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</si>
  <si>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</si>
  <si>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</si>
  <si>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</si>
  <si>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</si>
  <si>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</si>
  <si>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</si>
  <si>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</si>
  <si>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</si>
  <si>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</si>
  <si>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</si>
  <si>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</si>
  <si>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</si>
  <si>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</si>
  <si>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</si>
  <si>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</si>
  <si>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</si>
  <si>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</si>
  <si>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</si>
  <si>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</si>
  <si>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</si>
  <si>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</si>
  <si>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</si>
  <si>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</si>
  <si>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</si>
  <si>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</si>
  <si>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</si>
  <si>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</si>
  <si>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</si>
  <si>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</si>
  <si>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</si>
  <si>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</si>
  <si>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</si>
  <si>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</si>
  <si>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</si>
  <si>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</si>
  <si>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</si>
  <si>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</si>
  <si>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</si>
  <si>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</si>
  <si>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</si>
  <si>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</si>
  <si>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</si>
  <si>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</si>
  <si>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</si>
  <si>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</si>
  <si>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</si>
  <si>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</si>
  <si>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</si>
  <si>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</si>
  <si>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</si>
  <si>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</si>
  <si>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</si>
  <si>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</si>
  <si>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</si>
  <si>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</si>
  <si>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</si>
  <si>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</si>
  <si>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</si>
  <si>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</si>
  <si>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</si>
  <si>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</si>
  <si>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</si>
  <si>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</si>
  <si>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</si>
  <si>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</si>
  <si>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</si>
  <si>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</si>
  <si>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</si>
  <si>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</si>
  <si>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</si>
  <si>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</si>
  <si>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</si>
  <si>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</si>
  <si>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</si>
  <si>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</si>
  <si>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</si>
  <si>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</si>
  <si>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</si>
  <si>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</si>
  <si>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</si>
  <si>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</si>
  <si>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</si>
  <si>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</si>
  <si>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</si>
  <si>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</si>
  <si>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</si>
  <si>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</si>
  <si>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</si>
  <si>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</si>
  <si>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</si>
  <si>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</si>
  <si>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</si>
  <si>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</si>
  <si>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</si>
  <si>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</si>
  <si>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</si>
  <si>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</si>
  <si>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</si>
  <si>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</si>
  <si>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</si>
  <si>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</si>
  <si>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</si>
  <si>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</si>
  <si>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</si>
  <si>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</si>
  <si>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</si>
  <si>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</si>
  <si>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</si>
  <si>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</si>
  <si>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</si>
  <si>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</si>
  <si>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</si>
  <si>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</si>
  <si>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</si>
  <si>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</si>
  <si>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</si>
  <si>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</si>
  <si>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</si>
  <si>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</si>
  <si>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</si>
  <si>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</si>
  <si>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</si>
  <si>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</si>
  <si>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</si>
  <si>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</si>
  <si>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</si>
  <si>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</si>
  <si>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</si>
  <si>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</si>
  <si>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</si>
  <si>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</si>
  <si>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</si>
  <si>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</si>
  <si>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</si>
  <si>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</si>
  <si>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</si>
  <si>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</si>
  <si>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</si>
  <si>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</si>
  <si>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</si>
  <si>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</si>
  <si>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</si>
  <si>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</si>
  <si>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</si>
  <si>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</si>
  <si>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</si>
  <si>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</si>
  <si>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</si>
  <si>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</si>
  <si>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</si>
  <si>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</si>
  <si>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</si>
  <si>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</si>
  <si>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</si>
  <si>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</si>
  <si>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</si>
  <si>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</si>
  <si>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</si>
  <si>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</si>
  <si>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</si>
  <si>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</si>
  <si>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</si>
  <si>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</si>
  <si>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</si>
  <si>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</si>
  <si>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</si>
  <si>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</si>
  <si>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</si>
  <si>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</si>
  <si>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</si>
  <si>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</si>
  <si>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</si>
  <si>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</si>
  <si>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</si>
  <si>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</si>
  <si>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</si>
  <si>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</si>
  <si>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</si>
  <si>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</si>
  <si>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</si>
  <si>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</si>
  <si>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</si>
  <si>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</si>
  <si>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</si>
  <si>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</si>
  <si>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</si>
  <si>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</si>
  <si>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</si>
  <si>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</si>
  <si>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</si>
  <si>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</si>
  <si>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</si>
  <si>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</si>
  <si>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</si>
  <si>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</si>
  <si>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</si>
  <si>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</si>
  <si>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</si>
  <si>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</si>
  <si>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</si>
  <si>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</si>
  <si>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</si>
  <si>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</si>
  <si>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</si>
  <si>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</si>
  <si>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</si>
  <si>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</si>
  <si>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</si>
  <si>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</si>
  <si>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</si>
  <si>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</si>
  <si>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</si>
  <si>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</si>
  <si>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</si>
  <si>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</si>
  <si>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</si>
  <si>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</si>
  <si>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</si>
  <si>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</si>
  <si>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</si>
  <si>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</si>
  <si>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</si>
  <si>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</si>
  <si>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</si>
  <si>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</si>
  <si>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</si>
  <si>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</si>
  <si>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</si>
  <si>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</si>
  <si>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</si>
  <si>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</si>
  <si>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</si>
  <si>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</si>
  <si>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</si>
  <si>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</si>
  <si>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</si>
  <si>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</si>
  <si>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</si>
  <si>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</si>
  <si>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</si>
  <si>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</si>
  <si>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</si>
  <si>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</si>
  <si>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</si>
  <si>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</si>
  <si>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</si>
  <si>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</si>
  <si>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</si>
  <si>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</si>
  <si>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</si>
  <si>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</si>
  <si>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</si>
  <si>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</si>
  <si>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</si>
  <si>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</si>
  <si>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</si>
  <si>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</si>
  <si>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</si>
  <si>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</si>
  <si>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</si>
  <si>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</si>
  <si>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</si>
  <si>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</si>
  <si>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</si>
  <si>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</si>
  <si>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</si>
  <si>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</si>
  <si>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</si>
  <si>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</si>
  <si>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</si>
  <si>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</si>
  <si>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</si>
  <si>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</si>
  <si>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</si>
  <si>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</si>
  <si>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</si>
  <si>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</si>
  <si>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</si>
  <si>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</si>
  <si>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</si>
  <si>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</si>
  <si>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</si>
  <si>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</si>
  <si>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</si>
  <si>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</si>
  <si>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</si>
  <si>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</si>
  <si>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</si>
  <si>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</si>
  <si>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</si>
  <si>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</si>
  <si>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</si>
  <si>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</si>
  <si>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</si>
  <si>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</si>
  <si>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</si>
  <si>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</si>
  <si>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</si>
  <si>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</si>
  <si>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</si>
  <si>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</si>
  <si>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</si>
  <si>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</si>
  <si>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</si>
  <si>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</si>
  <si>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</si>
  <si>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</si>
  <si>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</si>
  <si>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</si>
  <si>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</si>
  <si>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</si>
  <si>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</si>
  <si>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</si>
  <si>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</si>
  <si>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</si>
  <si>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</si>
  <si>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</si>
  <si>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</si>
  <si>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</si>
  <si>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</si>
  <si>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</si>
  <si>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</si>
  <si>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</si>
  <si>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</si>
  <si>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</si>
  <si>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</si>
  <si>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</si>
  <si>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</si>
  <si>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</si>
  <si>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</si>
  <si>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</si>
  <si>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</si>
  <si>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</si>
  <si>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</si>
  <si>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</si>
  <si>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</si>
  <si>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</si>
  <si>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</si>
  <si>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</si>
  <si>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</si>
  <si>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</si>
  <si>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</si>
  <si>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</si>
  <si>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</si>
  <si>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</si>
  <si>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</si>
  <si>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</si>
  <si>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</si>
  <si>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</si>
  <si>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</si>
  <si>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</si>
  <si>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</si>
  <si>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</si>
  <si>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</si>
  <si>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</si>
  <si>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</si>
  <si>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</si>
  <si>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</si>
  <si>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</si>
  <si>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</si>
  <si>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</si>
  <si>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</si>
  <si>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</si>
  <si>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</si>
  <si>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</si>
  <si>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</si>
  <si>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</si>
  <si>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</si>
  <si>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</si>
  <si>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</si>
  <si>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</si>
  <si>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</si>
  <si>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</si>
  <si>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</si>
  <si>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</si>
  <si>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</si>
  <si>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</si>
  <si>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</si>
  <si>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</si>
  <si>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</si>
  <si>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</si>
  <si>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</si>
  <si>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</si>
  <si>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</si>
  <si>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</si>
  <si>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</si>
  <si>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</si>
  <si>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</si>
  <si>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</si>
  <si>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</si>
  <si>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</si>
  <si>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</si>
  <si>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</si>
  <si>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</si>
  <si>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</si>
  <si>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</si>
  <si>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</si>
  <si>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</si>
  <si>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</si>
  <si>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</si>
  <si>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</si>
  <si>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</si>
  <si>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</si>
  <si>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</si>
  <si>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</si>
  <si>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</si>
  <si>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</si>
  <si>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</si>
  <si>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</si>
  <si>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</si>
  <si>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</si>
  <si>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</si>
  <si>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</si>
  <si>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</si>
  <si>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</si>
  <si>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</si>
  <si>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</si>
  <si>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</si>
  <si>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</si>
  <si>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</si>
  <si>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</si>
  <si>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</si>
  <si>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</si>
  <si>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</si>
  <si>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</si>
  <si>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</si>
  <si>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</si>
  <si>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</si>
  <si>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</si>
  <si>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</si>
  <si>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</si>
  <si>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</si>
  <si>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</si>
  <si>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</si>
  <si>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</si>
  <si>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</si>
  <si>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</si>
  <si>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</si>
  <si>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</si>
  <si>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</si>
  <si>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</si>
  <si>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</si>
  <si>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</si>
  <si>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</si>
  <si>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</si>
  <si>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</si>
  <si>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</si>
  <si>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</si>
  <si>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</si>
  <si>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</si>
  <si>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</si>
  <si>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</si>
  <si>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</si>
  <si>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</si>
  <si>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</si>
  <si>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</si>
  <si>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</si>
  <si>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</si>
  <si>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</si>
  <si>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</si>
  <si>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</si>
  <si>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</si>
  <si>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</si>
  <si>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</si>
  <si>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</si>
  <si>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</si>
  <si>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</si>
  <si>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</si>
  <si>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</si>
  <si>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</si>
  <si>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</si>
  <si>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</si>
  <si>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</si>
  <si>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</si>
  <si>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</si>
  <si>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</si>
  <si>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</si>
  <si>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</si>
  <si>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</si>
  <si>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</si>
  <si>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</si>
  <si>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</si>
  <si>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</si>
  <si>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</si>
  <si>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</si>
  <si>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</si>
  <si>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</si>
  <si>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</si>
  <si>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</si>
  <si>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</si>
  <si>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</si>
  <si>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</si>
  <si>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</si>
  <si>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</si>
  <si>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</si>
  <si>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</si>
  <si>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</si>
  <si>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</si>
  <si>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</si>
  <si>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</si>
  <si>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</si>
  <si>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</si>
  <si>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</si>
  <si>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</si>
  <si>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</si>
  <si>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</si>
  <si>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</si>
  <si>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</si>
  <si>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</si>
  <si>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</si>
  <si>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</si>
  <si>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</si>
  <si>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</si>
  <si>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</si>
  <si>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</si>
  <si>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</si>
  <si>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</si>
  <si>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</si>
  <si>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</si>
  <si>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</si>
  <si>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</si>
  <si>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</si>
  <si>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</si>
  <si>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</si>
  <si>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</si>
  <si>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</si>
  <si>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</si>
  <si>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</si>
  <si>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</si>
  <si>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</si>
  <si>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</si>
  <si>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</si>
  <si>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</si>
  <si>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</si>
  <si>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</si>
  <si>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</si>
  <si>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</si>
  <si>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</si>
  <si>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</si>
  <si>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</si>
  <si>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</si>
  <si>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</si>
  <si>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</si>
  <si>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</si>
  <si>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</si>
  <si>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</si>
  <si>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</si>
  <si>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</si>
  <si>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</si>
  <si>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</si>
  <si>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</si>
  <si>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</si>
  <si>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</si>
  <si>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</si>
  <si>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</si>
  <si>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</si>
  <si>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</si>
  <si>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</si>
  <si>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</si>
  <si>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</si>
  <si>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</si>
  <si>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</si>
  <si>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</si>
  <si>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</si>
  <si>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</si>
  <si>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</si>
  <si>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</si>
  <si>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</si>
  <si>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</si>
  <si>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</si>
  <si>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</si>
  <si>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</si>
  <si>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</si>
  <si>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</si>
  <si>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</si>
  <si>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</si>
  <si>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</si>
  <si>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</si>
  <si>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</si>
  <si>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</si>
  <si>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</si>
  <si>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</si>
  <si>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</si>
  <si>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</si>
  <si>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</si>
  <si>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</si>
  <si>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</si>
  <si>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</si>
  <si>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</si>
  <si>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</si>
  <si>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</si>
  <si>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</si>
  <si>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</si>
  <si>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</si>
  <si>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</si>
  <si>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</si>
  <si>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</si>
  <si>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</si>
  <si>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</si>
  <si>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</si>
  <si>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</si>
  <si>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</si>
  <si>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</si>
  <si>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</si>
  <si>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</si>
  <si>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</si>
  <si>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</si>
  <si>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</si>
  <si>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</si>
  <si>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</si>
  <si>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</si>
  <si>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</si>
  <si>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</si>
  <si>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</si>
  <si>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</si>
  <si>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</si>
  <si>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</si>
  <si>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</si>
  <si>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</si>
  <si>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</si>
  <si>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</si>
  <si>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</si>
  <si>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</si>
  <si>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</si>
  <si>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</si>
  <si>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</si>
  <si>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</si>
  <si>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</si>
  <si>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</si>
  <si>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</si>
  <si>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</si>
  <si>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</si>
  <si>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</si>
  <si>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</si>
  <si>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</si>
  <si>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</si>
  <si>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</si>
  <si>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</si>
  <si>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</si>
  <si>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</si>
  <si>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</si>
  <si>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</si>
  <si>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</si>
  <si>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</si>
  <si>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</si>
  <si>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</si>
  <si>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</si>
  <si>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</si>
  <si>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</si>
  <si>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</si>
  <si>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</si>
  <si>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</si>
  <si>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</si>
  <si>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</si>
  <si>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</si>
  <si>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</si>
  <si>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</si>
  <si>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</si>
  <si>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</si>
  <si>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</si>
  <si>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</si>
  <si>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</si>
  <si>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</si>
  <si>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</si>
  <si>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</si>
  <si>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</si>
  <si>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</si>
  <si>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</si>
  <si>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</si>
  <si>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</si>
  <si>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</si>
  <si>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</si>
  <si>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</si>
  <si>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</si>
  <si>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</si>
  <si>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</si>
  <si>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</si>
  <si>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</si>
  <si>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</si>
  <si>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</si>
  <si>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</si>
  <si>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</si>
  <si>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</si>
  <si>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</si>
  <si>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</si>
  <si>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</si>
  <si>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</si>
  <si>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</si>
  <si>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</si>
  <si>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</si>
  <si>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</si>
  <si>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</si>
  <si>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</si>
  <si>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</si>
  <si>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</si>
  <si>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</si>
  <si>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</si>
  <si>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</si>
  <si>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</si>
  <si>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</si>
  <si>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</si>
  <si>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</si>
  <si>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</si>
  <si>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</si>
  <si>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</si>
  <si>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</si>
  <si>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</si>
  <si>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</si>
  <si>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</si>
  <si>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</si>
  <si>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</si>
  <si>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</si>
  <si>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</si>
  <si>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</si>
  <si>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</si>
  <si>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</si>
  <si>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</si>
  <si>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</si>
  <si>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</si>
  <si>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</si>
  <si>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</si>
  <si>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</si>
  <si>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</si>
  <si>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</si>
  <si>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</si>
  <si>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</si>
  <si>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</si>
  <si>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</si>
  <si>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</si>
  <si>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</si>
  <si>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</si>
  <si>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</si>
  <si>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</si>
  <si>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</si>
  <si>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</si>
  <si>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</si>
  <si>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</si>
  <si>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</si>
  <si>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</si>
  <si>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</si>
  <si>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</si>
  <si>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</si>
  <si>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</si>
  <si>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</si>
  <si>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</si>
  <si>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</si>
  <si>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</si>
  <si>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</si>
  <si>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</si>
  <si>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</si>
  <si>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</si>
  <si>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</si>
  <si>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</si>
  <si>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</si>
  <si>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</si>
  <si>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</si>
  <si>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</si>
  <si>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</si>
  <si>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</si>
  <si>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</si>
  <si>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</si>
  <si>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</si>
  <si>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</si>
  <si>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</si>
  <si>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</si>
  <si>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</si>
  <si>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</si>
  <si>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</si>
  <si>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</si>
  <si>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</si>
  <si>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</si>
  <si>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</si>
  <si>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</si>
  <si>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</si>
  <si>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</si>
  <si>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</si>
  <si>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</si>
  <si>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</si>
  <si>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</si>
  <si>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</si>
  <si>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</si>
  <si>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</si>
  <si>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</si>
  <si>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</si>
  <si>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</si>
  <si>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</si>
  <si>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</si>
  <si>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</si>
  <si>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</si>
  <si>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</si>
  <si>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</si>
  <si>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</si>
  <si>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</si>
  <si>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</si>
  <si>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</si>
  <si>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</si>
  <si>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</si>
  <si>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</si>
  <si>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</si>
  <si>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</si>
  <si>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</si>
  <si>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</si>
  <si>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</si>
  <si>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</si>
  <si>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</si>
  <si>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</si>
  <si>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</si>
  <si>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</si>
  <si>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</si>
  <si>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</si>
  <si>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</si>
  <si>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</si>
  <si>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</si>
  <si>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</si>
  <si>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</si>
  <si>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</si>
  <si>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</si>
  <si>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</si>
  <si>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</si>
  <si>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</si>
  <si>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</si>
  <si>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</si>
  <si>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</si>
  <si>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</si>
  <si>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</si>
  <si>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</si>
  <si>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</si>
  <si>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</si>
  <si>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</si>
  <si>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</si>
  <si>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</si>
  <si>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</si>
  <si>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</si>
  <si>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</si>
  <si>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</si>
  <si>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</si>
  <si>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</si>
  <si>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</si>
  <si>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</si>
  <si>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</si>
  <si>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</si>
  <si>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</si>
  <si>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</si>
  <si>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</si>
  <si>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</si>
  <si>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</si>
  <si>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</si>
  <si>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</si>
  <si>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</si>
  <si>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</si>
  <si>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</si>
  <si>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</si>
  <si>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</si>
  <si>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</si>
  <si>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</si>
  <si>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</si>
  <si>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</si>
  <si>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</si>
  <si>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</si>
  <si>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</si>
  <si>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</si>
  <si>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</si>
  <si>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</si>
  <si>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</si>
  <si>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</si>
  <si>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</si>
  <si>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</si>
  <si>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</si>
  <si>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</si>
  <si>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</si>
  <si>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</si>
  <si>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</si>
  <si>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</si>
  <si>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</si>
  <si>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</si>
  <si>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</si>
  <si>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</si>
  <si>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</si>
  <si>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</si>
  <si>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</si>
  <si>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</si>
  <si>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</si>
  <si>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</si>
  <si>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</si>
  <si>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</si>
  <si>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</si>
  <si>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</si>
  <si>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</si>
  <si>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</si>
  <si>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</si>
  <si>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</si>
  <si>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</si>
  <si>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</si>
  <si>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</si>
  <si>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</si>
  <si>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</si>
  <si>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</si>
  <si>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</si>
  <si>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</si>
  <si>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</si>
  <si>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</si>
  <si>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</si>
  <si>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</si>
  <si>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</si>
  <si>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</si>
  <si>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</si>
  <si>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</si>
  <si>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</si>
  <si>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</si>
  <si>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</si>
  <si>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</si>
  <si>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</si>
  <si>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</si>
  <si>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</si>
  <si>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</si>
  <si>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</si>
  <si>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</si>
  <si>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</si>
  <si>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</si>
  <si>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</si>
  <si>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</si>
  <si>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</si>
  <si>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</si>
  <si>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</si>
  <si>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</si>
  <si>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</si>
  <si>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</si>
  <si>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</si>
  <si>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</si>
  <si>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</si>
  <si>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</si>
  <si>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</si>
  <si>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</si>
  <si>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</si>
  <si>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</si>
  <si>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</si>
  <si>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</si>
  <si>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</si>
  <si>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</si>
  <si>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</si>
  <si>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</si>
  <si>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</si>
  <si>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</si>
  <si>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</si>
  <si>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</si>
  <si>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</si>
  <si>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</si>
  <si>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</si>
  <si>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</si>
  <si>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</si>
  <si>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</si>
  <si>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</si>
  <si>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</si>
  <si>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</si>
  <si>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</si>
  <si>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</si>
  <si>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</si>
  <si>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</si>
  <si>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</si>
  <si>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</si>
  <si>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</si>
  <si>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</si>
  <si>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</si>
  <si>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</si>
  <si>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</si>
  <si>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</si>
  <si>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</si>
  <si>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</si>
  <si>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</si>
  <si>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</si>
  <si>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</si>
  <si>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</si>
  <si>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</si>
  <si>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</si>
  <si>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</si>
  <si>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</si>
  <si>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</si>
  <si>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</si>
  <si>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</si>
  <si>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</si>
  <si>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</si>
  <si>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</si>
  <si>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</si>
  <si>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</si>
  <si>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</si>
  <si>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</si>
  <si>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</si>
  <si>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</si>
  <si>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</si>
  <si>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</si>
  <si>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</si>
  <si>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</si>
  <si>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</si>
  <si>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</si>
  <si>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</si>
  <si>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</si>
  <si>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</si>
  <si>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</si>
  <si>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</si>
  <si>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</si>
  <si>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</si>
  <si>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</si>
  <si>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</si>
  <si>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</si>
  <si>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</si>
  <si>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</si>
  <si>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</si>
  <si>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</si>
  <si>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</si>
  <si>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</si>
  <si>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</si>
  <si>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</si>
  <si>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</si>
  <si>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</si>
  <si>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</si>
  <si>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</si>
  <si>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</si>
  <si>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</si>
  <si>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</si>
  <si>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</si>
  <si>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</si>
  <si>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</si>
  <si>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</si>
  <si>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</si>
  <si>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</si>
  <si>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</si>
  <si>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</si>
  <si>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</si>
  <si>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</si>
  <si>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</si>
  <si>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</si>
  <si>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</si>
  <si>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</si>
  <si>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</si>
  <si>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</si>
  <si>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</si>
  <si>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</si>
  <si>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</si>
  <si>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</si>
  <si>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</si>
  <si>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</si>
  <si>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</si>
  <si>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</si>
  <si>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</si>
  <si>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</si>
  <si>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</si>
  <si>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</si>
  <si>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</si>
  <si>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</si>
  <si>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</si>
  <si>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</si>
  <si>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</si>
  <si>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</si>
  <si>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</si>
  <si>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</si>
  <si>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</si>
  <si>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</si>
  <si>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</si>
  <si>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</si>
  <si>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</si>
  <si>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</si>
  <si>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</si>
  <si>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</si>
  <si>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</si>
  <si>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</si>
  <si>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</si>
  <si>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</si>
  <si>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</si>
  <si>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</si>
  <si>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</si>
  <si>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</si>
  <si>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</si>
  <si>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</si>
  <si>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</si>
  <si>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</si>
  <si>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</si>
  <si>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</si>
  <si>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</si>
  <si>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</si>
  <si>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</si>
  <si>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</si>
  <si>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</si>
  <si>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</si>
  <si>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</si>
  <si>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</si>
  <si>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</si>
  <si>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</si>
  <si>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</si>
  <si>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</si>
  <si>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</si>
  <si>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</si>
  <si>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</si>
  <si>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</si>
  <si>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</si>
  <si>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</si>
  <si>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</si>
  <si>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</si>
  <si>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</si>
  <si>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</si>
  <si>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</si>
  <si>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</si>
  <si>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</si>
  <si>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</si>
  <si>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</si>
  <si>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</si>
  <si>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</si>
  <si>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</si>
  <si>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</si>
  <si>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</si>
  <si>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</si>
  <si>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</si>
  <si>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</si>
  <si>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</si>
  <si>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</si>
  <si>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</si>
  <si>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</si>
  <si>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</si>
  <si>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</si>
  <si>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</si>
  <si>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</si>
  <si>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</si>
  <si>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</si>
  <si>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</si>
  <si>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</si>
  <si>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</si>
  <si>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</si>
  <si>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</si>
  <si>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</si>
  <si>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</si>
  <si>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</si>
  <si>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</si>
  <si>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</si>
  <si>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</si>
  <si>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</si>
  <si>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</si>
  <si>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</si>
  <si>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</si>
  <si>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</si>
  <si>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</si>
  <si>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</si>
  <si>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</si>
  <si>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</si>
  <si>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</si>
  <si>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</si>
  <si>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</si>
  <si>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</si>
  <si>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</si>
  <si>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</si>
  <si>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</si>
  <si>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</si>
  <si>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</si>
  <si>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</si>
  <si>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</si>
  <si>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</si>
  <si>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</si>
  <si>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</si>
  <si>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</si>
  <si>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</si>
  <si>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</si>
  <si>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</si>
  <si>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</si>
  <si>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</si>
  <si>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</si>
  <si>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</si>
  <si>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</si>
  <si>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</si>
  <si>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</si>
  <si>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</si>
  <si>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</si>
  <si>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</si>
  <si>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</si>
  <si>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</si>
  <si>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</si>
  <si>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</si>
  <si>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</si>
  <si>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</si>
  <si>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</si>
  <si>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</si>
  <si>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</si>
  <si>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</si>
  <si>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</si>
  <si>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</si>
  <si>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</si>
  <si>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</si>
  <si>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</si>
  <si>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</si>
  <si>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</si>
  <si>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</si>
  <si>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</si>
  <si>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</si>
  <si>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</si>
  <si>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</si>
  <si>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</si>
  <si>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</si>
  <si>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</si>
  <si>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</si>
  <si>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</si>
  <si>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</si>
  <si>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</si>
  <si>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</si>
  <si>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</si>
  <si>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</si>
  <si>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</si>
  <si>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</si>
  <si>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</si>
  <si>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</si>
  <si>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</si>
  <si>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</si>
  <si>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</si>
  <si>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</si>
  <si>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</si>
  <si>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</si>
  <si>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</si>
  <si>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</si>
  <si>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</si>
  <si>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</si>
  <si>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</si>
  <si>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</si>
  <si>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</si>
  <si>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</si>
  <si>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</si>
  <si>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</si>
  <si>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</si>
  <si>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</si>
  <si>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</si>
  <si>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</si>
  <si>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</si>
  <si>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</si>
  <si>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</si>
  <si>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</si>
  <si>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</si>
  <si>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</si>
  <si>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</si>
  <si>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</si>
  <si>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</si>
  <si>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</si>
  <si>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</si>
  <si>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</si>
  <si>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</si>
  <si>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</si>
  <si>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</si>
  <si>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</si>
  <si>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</si>
  <si>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</si>
  <si>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</si>
  <si>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</si>
  <si>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</si>
  <si>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</si>
  <si>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</si>
  <si>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</si>
  <si>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</si>
  <si>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</si>
  <si>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</si>
  <si>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</si>
  <si>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</si>
  <si>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</si>
  <si>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</si>
  <si>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</si>
  <si>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</si>
  <si>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</si>
  <si>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</si>
  <si>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</si>
  <si>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</si>
  <si>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</si>
  <si>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</si>
  <si>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</si>
  <si>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</si>
  <si>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</si>
  <si>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</si>
  <si>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</si>
  <si>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</si>
  <si>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</si>
  <si>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</si>
  <si>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</si>
  <si>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</si>
  <si>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</si>
  <si>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</si>
  <si>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</si>
  <si>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</si>
  <si>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</si>
  <si>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</si>
  <si>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</si>
  <si>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</si>
  <si>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</si>
  <si>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</si>
  <si>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</si>
  <si>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</si>
  <si>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</si>
  <si>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</si>
  <si>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</si>
  <si>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</si>
  <si>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</si>
  <si>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</si>
  <si>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</si>
  <si>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</si>
  <si>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</si>
  <si>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</si>
  <si>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</si>
  <si>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</si>
  <si>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</si>
  <si>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</si>
  <si>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</si>
  <si>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</si>
  <si>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</si>
  <si>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</si>
  <si>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</si>
  <si>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</si>
  <si>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</si>
  <si>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</si>
  <si>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</si>
  <si>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</si>
  <si>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</si>
  <si>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</si>
  <si>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</si>
  <si>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</si>
  <si>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</si>
  <si>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</si>
  <si>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</si>
  <si>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</si>
  <si>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</si>
  <si>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</si>
  <si>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</si>
  <si>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</si>
  <si>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</si>
  <si>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</si>
  <si>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</si>
  <si>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</si>
  <si>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</si>
  <si>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</si>
  <si>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</si>
  <si>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</si>
  <si>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</si>
  <si>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</si>
  <si>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</si>
  <si>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</si>
  <si>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</si>
  <si>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</si>
  <si>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</si>
  <si>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</si>
  <si>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</si>
  <si>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</si>
  <si>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</si>
  <si>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</si>
  <si>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</si>
  <si>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</si>
  <si>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</si>
  <si>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</si>
  <si>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</si>
  <si>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</si>
  <si>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</si>
  <si>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</si>
  <si>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</si>
  <si>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</si>
  <si>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</si>
  <si>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</si>
  <si>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</si>
  <si>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</si>
  <si>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</si>
  <si>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</si>
  <si>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</si>
  <si>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</si>
  <si>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</si>
  <si>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</si>
  <si>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</si>
  <si>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</si>
  <si>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</si>
  <si>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</si>
  <si>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</si>
  <si>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</si>
  <si>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</si>
  <si>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</si>
  <si>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</si>
  <si>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</si>
  <si>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</si>
  <si>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</si>
  <si>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</si>
  <si>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</si>
  <si>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</si>
  <si>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</si>
  <si>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</si>
  <si>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</si>
  <si>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</si>
  <si>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</si>
  <si>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</si>
  <si>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</si>
  <si>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</si>
  <si>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</si>
  <si>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</si>
  <si>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</si>
  <si>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</si>
  <si>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</si>
  <si>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</si>
  <si>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</si>
  <si>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</si>
  <si>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</si>
  <si>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</si>
  <si>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</si>
  <si>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</si>
  <si>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</si>
  <si>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</si>
  <si>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</si>
  <si>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</si>
  <si>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</si>
  <si>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</si>
  <si>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</si>
  <si>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</si>
  <si>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</si>
  <si>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</si>
  <si>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</si>
  <si>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</si>
  <si>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</si>
  <si>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</si>
  <si>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</si>
  <si>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</si>
  <si>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</si>
  <si>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</si>
  <si>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</si>
  <si>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</si>
  <si>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</si>
  <si>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</si>
  <si>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</si>
  <si>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</si>
  <si>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</si>
  <si>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</si>
  <si>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</si>
  <si>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</si>
  <si>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</si>
  <si>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</si>
  <si>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</si>
  <si>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</si>
  <si>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</si>
  <si>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</si>
  <si>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</si>
  <si>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</si>
  <si>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</si>
  <si>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</si>
  <si>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</si>
  <si>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</si>
  <si>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</si>
  <si>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</si>
  <si>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</si>
  <si>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</si>
  <si>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</si>
  <si>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</si>
  <si>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</si>
  <si>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</si>
  <si>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</si>
  <si>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</si>
  <si>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</si>
  <si>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</si>
  <si>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</si>
  <si>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</si>
  <si>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</si>
  <si>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</si>
  <si>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</si>
  <si>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</si>
  <si>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</si>
  <si>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</si>
  <si>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</si>
  <si>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</si>
  <si>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</si>
  <si>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</si>
  <si>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</si>
  <si>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</si>
  <si>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</si>
  <si>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</si>
  <si>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</si>
  <si>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</si>
  <si>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</si>
  <si>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</si>
  <si>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</si>
  <si>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</si>
  <si>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</si>
  <si>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</si>
  <si>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</si>
  <si>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</si>
  <si>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</si>
  <si>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</si>
  <si>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</si>
  <si>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</si>
  <si>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</si>
  <si>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</si>
  <si>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</si>
  <si>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</si>
  <si>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</si>
  <si>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</si>
  <si>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</si>
  <si>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</si>
  <si>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</si>
  <si>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</si>
  <si>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</si>
  <si>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</si>
  <si>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</si>
  <si>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</si>
  <si>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</si>
  <si>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</si>
  <si>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</si>
  <si>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</si>
  <si>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</si>
  <si>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</si>
  <si>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</si>
  <si>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</si>
  <si>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</si>
  <si>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</si>
  <si>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</si>
  <si>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</si>
  <si>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</si>
  <si>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</si>
  <si>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</si>
  <si>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</si>
  <si>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</si>
  <si>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</si>
  <si>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</si>
  <si>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</si>
  <si>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</si>
  <si>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</si>
  <si>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</si>
  <si>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</si>
  <si>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</si>
  <si>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</si>
  <si>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</si>
  <si>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</si>
  <si>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</si>
  <si>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</si>
  <si>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</si>
  <si>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</si>
  <si>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</si>
  <si>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</si>
  <si>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</si>
  <si>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</si>
  <si>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</si>
  <si>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</si>
  <si>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</si>
  <si>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</si>
  <si>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</si>
  <si>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</si>
  <si>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</si>
  <si>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</si>
  <si>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</si>
  <si>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</si>
  <si>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</si>
  <si>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</si>
  <si>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</si>
  <si>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</si>
  <si>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</si>
  <si>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</si>
  <si>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</si>
  <si>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</si>
  <si>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</si>
  <si>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</si>
  <si>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</si>
  <si>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</si>
  <si>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</si>
  <si>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</si>
  <si>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</si>
  <si>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</si>
  <si>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</si>
  <si>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</si>
  <si>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</si>
  <si>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</si>
  <si>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</si>
  <si>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</si>
  <si>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</si>
  <si>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</si>
  <si>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</si>
  <si>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</si>
  <si>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</si>
  <si>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</si>
  <si>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</si>
  <si>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</si>
  <si>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</si>
  <si>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</si>
  <si>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</si>
  <si>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</si>
  <si>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</si>
  <si>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</si>
  <si>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</si>
  <si>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</si>
  <si>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</si>
  <si>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</si>
  <si>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</si>
  <si>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</si>
  <si>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</si>
  <si>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</si>
  <si>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</si>
  <si>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</si>
  <si>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</si>
  <si>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</si>
  <si>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</si>
  <si>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</si>
  <si>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</si>
  <si>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</si>
  <si>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</si>
  <si>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</si>
  <si>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</si>
  <si>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</si>
  <si>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</si>
  <si>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</si>
  <si>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</si>
  <si>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</si>
  <si>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</si>
  <si>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</si>
  <si>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</si>
  <si>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</si>
  <si>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</si>
  <si>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</si>
  <si>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</si>
  <si>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</si>
  <si>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</si>
  <si>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</si>
  <si>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</si>
  <si>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</si>
  <si>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</si>
  <si>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</si>
  <si>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</si>
  <si>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</si>
  <si>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</si>
  <si>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</si>
  <si>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</si>
  <si>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</si>
  <si>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</si>
  <si>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</si>
  <si>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</si>
  <si>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</si>
  <si>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</si>
  <si>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</si>
  <si>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</si>
  <si>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</si>
  <si>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</si>
  <si>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</si>
  <si>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</si>
  <si>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</si>
  <si>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</si>
  <si>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</si>
  <si>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</si>
  <si>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</si>
  <si>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</si>
  <si>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</si>
  <si>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</si>
  <si>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</si>
  <si>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</si>
  <si>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</si>
  <si>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</si>
  <si>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</si>
  <si>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</si>
  <si>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</si>
  <si>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</si>
  <si>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</si>
  <si>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</si>
  <si>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</si>
  <si>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</si>
  <si>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</si>
  <si>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</si>
  <si>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</si>
  <si>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</si>
  <si>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</si>
  <si>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</si>
  <si>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</si>
  <si>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</si>
  <si>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</si>
  <si>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</si>
  <si>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</si>
  <si>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</si>
  <si>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</si>
  <si>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</si>
  <si>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</si>
  <si>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</si>
  <si>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</si>
  <si>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</si>
  <si>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</si>
  <si>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</si>
  <si>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</si>
  <si>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</si>
  <si>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</si>
  <si>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</si>
  <si>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</si>
  <si>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</si>
  <si>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</si>
  <si>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</si>
  <si>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</si>
  <si>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</si>
  <si>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</si>
  <si>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</si>
  <si>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</si>
  <si>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</si>
  <si>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</si>
  <si>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</si>
  <si>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</si>
  <si>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</si>
  <si>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</si>
  <si>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</si>
  <si>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</si>
  <si>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</si>
  <si>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</si>
  <si>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</si>
  <si>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</si>
  <si>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</si>
  <si>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</si>
  <si>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</si>
  <si>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</si>
  <si>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</si>
  <si>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</si>
  <si>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</si>
  <si>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</si>
  <si>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</si>
  <si>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</si>
  <si>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</si>
  <si>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</si>
  <si>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</si>
  <si>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</si>
  <si>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</si>
  <si>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</si>
  <si>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</si>
  <si>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</si>
  <si>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</si>
  <si>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</si>
  <si>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</si>
  <si>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</si>
  <si>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</si>
  <si>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</si>
  <si>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</si>
  <si>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</si>
  <si>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</si>
  <si>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</si>
  <si>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</si>
  <si>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</si>
  <si>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</si>
  <si>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</si>
  <si>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</si>
  <si>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</si>
  <si>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</si>
  <si>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</si>
  <si>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</si>
  <si>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</si>
  <si>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</si>
  <si>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</si>
  <si>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</si>
  <si>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</si>
  <si>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</si>
  <si>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</si>
  <si>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</si>
  <si>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</si>
  <si>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</si>
  <si>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</si>
  <si>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</si>
  <si>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</si>
  <si>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</si>
  <si>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</si>
  <si>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</si>
  <si>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</si>
  <si>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</si>
  <si>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</si>
  <si>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</si>
  <si>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</si>
  <si>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</si>
  <si>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</si>
  <si>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</si>
  <si>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</si>
  <si>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</si>
  <si>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</si>
  <si>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</si>
  <si>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</si>
  <si>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</si>
  <si>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</si>
  <si>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</si>
  <si>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</si>
  <si>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</si>
  <si>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</si>
  <si>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</si>
  <si>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</si>
  <si>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</si>
  <si>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</si>
  <si>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</si>
  <si>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</si>
  <si>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</si>
  <si>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</si>
  <si>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</si>
  <si>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</si>
  <si>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</si>
  <si>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</si>
  <si>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</si>
  <si>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</si>
  <si>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</si>
  <si>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</si>
  <si>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</si>
  <si>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</si>
  <si>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</si>
  <si>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</si>
  <si>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</si>
  <si>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</si>
  <si>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</si>
  <si>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</si>
  <si>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</si>
  <si>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</si>
  <si>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</si>
  <si>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</si>
  <si>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</si>
  <si>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</si>
  <si>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</si>
  <si>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</si>
  <si>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</si>
  <si>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</si>
  <si>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</si>
  <si>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</si>
  <si>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</si>
  <si>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</si>
  <si>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</si>
  <si>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</si>
  <si>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</si>
  <si>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</si>
  <si>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</si>
  <si>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</si>
  <si>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</si>
  <si>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</si>
  <si>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</si>
  <si>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</si>
  <si>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</si>
  <si>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</si>
  <si>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</si>
  <si>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</si>
  <si>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</si>
  <si>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</si>
  <si>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</si>
  <si>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</si>
  <si>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</si>
  <si>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</si>
  <si>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</si>
  <si>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</si>
  <si>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</si>
  <si>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</si>
  <si>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</si>
  <si>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</si>
  <si>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</si>
  <si>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</si>
  <si>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</si>
  <si>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</si>
  <si>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</si>
  <si>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</si>
  <si>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</si>
  <si>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</si>
  <si>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</si>
  <si>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</si>
  <si>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</si>
  <si>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</si>
  <si>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</si>
  <si>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</si>
  <si>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</si>
  <si>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</si>
  <si>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</si>
  <si>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</si>
  <si>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</si>
  <si>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</si>
  <si>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</si>
  <si>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</si>
  <si>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</si>
  <si>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</si>
  <si>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</si>
  <si>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</si>
  <si>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</si>
  <si>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</si>
  <si>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</si>
  <si>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</si>
  <si>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</si>
  <si>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</si>
  <si>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</si>
  <si>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</si>
  <si>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</si>
  <si>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</si>
  <si>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</si>
  <si>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</si>
  <si>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</si>
  <si>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</si>
  <si>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</si>
  <si>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</si>
  <si>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</si>
  <si>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</si>
  <si>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</si>
  <si>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</si>
  <si>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</si>
  <si>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</si>
  <si>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</si>
  <si>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</si>
  <si>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</si>
  <si>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</si>
  <si>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</si>
  <si>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</si>
  <si>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</si>
  <si>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</si>
  <si>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</si>
  <si>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</si>
  <si>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</si>
  <si>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</si>
  <si>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</si>
  <si>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</si>
  <si>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</si>
  <si>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</si>
  <si>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</si>
  <si>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</si>
  <si>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</si>
  <si>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</si>
  <si>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</si>
  <si>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</si>
  <si>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</si>
  <si>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</si>
  <si>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</si>
  <si>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</si>
  <si>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</si>
  <si>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</si>
  <si>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</si>
  <si>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</si>
  <si>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</si>
  <si>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</si>
  <si>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</si>
  <si>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</si>
  <si>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</si>
  <si>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</si>
  <si>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</si>
  <si>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</si>
  <si>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</si>
  <si>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</si>
  <si>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</si>
  <si>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</si>
  <si>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</si>
  <si>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</si>
  <si>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</si>
  <si>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</si>
  <si>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</si>
  <si>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</si>
  <si>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</si>
  <si>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</si>
  <si>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</si>
  <si>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</si>
  <si>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</si>
  <si>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</si>
  <si>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</si>
  <si>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</si>
  <si>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</si>
  <si>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</si>
  <si>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</si>
  <si>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</si>
  <si>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</si>
  <si>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</si>
  <si>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</si>
  <si>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</si>
  <si>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</si>
  <si>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</si>
  <si>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</si>
  <si>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</si>
  <si>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</si>
  <si>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</si>
  <si>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</si>
  <si>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</si>
  <si>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</si>
  <si>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</si>
  <si>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</si>
  <si>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</si>
  <si>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</si>
  <si>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</si>
  <si>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</si>
  <si>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</si>
  <si>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</si>
  <si>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</si>
  <si>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</si>
  <si>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</si>
  <si>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</si>
  <si>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</si>
  <si>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</si>
  <si>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</si>
  <si>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</si>
  <si>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</si>
  <si>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</si>
  <si>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</si>
  <si>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</si>
  <si>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</si>
  <si>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</si>
  <si>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</si>
  <si>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</si>
  <si>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</si>
  <si>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</si>
  <si>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</si>
  <si>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</si>
  <si>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</si>
  <si>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</si>
  <si>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</si>
  <si>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</si>
  <si>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</si>
  <si>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</si>
  <si>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</si>
  <si>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</si>
  <si>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</si>
  <si>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</si>
  <si>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</si>
  <si>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</si>
  <si>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</si>
  <si>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</si>
  <si>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</si>
  <si>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</si>
  <si>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</si>
  <si>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</si>
  <si>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</si>
  <si>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</si>
  <si>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</si>
  <si>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</si>
  <si>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</si>
  <si>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</si>
  <si>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</si>
  <si>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</si>
  <si>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</si>
  <si>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</si>
  <si>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</si>
  <si>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</si>
  <si>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</si>
  <si>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</si>
  <si>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</si>
  <si>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</si>
  <si>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</si>
  <si>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</si>
  <si>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</si>
  <si>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</si>
  <si>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</si>
  <si>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</si>
  <si>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</si>
  <si>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</si>
  <si>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</si>
  <si>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</si>
  <si>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</si>
  <si>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</si>
  <si>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</si>
  <si>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</si>
  <si>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</si>
  <si>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</si>
  <si>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</si>
  <si>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</si>
  <si>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</si>
  <si>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</si>
  <si>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</si>
  <si>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</si>
  <si>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</si>
  <si>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</si>
  <si>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</si>
  <si>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</si>
  <si>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</si>
  <si>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</si>
  <si>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</si>
  <si>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</si>
  <si>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</si>
  <si>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</si>
  <si>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</si>
  <si>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</si>
  <si>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</si>
  <si>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</si>
  <si>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</si>
  <si>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</si>
  <si>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</si>
  <si>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</si>
  <si>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</si>
  <si>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</si>
  <si>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</si>
  <si>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</si>
  <si>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</si>
  <si>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</si>
  <si>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</si>
  <si>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</si>
  <si>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</si>
  <si>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</si>
  <si>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</si>
  <si>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</si>
  <si>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</si>
  <si>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</si>
  <si>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</si>
  <si>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</si>
  <si>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</si>
  <si>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</si>
  <si>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</si>
  <si>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</si>
  <si>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</si>
  <si>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</si>
  <si>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</si>
  <si>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</si>
  <si>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</si>
  <si>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</si>
  <si>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</si>
  <si>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</si>
  <si>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</si>
  <si>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</si>
  <si>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</si>
  <si>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</si>
  <si>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</si>
  <si>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</si>
  <si>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</si>
  <si>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</si>
  <si>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</si>
  <si>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</si>
  <si>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</si>
  <si>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</si>
  <si>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</si>
  <si>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</si>
  <si>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</si>
  <si>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</si>
  <si>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</si>
  <si>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</si>
  <si>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</si>
  <si>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</si>
  <si>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</si>
  <si>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</si>
  <si>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</si>
  <si>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</si>
  <si>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</si>
  <si>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</si>
  <si>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</si>
  <si>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</si>
  <si>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</si>
  <si>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</si>
  <si>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</si>
  <si>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</si>
  <si>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</si>
  <si>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</si>
  <si>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</si>
  <si>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</si>
  <si>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</si>
  <si>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</si>
  <si>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</si>
  <si>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</si>
  <si>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</si>
  <si>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</si>
  <si>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</si>
  <si>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</si>
  <si>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</si>
  <si>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</si>
  <si>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</si>
  <si>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</si>
  <si>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</si>
  <si>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</si>
  <si>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</si>
  <si>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</si>
  <si>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</si>
  <si>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</si>
  <si>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</si>
  <si>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</si>
  <si>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</si>
  <si>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</si>
  <si>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</si>
  <si>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</si>
  <si>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</si>
  <si>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</si>
  <si>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</si>
  <si>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</si>
  <si>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</si>
  <si>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</si>
  <si>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</si>
  <si>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</si>
  <si>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</si>
  <si>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</si>
  <si>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</si>
  <si>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</si>
  <si>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</si>
  <si>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</si>
  <si>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</si>
  <si>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</si>
  <si>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</si>
  <si>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</si>
  <si>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</si>
  <si>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</si>
  <si>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</si>
  <si>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</si>
  <si>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</si>
  <si>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</si>
  <si>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</si>
  <si>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</si>
  <si>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</si>
  <si>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</si>
  <si>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</si>
  <si>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</si>
  <si>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</si>
  <si>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</si>
  <si>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</si>
  <si>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</si>
  <si>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</si>
  <si>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</si>
  <si>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</si>
  <si>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</si>
  <si>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</si>
  <si>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</si>
  <si>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</si>
  <si>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</si>
  <si>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</si>
  <si>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</si>
  <si>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</si>
  <si>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</si>
  <si>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</si>
  <si>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</si>
  <si>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</si>
  <si>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</si>
  <si>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</si>
  <si>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</si>
  <si>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</si>
  <si>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</si>
  <si>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</si>
  <si>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</si>
  <si>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</si>
  <si>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</si>
  <si>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</si>
  <si>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</si>
  <si>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</si>
  <si>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</si>
  <si>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</si>
  <si>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</si>
  <si>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</si>
  <si>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</si>
  <si>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</si>
  <si>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</si>
  <si>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</si>
  <si>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</si>
  <si>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</si>
  <si>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</si>
  <si>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</si>
  <si>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</si>
  <si>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</si>
  <si>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</si>
  <si>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</si>
  <si>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</si>
  <si>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</si>
  <si>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</si>
  <si>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</si>
  <si>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</si>
  <si>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</si>
  <si>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</si>
  <si>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</si>
  <si>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</si>
  <si>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</si>
  <si>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</si>
  <si>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</si>
  <si>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</si>
  <si>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</si>
  <si>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</si>
  <si>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</si>
  <si>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</si>
  <si>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</si>
  <si>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</si>
  <si>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</si>
  <si>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</si>
  <si>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</si>
  <si>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</si>
  <si>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</si>
  <si>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</si>
  <si>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</si>
  <si>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</si>
  <si>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</si>
  <si>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</si>
  <si>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</si>
  <si>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</si>
  <si>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</si>
  <si>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</si>
  <si>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</si>
  <si>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</si>
  <si>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</si>
  <si>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</si>
  <si>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</si>
  <si>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</si>
  <si>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</si>
  <si>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</si>
  <si>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</si>
  <si>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</si>
  <si>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</si>
  <si>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</si>
  <si>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</si>
  <si>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</si>
  <si>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</si>
  <si>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</si>
  <si>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</si>
  <si>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</si>
  <si>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</si>
  <si>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</si>
  <si>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</si>
  <si>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</si>
  <si>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</si>
  <si>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</si>
  <si>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</si>
  <si>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</si>
  <si>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</si>
  <si>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</si>
  <si>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</si>
  <si>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</si>
  <si>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</si>
  <si>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</si>
  <si>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</si>
  <si>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</si>
  <si>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</si>
  <si>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</si>
  <si>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</si>
  <si>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</si>
  <si>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</si>
  <si>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</si>
  <si>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</si>
  <si>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</si>
  <si>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</si>
  <si>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</si>
  <si>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</si>
  <si>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</si>
  <si>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</si>
  <si>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</si>
  <si>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</si>
  <si>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</si>
  <si>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</si>
  <si>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</si>
  <si>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</si>
  <si>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</si>
  <si>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</si>
  <si>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</si>
  <si>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</si>
  <si>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</si>
  <si>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</si>
  <si>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</si>
  <si>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</si>
  <si>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</si>
  <si>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</si>
  <si>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</si>
  <si>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</si>
  <si>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</si>
  <si>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</si>
  <si>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</si>
  <si>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</si>
  <si>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</si>
  <si>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</si>
  <si>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</si>
  <si>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</si>
  <si>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</si>
  <si>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</si>
  <si>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</si>
  <si>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</si>
  <si>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</si>
  <si>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</si>
  <si>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</si>
  <si>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</si>
  <si>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</si>
  <si>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</si>
  <si>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</si>
  <si>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</si>
  <si>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</si>
  <si>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</si>
  <si>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</si>
  <si>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</si>
  <si>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</si>
  <si>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</si>
  <si>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</si>
  <si>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</si>
  <si>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</si>
  <si>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</si>
  <si>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</si>
  <si>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</si>
  <si>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</si>
  <si>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</si>
  <si>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</si>
  <si>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</si>
  <si>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</si>
  <si>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</si>
  <si>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</si>
  <si>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</si>
  <si>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</si>
  <si>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</si>
  <si>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</si>
  <si>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</si>
  <si>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</si>
  <si>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</si>
  <si>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</si>
  <si>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</si>
  <si>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</si>
  <si>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</si>
  <si>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</si>
  <si>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</si>
  <si>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</si>
  <si>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</si>
  <si>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</si>
  <si>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</si>
  <si>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</si>
  <si>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</si>
  <si>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</si>
  <si>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</si>
  <si>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</si>
  <si>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</si>
  <si>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</si>
  <si>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</si>
  <si>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</si>
  <si>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</si>
  <si>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</si>
  <si>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</si>
  <si>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</si>
  <si>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</si>
  <si>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</si>
  <si>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</si>
  <si>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</si>
  <si>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</si>
  <si>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</si>
  <si>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</si>
  <si>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</si>
  <si>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</si>
  <si>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</si>
  <si>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</si>
  <si>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</si>
  <si>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</si>
  <si>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</si>
  <si>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</si>
  <si>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</si>
  <si>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</si>
  <si>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</si>
  <si>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</si>
  <si>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</si>
  <si>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</si>
  <si>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</si>
  <si>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</si>
  <si>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</si>
  <si>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</si>
  <si>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</si>
  <si>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</si>
  <si>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</si>
  <si>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</si>
  <si>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</si>
  <si>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</si>
  <si>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</si>
  <si>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</si>
  <si>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</si>
  <si>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</si>
  <si>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</si>
  <si>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</si>
  <si>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</si>
  <si>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</si>
  <si>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</si>
  <si>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</si>
  <si>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</si>
  <si>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</si>
  <si>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</si>
  <si>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</si>
  <si>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</si>
  <si>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</si>
  <si>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</si>
  <si>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</si>
  <si>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</si>
  <si>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</si>
  <si>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</si>
  <si>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</si>
  <si>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</si>
  <si>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</si>
  <si>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</si>
  <si>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</si>
  <si>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</si>
  <si>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</si>
  <si>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</si>
  <si>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</si>
  <si>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</si>
  <si>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</si>
  <si>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</si>
  <si>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</si>
  <si>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</si>
  <si>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</si>
  <si>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</si>
  <si>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</si>
  <si>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</si>
  <si>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</si>
  <si>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</si>
  <si>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</si>
  <si>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</si>
  <si>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</si>
  <si>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</si>
  <si>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</si>
  <si>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</si>
  <si>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</si>
  <si>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</si>
  <si>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</si>
  <si>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</si>
  <si>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</si>
  <si>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</si>
  <si>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</si>
  <si>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</si>
  <si>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</si>
  <si>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</si>
  <si>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</si>
  <si>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</si>
  <si>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</si>
  <si>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</si>
  <si>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</si>
  <si>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</si>
  <si>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</si>
  <si>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</si>
  <si>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</si>
  <si>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</si>
  <si>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</si>
  <si>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</si>
  <si>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</si>
  <si>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</si>
  <si>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</si>
  <si>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</si>
  <si>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</si>
  <si>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</si>
  <si>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</si>
  <si>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</si>
  <si>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</si>
  <si>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</si>
  <si>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</si>
  <si>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</si>
  <si>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</si>
  <si>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</si>
  <si>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</si>
  <si>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</si>
  <si>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</si>
  <si>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</si>
  <si>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</si>
  <si>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</si>
  <si>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</si>
  <si>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</si>
  <si>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</si>
  <si>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</si>
  <si>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</si>
  <si>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</si>
  <si>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</si>
  <si>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</si>
  <si>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</si>
  <si>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</si>
  <si>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</si>
  <si>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</si>
  <si>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</si>
  <si>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</si>
  <si>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</si>
  <si>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</si>
  <si>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</si>
  <si>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</si>
  <si>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</si>
  <si>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</si>
  <si>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</si>
  <si>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</si>
  <si>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</si>
  <si>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</si>
  <si>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</si>
  <si>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</si>
  <si>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</si>
  <si>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</si>
  <si>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</si>
  <si>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</si>
  <si>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</si>
  <si>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</si>
  <si>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</si>
  <si>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</si>
  <si>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</si>
  <si>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</si>
  <si>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</si>
  <si>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</si>
  <si>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</si>
  <si>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</si>
  <si>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</si>
  <si>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</si>
  <si>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</si>
  <si>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</si>
  <si>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</si>
  <si>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</si>
  <si>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</si>
  <si>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</si>
  <si>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</si>
  <si>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</si>
  <si>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</si>
  <si>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</si>
  <si>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</si>
  <si>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</si>
  <si>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</si>
  <si>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</si>
  <si>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</si>
  <si>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</si>
  <si>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</si>
  <si>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</si>
  <si>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</si>
  <si>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</si>
  <si>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</si>
  <si>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</si>
  <si>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</si>
  <si>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</si>
  <si>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</si>
  <si>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</si>
  <si>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</si>
  <si>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</si>
  <si>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</si>
  <si>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</si>
  <si>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</si>
  <si>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</si>
  <si>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</si>
  <si>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</si>
  <si>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</si>
  <si>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</si>
  <si>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</si>
  <si>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</si>
  <si>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</si>
  <si>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</si>
  <si>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</si>
  <si>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</si>
  <si>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</si>
  <si>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</si>
  <si>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</si>
  <si>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</si>
  <si>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</si>
  <si>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</si>
  <si>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</si>
  <si>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</si>
  <si>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</si>
  <si>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</si>
  <si>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</si>
  <si>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</si>
  <si>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</si>
  <si>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</si>
  <si>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</si>
  <si>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</si>
  <si>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</si>
  <si>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</si>
  <si>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</si>
  <si>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</si>
  <si>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</si>
  <si>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</si>
  <si>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</si>
  <si>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</si>
  <si>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</si>
  <si>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</si>
  <si>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</si>
  <si>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</si>
  <si>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</si>
  <si>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</si>
  <si>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</si>
  <si>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</si>
  <si>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</si>
  <si>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</si>
  <si>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</si>
  <si>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</si>
  <si>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</si>
  <si>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</si>
  <si>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</si>
  <si>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</si>
  <si>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</si>
  <si>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</si>
  <si>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</si>
  <si>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</si>
  <si>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</si>
  <si>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</si>
  <si>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</si>
  <si>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</si>
  <si>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</si>
  <si>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</si>
  <si>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</si>
  <si>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</si>
  <si>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</si>
  <si>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</si>
  <si>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</si>
  <si>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</si>
  <si>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</si>
  <si>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</si>
  <si>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</si>
  <si>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</si>
  <si>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</si>
  <si>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</si>
  <si>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</si>
  <si>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</si>
  <si>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</si>
  <si>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</si>
  <si>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</si>
  <si>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</si>
  <si>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</si>
  <si>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</si>
  <si>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</si>
  <si>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</si>
  <si>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</si>
  <si>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</si>
  <si>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</si>
  <si>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</si>
  <si>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</si>
  <si>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</si>
  <si>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</si>
  <si>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</si>
  <si>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</si>
  <si>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</si>
  <si>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</si>
  <si>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</si>
  <si>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</si>
  <si>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</si>
  <si>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</si>
  <si>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</si>
  <si>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</si>
  <si>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</si>
  <si>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</si>
  <si>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</si>
  <si>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</si>
  <si>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</si>
  <si>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</si>
  <si>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</si>
  <si>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</si>
  <si>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</si>
  <si>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</si>
  <si>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</si>
  <si>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</si>
  <si>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</si>
  <si>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</si>
  <si>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</si>
  <si>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</si>
  <si>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</si>
  <si>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</si>
  <si>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</si>
  <si>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</si>
  <si>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</si>
  <si>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</si>
  <si>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</si>
  <si>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</si>
  <si>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</si>
  <si>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</si>
  <si>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</si>
  <si>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</si>
  <si>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</si>
  <si>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</si>
  <si>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</si>
  <si>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</si>
  <si>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</si>
  <si>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</si>
  <si>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</si>
  <si>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</si>
  <si>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</si>
  <si>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</si>
  <si>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</si>
  <si>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</si>
  <si>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</si>
  <si>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</si>
  <si>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</si>
  <si>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</si>
  <si>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</si>
  <si>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</si>
  <si>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</si>
  <si>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</si>
  <si>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</si>
  <si>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</si>
  <si>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</si>
  <si>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</si>
  <si>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</si>
  <si>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</si>
  <si>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</si>
  <si>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</si>
  <si>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</si>
  <si>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</si>
  <si>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</si>
  <si>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</si>
  <si>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</si>
  <si>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</si>
  <si>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</si>
  <si>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</si>
  <si>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</si>
  <si>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</si>
  <si>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</si>
  <si>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</si>
  <si>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</si>
  <si>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</si>
  <si>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</si>
  <si>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</si>
  <si>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</si>
  <si>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</si>
  <si>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</si>
  <si>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</si>
  <si>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</si>
  <si>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</si>
  <si>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</si>
  <si>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</si>
  <si>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</si>
  <si>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</si>
  <si>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</si>
  <si>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</si>
  <si>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</si>
  <si>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</si>
  <si>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</si>
  <si>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</si>
  <si>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</si>
  <si>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</si>
  <si>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</si>
  <si>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</si>
  <si>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</si>
  <si>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</si>
  <si>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</si>
  <si>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</si>
  <si>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</si>
  <si>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</si>
  <si>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</si>
  <si>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</si>
  <si>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</si>
  <si>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</si>
  <si>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</si>
  <si>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</si>
  <si>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</si>
  <si>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</si>
  <si>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</si>
  <si>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</si>
  <si>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</si>
  <si>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</si>
  <si>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</si>
  <si>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</si>
  <si>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</si>
  <si>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</si>
  <si>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</si>
  <si>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</si>
  <si>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</si>
  <si>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</si>
  <si>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</si>
  <si>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</si>
  <si>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</si>
  <si>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</si>
  <si>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</si>
  <si>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</si>
  <si>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</si>
  <si>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</si>
  <si>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</si>
  <si>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</si>
  <si>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</si>
  <si>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</si>
  <si>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</si>
  <si>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</si>
  <si>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</si>
  <si>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</si>
  <si>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</si>
  <si>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</si>
  <si>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</si>
  <si>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</si>
  <si>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</si>
  <si>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</si>
  <si>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</si>
  <si>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</si>
  <si>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</si>
  <si>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</si>
  <si>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</si>
  <si>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</si>
  <si>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</si>
  <si>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</si>
  <si>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</si>
  <si>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</si>
  <si>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</si>
  <si>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</si>
  <si>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</si>
  <si>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</si>
  <si>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</si>
  <si>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</si>
  <si>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</si>
  <si>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</si>
  <si>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</si>
  <si>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</si>
  <si>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</si>
  <si>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</si>
  <si>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</si>
  <si>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</si>
  <si>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</si>
  <si>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</si>
  <si>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</si>
  <si>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</si>
  <si>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</si>
  <si>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</si>
  <si>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</si>
  <si>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</si>
  <si>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</si>
  <si>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</si>
  <si>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</si>
  <si>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</si>
  <si>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</si>
  <si>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</si>
  <si>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</si>
  <si>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</si>
  <si>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</si>
  <si>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</si>
  <si>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</si>
  <si>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</si>
  <si>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</si>
  <si>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</si>
  <si>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</si>
  <si>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</si>
  <si>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</si>
  <si>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</si>
  <si>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</si>
  <si>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</si>
  <si>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</si>
  <si>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</si>
  <si>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</si>
  <si>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</si>
  <si>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</si>
  <si>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</si>
  <si>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</si>
  <si>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</si>
  <si>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</si>
  <si>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</si>
  <si>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</si>
  <si>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</si>
  <si>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</si>
  <si>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</si>
  <si>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</si>
  <si>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</si>
  <si>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</si>
  <si>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</si>
  <si>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</si>
  <si>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</si>
  <si>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</si>
  <si>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</si>
  <si>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</si>
  <si>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</si>
  <si>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</si>
  <si>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</si>
  <si>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</si>
  <si>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</si>
  <si>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</si>
  <si>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</si>
  <si>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</si>
  <si>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</si>
  <si>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</si>
  <si>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</si>
  <si>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</si>
  <si>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</si>
  <si>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</si>
  <si>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</si>
  <si>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</si>
  <si>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</si>
  <si>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</si>
  <si>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</si>
  <si>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</si>
  <si>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</si>
  <si>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</si>
  <si>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</si>
  <si>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</si>
  <si>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</si>
  <si>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</si>
  <si>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</si>
  <si>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</si>
  <si>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</si>
  <si>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</si>
  <si>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</si>
  <si>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</si>
  <si>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</si>
  <si>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</si>
  <si>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</si>
  <si>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</si>
  <si>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</si>
  <si>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</si>
  <si>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</si>
  <si>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</si>
  <si>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</si>
  <si>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</si>
  <si>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</si>
  <si>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</si>
  <si>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</si>
  <si>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</si>
  <si>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</si>
  <si>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</si>
  <si>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</si>
  <si>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</si>
  <si>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</si>
  <si>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</si>
  <si>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</si>
  <si>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</si>
  <si>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</si>
  <si>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</si>
  <si>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</si>
  <si>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</si>
  <si>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</si>
  <si>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</si>
  <si>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</si>
  <si>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</si>
  <si>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</si>
  <si>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</si>
  <si>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</si>
  <si>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</si>
  <si>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</si>
  <si>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</si>
  <si>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</si>
  <si>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</si>
  <si>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</si>
  <si>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</si>
  <si>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</si>
  <si>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</si>
  <si>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</si>
  <si>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</si>
  <si>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</si>
  <si>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</si>
  <si>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</si>
  <si>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</si>
  <si>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</si>
  <si>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</si>
  <si>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</si>
  <si>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</si>
  <si>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</si>
  <si>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</si>
  <si>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</si>
  <si>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</si>
  <si>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</si>
  <si>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</si>
  <si>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</si>
  <si>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</si>
  <si>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</si>
  <si>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</si>
  <si>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</si>
  <si>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</si>
  <si>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</si>
  <si>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</si>
  <si>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</si>
  <si>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</si>
  <si>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</si>
  <si>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</si>
  <si>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</si>
  <si>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</si>
  <si>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</si>
  <si>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</si>
  <si>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</si>
  <si>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</si>
  <si>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</si>
  <si>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</si>
  <si>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</si>
  <si>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</si>
  <si>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</si>
  <si>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</si>
  <si>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</si>
  <si>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</si>
  <si>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</si>
  <si>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</si>
  <si>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</si>
  <si>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</si>
  <si>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</si>
  <si>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</si>
  <si>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</si>
  <si>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</si>
  <si>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</si>
  <si>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</si>
  <si>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</si>
  <si>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</si>
  <si>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</si>
  <si>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</si>
  <si>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</si>
  <si>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</si>
  <si>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</si>
  <si>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</si>
  <si>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</si>
  <si>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</si>
  <si>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</si>
  <si>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</si>
  <si>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</si>
  <si>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</si>
  <si>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</si>
  <si>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</si>
  <si>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</si>
  <si>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</si>
  <si>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</si>
  <si>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</si>
  <si>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</si>
  <si>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</si>
  <si>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</si>
  <si>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</si>
  <si>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</si>
  <si>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</si>
  <si>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</si>
  <si>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</si>
  <si>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</si>
  <si>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</si>
  <si>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</si>
  <si>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</si>
  <si>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</si>
  <si>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</si>
  <si>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</si>
  <si>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</si>
  <si>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</si>
  <si>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</si>
  <si>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</si>
  <si>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</si>
  <si>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</si>
  <si>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</si>
  <si>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</si>
  <si>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</si>
  <si>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</si>
  <si>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</si>
  <si>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</si>
  <si>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</si>
  <si>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</si>
  <si>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</si>
  <si>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</si>
  <si>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</si>
  <si>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</si>
  <si>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</si>
  <si>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</si>
  <si>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</si>
  <si>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</si>
  <si>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</si>
  <si>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</si>
  <si>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</si>
  <si>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</si>
  <si>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</si>
  <si>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</si>
  <si>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</si>
  <si>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</si>
  <si>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</si>
  <si>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</si>
  <si>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</si>
  <si>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</si>
  <si>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</si>
  <si>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</si>
  <si>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</si>
  <si>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</si>
  <si>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</si>
  <si>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</si>
  <si>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</si>
  <si>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</si>
  <si>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</si>
  <si>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</si>
  <si>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</si>
  <si>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</si>
  <si>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</si>
  <si>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</si>
  <si>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</si>
  <si>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</si>
  <si>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</si>
  <si>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</si>
  <si>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</si>
  <si>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</si>
  <si>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</si>
  <si>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</si>
  <si>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</si>
  <si>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</si>
  <si>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</si>
  <si>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</si>
  <si>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</si>
  <si>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</si>
  <si>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</si>
  <si>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</si>
  <si>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</si>
  <si>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</si>
  <si>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</si>
  <si>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</si>
  <si>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</si>
  <si>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</si>
  <si>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</si>
  <si>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</si>
  <si>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</si>
  <si>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</si>
  <si>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</si>
  <si>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</si>
  <si>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</si>
  <si>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</si>
  <si>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</si>
  <si>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</si>
  <si>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</si>
  <si>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</si>
  <si>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</si>
  <si>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</si>
  <si>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</si>
  <si>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</si>
  <si>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</si>
  <si>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</si>
  <si>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</si>
  <si>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</si>
  <si>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</si>
  <si>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</si>
  <si>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</si>
  <si>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</si>
  <si>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</si>
  <si>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</si>
  <si>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</si>
  <si>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</si>
  <si>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</si>
  <si>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</si>
  <si>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</si>
  <si>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</si>
  <si>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</si>
  <si>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</si>
  <si>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</si>
  <si>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</si>
  <si>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</si>
  <si>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</si>
  <si>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</si>
  <si>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</si>
  <si>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</si>
  <si>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</si>
  <si>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</si>
  <si>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</si>
  <si>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</si>
  <si>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</si>
  <si>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</si>
  <si>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</si>
  <si>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</si>
  <si>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</si>
  <si>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</si>
  <si>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</si>
  <si>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</si>
  <si>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</si>
  <si>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</si>
  <si>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</si>
  <si>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</si>
  <si>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</si>
  <si>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</si>
  <si>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</si>
  <si>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</si>
  <si>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</si>
  <si>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</si>
  <si>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</si>
  <si>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</si>
  <si>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</si>
  <si>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</si>
  <si>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</si>
  <si>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</si>
  <si>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</si>
  <si>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</si>
  <si>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</si>
  <si>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</si>
  <si>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</si>
  <si>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</si>
  <si>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</si>
  <si>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</si>
  <si>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</si>
  <si>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</si>
  <si>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</si>
  <si>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</si>
  <si>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</si>
  <si>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</si>
  <si>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</si>
  <si>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</si>
  <si>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</si>
  <si>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</si>
  <si>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</si>
  <si>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</si>
  <si>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</si>
  <si>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</si>
  <si>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</si>
  <si>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</si>
  <si>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</si>
  <si>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</si>
  <si>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</si>
  <si>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</si>
  <si>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</si>
  <si>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</si>
  <si>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</si>
  <si>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</si>
  <si>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</si>
  <si>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</si>
  <si>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</si>
  <si>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</si>
  <si>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</si>
  <si>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</si>
  <si>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</si>
  <si>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</si>
  <si>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</si>
  <si>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</si>
  <si>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</si>
  <si>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</si>
  <si>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</si>
  <si>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</si>
  <si>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</si>
  <si>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</si>
  <si>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</si>
  <si>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</si>
  <si>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</si>
  <si>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</si>
  <si>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</si>
  <si>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</si>
  <si>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</si>
  <si>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</si>
  <si>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</si>
  <si>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</si>
  <si>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</si>
  <si>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</si>
  <si>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</si>
  <si>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</si>
  <si>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</si>
  <si>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</si>
  <si>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</si>
  <si>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</si>
  <si>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</si>
  <si>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</si>
  <si>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</si>
  <si>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</si>
  <si>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</si>
  <si>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</si>
  <si>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</si>
  <si>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</si>
  <si>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</si>
  <si>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</si>
  <si>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</si>
  <si>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</si>
  <si>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</si>
  <si>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</si>
  <si>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</si>
  <si>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</si>
  <si>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</si>
  <si>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</si>
  <si>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</si>
  <si>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</si>
  <si>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</si>
  <si>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</si>
  <si>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</si>
  <si>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</si>
  <si>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</si>
  <si>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</si>
  <si>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</si>
  <si>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</si>
  <si>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</si>
  <si>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</si>
  <si>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</si>
  <si>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</si>
  <si>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</si>
  <si>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</si>
  <si>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</si>
  <si>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</si>
  <si>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</si>
  <si>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</si>
  <si>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</si>
  <si>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</si>
  <si>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</si>
  <si>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</si>
  <si>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</si>
  <si>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</si>
  <si>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</si>
  <si>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</si>
  <si>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</si>
  <si>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</si>
  <si>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</si>
  <si>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</si>
  <si>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</si>
  <si>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</si>
  <si>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</si>
  <si>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</si>
  <si>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</si>
  <si>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</si>
  <si>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</si>
  <si>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</si>
  <si>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</si>
  <si>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</si>
  <si>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</si>
  <si>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</si>
  <si>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</si>
  <si>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</si>
  <si>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</si>
  <si>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</si>
  <si>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</si>
  <si>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</si>
  <si>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</si>
  <si>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</si>
  <si>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</si>
  <si>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</si>
  <si>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</si>
  <si>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</si>
  <si>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</si>
  <si>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</si>
  <si>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</si>
  <si>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</si>
  <si>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</si>
  <si>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</si>
  <si>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</si>
  <si>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</si>
  <si>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</si>
  <si>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</si>
  <si>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</si>
  <si>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</si>
  <si>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</si>
  <si>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</si>
  <si>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</si>
  <si>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</si>
  <si>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</si>
  <si>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</si>
  <si>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</si>
  <si>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</si>
  <si>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</si>
  <si>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</si>
  <si>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</si>
  <si>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</si>
  <si>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</si>
  <si>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</si>
  <si>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</si>
  <si>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</si>
  <si>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</si>
  <si>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</si>
  <si>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</si>
  <si>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</si>
  <si>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</si>
  <si>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</si>
  <si>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</si>
  <si>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</si>
  <si>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</si>
  <si>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</si>
  <si>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</si>
  <si>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</si>
  <si>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</si>
  <si>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</si>
  <si>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</si>
  <si>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</si>
  <si>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</si>
  <si>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</si>
  <si>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</si>
  <si>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</si>
  <si>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</si>
  <si>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</si>
  <si>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</si>
  <si>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</si>
  <si>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</si>
  <si>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</si>
  <si>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</si>
  <si>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</si>
  <si>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</si>
  <si>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</si>
  <si>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</si>
  <si>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</si>
  <si>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</si>
  <si>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</si>
  <si>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</si>
  <si>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</si>
  <si>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</si>
  <si>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</si>
  <si>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</si>
  <si>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</si>
  <si>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</si>
  <si>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</si>
  <si>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</si>
  <si>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</si>
  <si>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</si>
  <si>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</si>
  <si>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</si>
  <si>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</si>
  <si>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</si>
  <si>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</si>
  <si>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</si>
  <si>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</si>
  <si>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</si>
  <si>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</si>
  <si>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</si>
  <si>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</si>
  <si>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</si>
  <si>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</si>
  <si>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</si>
  <si>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</si>
  <si>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</si>
  <si>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</si>
  <si>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</si>
  <si>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</si>
  <si>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</si>
  <si>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</si>
  <si>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</si>
  <si>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</si>
  <si>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</si>
  <si>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</si>
  <si>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</si>
  <si>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</si>
  <si>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</si>
  <si>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</si>
  <si>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</si>
  <si>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</si>
  <si>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</si>
  <si>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</si>
  <si>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</si>
  <si>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</si>
  <si>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</si>
  <si>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</si>
  <si>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</si>
  <si>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</si>
  <si>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</si>
  <si>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</si>
  <si>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</si>
  <si>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</si>
  <si>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</si>
  <si>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</si>
  <si>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</si>
  <si>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</si>
  <si>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</si>
  <si>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</si>
  <si>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</si>
  <si>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</si>
  <si>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</si>
  <si>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</si>
  <si>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</si>
  <si>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</si>
  <si>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</si>
  <si>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</si>
  <si>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</si>
  <si>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</si>
  <si>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</si>
  <si>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</si>
  <si>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</si>
  <si>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</si>
  <si>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</si>
  <si>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</si>
  <si>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</si>
  <si>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</si>
  <si>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</si>
  <si>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</si>
  <si>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</si>
  <si>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</si>
  <si>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</si>
  <si>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</si>
  <si>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</si>
  <si>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</si>
  <si>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</si>
  <si>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</si>
  <si>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</si>
  <si>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</si>
  <si>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</si>
  <si>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</si>
  <si>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</si>
  <si>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</si>
  <si>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</si>
  <si>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</si>
  <si>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</si>
  <si>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</si>
  <si>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</si>
  <si>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</si>
  <si>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</si>
  <si>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</si>
  <si>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</si>
  <si>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</si>
  <si>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</si>
  <si>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</si>
  <si>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</si>
  <si>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</si>
  <si>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</si>
  <si>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</si>
  <si>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</si>
  <si>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</si>
  <si>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</si>
  <si>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</si>
  <si>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</si>
  <si>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</si>
  <si>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</si>
  <si>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</si>
  <si>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</si>
  <si>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</si>
  <si>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</si>
  <si>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</si>
  <si>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</si>
  <si>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</si>
  <si>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</si>
  <si>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</si>
  <si>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</si>
  <si>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</si>
  <si>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</si>
  <si>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</si>
  <si>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</si>
  <si>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</si>
  <si>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</si>
  <si>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</si>
  <si>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</si>
  <si>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</si>
  <si>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</si>
  <si>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</si>
  <si>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</si>
  <si>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</si>
  <si>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</si>
  <si>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</si>
  <si>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</si>
  <si>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</si>
  <si>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</si>
  <si>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</si>
  <si>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</si>
  <si>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</si>
  <si>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</si>
  <si>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</si>
  <si>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</si>
  <si>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</si>
  <si>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</si>
  <si>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</si>
  <si>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</si>
  <si>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</si>
  <si>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</si>
  <si>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</si>
  <si>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</si>
  <si>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</si>
  <si>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</si>
  <si>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</si>
  <si>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</si>
  <si>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</si>
  <si>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</si>
  <si>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</si>
  <si>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</si>
  <si>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</si>
  <si>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</si>
  <si>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</si>
  <si>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</si>
  <si>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</si>
  <si>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</si>
  <si>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</si>
  <si>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</si>
  <si>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</si>
  <si>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</si>
  <si>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</si>
  <si>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</si>
  <si>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</si>
  <si>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</si>
  <si>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</si>
  <si>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</si>
  <si>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</si>
  <si>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</si>
  <si>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</si>
  <si>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</si>
  <si>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</si>
  <si>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</si>
  <si>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</si>
  <si>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</si>
  <si>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</si>
  <si>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</si>
  <si>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</si>
  <si>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</si>
  <si>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</si>
  <si>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</si>
  <si>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</si>
  <si>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</si>
  <si>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</si>
  <si>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</si>
  <si>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</si>
  <si>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</si>
  <si>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</si>
  <si>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</si>
  <si>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</si>
  <si>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</si>
  <si>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</si>
  <si>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</si>
  <si>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</si>
  <si>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</si>
  <si>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</si>
  <si>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</si>
  <si>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</si>
  <si>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</si>
  <si>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</si>
  <si>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</si>
  <si>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</si>
  <si>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</si>
  <si>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</si>
  <si>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</si>
  <si>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</si>
  <si>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</si>
  <si>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</si>
  <si>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</si>
  <si>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</si>
  <si>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</si>
  <si>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</si>
  <si>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</si>
  <si>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</si>
  <si>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</si>
  <si>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</si>
  <si>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</si>
  <si>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</si>
  <si>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</si>
  <si>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</si>
  <si>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</si>
  <si>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</si>
  <si>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</si>
  <si>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</si>
  <si>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</si>
  <si>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</si>
  <si>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</si>
  <si>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</si>
  <si>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</si>
  <si>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</si>
  <si>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</si>
  <si>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</si>
  <si>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</si>
  <si>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</si>
  <si>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</si>
  <si>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</si>
  <si>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</si>
  <si>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</si>
  <si>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</si>
  <si>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</si>
  <si>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</si>
  <si>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</si>
  <si>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</si>
  <si>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</si>
  <si>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</si>
  <si>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</si>
  <si>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</si>
  <si>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</si>
  <si>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</si>
  <si>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</si>
  <si>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</si>
  <si>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</si>
  <si>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</si>
  <si>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</si>
  <si>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</si>
  <si>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</si>
  <si>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</si>
  <si>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</si>
  <si>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</si>
  <si>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</si>
  <si>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</si>
  <si>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</si>
  <si>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</si>
  <si>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</si>
  <si>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</si>
  <si>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</si>
  <si>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</si>
  <si>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</si>
  <si>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</si>
  <si>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</si>
  <si>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</si>
  <si>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</si>
  <si>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</si>
  <si>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</si>
  <si>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</si>
  <si>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</si>
  <si>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</si>
  <si>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</si>
  <si>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</si>
  <si>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</si>
  <si>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</si>
  <si>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</si>
  <si>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</si>
  <si>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</si>
  <si>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</si>
  <si>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</si>
  <si>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</si>
  <si>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</si>
  <si>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</si>
  <si>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</si>
  <si>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</si>
  <si>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</si>
  <si>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</si>
  <si>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</si>
  <si>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</si>
  <si>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</si>
  <si>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</si>
  <si>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</si>
  <si>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</si>
  <si>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</si>
  <si>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</si>
  <si>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</si>
  <si>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</si>
  <si>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</si>
  <si>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</si>
  <si>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</si>
  <si>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</si>
  <si>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</si>
  <si>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</si>
  <si>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</si>
  <si>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</si>
  <si>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</si>
  <si>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</si>
  <si>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</si>
  <si>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</si>
  <si>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</si>
  <si>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</si>
  <si>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</si>
  <si>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</si>
  <si>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</si>
  <si>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</si>
  <si>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</si>
  <si>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</si>
  <si>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</si>
  <si>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</si>
  <si>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</si>
  <si>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</si>
  <si>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</si>
  <si>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</si>
  <si>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</si>
  <si>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</si>
  <si>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</si>
  <si>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</si>
  <si>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</si>
  <si>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</si>
  <si>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</si>
  <si>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</si>
  <si>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</si>
  <si>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</si>
  <si>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</si>
  <si>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</si>
  <si>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</si>
  <si>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</si>
  <si>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</si>
  <si>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</si>
  <si>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</si>
  <si>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</si>
  <si>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</si>
  <si>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</si>
  <si>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</si>
  <si>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</si>
  <si>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</si>
  <si>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</si>
  <si>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</si>
  <si>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</si>
  <si>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</si>
  <si>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</si>
  <si>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</si>
  <si>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</si>
  <si>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</si>
  <si>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</si>
  <si>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</si>
  <si>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</si>
  <si>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</si>
  <si>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</si>
  <si>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</si>
  <si>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</si>
  <si>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</si>
  <si>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</si>
  <si>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</si>
  <si>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</si>
  <si>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</si>
  <si>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</si>
  <si>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</si>
  <si>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</si>
  <si>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</si>
  <si>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</si>
  <si>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</si>
  <si>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</si>
  <si>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</si>
  <si>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</si>
  <si>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</si>
  <si>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</si>
  <si>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</si>
  <si>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</si>
  <si>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</si>
  <si>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</si>
  <si>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</si>
  <si>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</si>
  <si>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</si>
  <si>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</si>
  <si>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</si>
  <si>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</si>
  <si>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</si>
  <si>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</si>
  <si>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</si>
  <si>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</si>
  <si>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</si>
  <si>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</si>
  <si>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</si>
  <si>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</si>
  <si>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</si>
  <si>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</si>
  <si>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</si>
  <si>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</si>
  <si>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</si>
  <si>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</si>
  <si>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</si>
  <si>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</si>
  <si>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</si>
  <si>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</si>
  <si>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</si>
  <si>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</si>
  <si>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</si>
  <si>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</si>
  <si>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</si>
  <si>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</si>
  <si>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</si>
  <si>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</si>
  <si>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</si>
  <si>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</si>
  <si>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</si>
  <si>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</si>
  <si>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</si>
  <si>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</si>
  <si>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</si>
  <si>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</si>
  <si>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</si>
  <si>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</si>
  <si>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</si>
  <si>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</si>
  <si>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</si>
  <si>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</si>
  <si>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</si>
  <si>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</si>
  <si>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</si>
  <si>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</si>
  <si>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</si>
  <si>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</si>
  <si>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</si>
  <si>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</si>
  <si>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</si>
  <si>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</si>
  <si>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</si>
  <si>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</si>
  <si>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</si>
  <si>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</si>
  <si>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</si>
  <si>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</si>
  <si>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</si>
  <si>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</si>
  <si>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</si>
  <si>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</si>
  <si>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</si>
  <si>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</si>
  <si>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</si>
  <si>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</si>
  <si>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</si>
  <si>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</si>
  <si>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</si>
  <si>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</si>
  <si>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</si>
  <si>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</si>
  <si>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</si>
  <si>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</si>
  <si>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</si>
  <si>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</si>
  <si>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</si>
  <si>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</si>
  <si>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</si>
  <si>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</si>
  <si>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</si>
  <si>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</si>
  <si>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</si>
  <si>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</si>
  <si>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</si>
  <si>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</si>
  <si>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</si>
  <si>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</si>
  <si>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</si>
  <si>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</si>
  <si>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</si>
  <si>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</si>
  <si>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</si>
  <si>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</si>
  <si>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</si>
  <si>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</si>
  <si>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</si>
  <si>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</si>
  <si>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</si>
  <si>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</si>
  <si>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</si>
  <si>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</si>
  <si>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</si>
  <si>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</si>
  <si>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</si>
  <si>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</si>
  <si>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</si>
  <si>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</si>
  <si>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</si>
  <si>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</si>
  <si>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</si>
  <si>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</si>
  <si>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</si>
  <si>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</si>
  <si>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</si>
  <si>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</si>
  <si>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</si>
  <si>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</si>
  <si>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</si>
  <si>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</si>
  <si>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</si>
  <si>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</si>
  <si>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</si>
  <si>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</si>
  <si>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</si>
  <si>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</si>
  <si>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</si>
  <si>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</si>
  <si>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</si>
  <si>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</si>
  <si>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</si>
  <si>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</si>
  <si>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</si>
  <si>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</si>
  <si>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</si>
  <si>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</si>
  <si>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</si>
  <si>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</si>
  <si>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</si>
  <si>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</si>
  <si>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</si>
  <si>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</si>
  <si>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</si>
  <si>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</si>
  <si>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</si>
  <si>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</si>
  <si>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</si>
  <si>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</si>
  <si>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</si>
  <si>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</si>
  <si>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</si>
  <si>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</si>
  <si>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</si>
  <si>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</si>
  <si>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</si>
  <si>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</si>
  <si>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</si>
  <si>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</si>
  <si>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</si>
  <si>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</si>
  <si>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</si>
  <si>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</si>
  <si>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</si>
  <si>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</si>
  <si>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</si>
  <si>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</si>
  <si>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</si>
  <si>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</si>
  <si>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</si>
  <si>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</si>
  <si>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</si>
  <si>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</si>
  <si>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</si>
  <si>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</si>
  <si>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</si>
  <si>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</si>
  <si>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</si>
  <si>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</si>
  <si>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</si>
  <si>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</si>
  <si>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</si>
  <si>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</si>
  <si>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</si>
  <si>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</si>
  <si>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</si>
  <si>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</si>
  <si>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</si>
  <si>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</si>
  <si>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</si>
  <si>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</si>
  <si>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</si>
  <si>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</si>
  <si>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</si>
  <si>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</si>
  <si>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</si>
  <si>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</si>
  <si>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</si>
  <si>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</si>
  <si>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</si>
  <si>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</si>
  <si>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</si>
  <si>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</si>
  <si>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</si>
  <si>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</si>
  <si>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</si>
  <si>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</si>
  <si>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</si>
  <si>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</si>
  <si>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</si>
  <si>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</si>
  <si>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</si>
  <si>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</si>
  <si>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</si>
  <si>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</si>
  <si>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</si>
  <si>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</si>
  <si>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</si>
  <si>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</si>
  <si>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</si>
  <si>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</si>
  <si>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</si>
  <si>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</si>
  <si>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</si>
  <si>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</si>
  <si>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</si>
  <si>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</si>
  <si>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</si>
  <si>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</si>
  <si>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</si>
  <si>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</si>
  <si>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</si>
  <si>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</si>
  <si>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</si>
  <si>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</si>
  <si>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</si>
  <si>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</si>
  <si>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</si>
  <si>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</si>
  <si>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</si>
  <si>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</si>
  <si>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</si>
  <si>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</si>
  <si>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</si>
  <si>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</si>
  <si>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</si>
  <si>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</si>
  <si>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</si>
  <si>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</si>
  <si>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</si>
  <si>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</si>
  <si>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</si>
  <si>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</si>
  <si>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</si>
  <si>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</si>
  <si>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</si>
  <si>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</si>
  <si>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</si>
  <si>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</si>
  <si>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</si>
  <si>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</si>
  <si>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</si>
  <si>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</si>
  <si>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</si>
  <si>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</si>
  <si>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</si>
  <si>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</si>
  <si>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</si>
  <si>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</si>
  <si>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</si>
  <si>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</si>
  <si>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</si>
  <si>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</si>
  <si>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</si>
  <si>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</si>
  <si>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</si>
  <si>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</si>
  <si>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</si>
  <si>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</si>
  <si>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</si>
  <si>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</si>
  <si>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</si>
  <si>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</si>
  <si>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</si>
  <si>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</si>
  <si>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</si>
  <si>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</si>
  <si>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</si>
  <si>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</si>
  <si>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</si>
  <si>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</si>
  <si>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</si>
  <si>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</si>
  <si>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</si>
  <si>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</si>
  <si>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</si>
  <si>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</si>
  <si>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</si>
  <si>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</si>
  <si>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</si>
  <si>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</si>
  <si>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</si>
  <si>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</si>
  <si>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</si>
  <si>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</si>
  <si>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</si>
  <si>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</si>
  <si>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</si>
  <si>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</si>
  <si>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</si>
  <si>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</si>
  <si>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</si>
  <si>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</si>
  <si>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</si>
  <si>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</si>
  <si>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</si>
  <si>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</si>
  <si>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</si>
  <si>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</si>
  <si>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</si>
  <si>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</si>
  <si>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</si>
  <si>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</si>
  <si>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</si>
  <si>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</si>
  <si>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</si>
  <si>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</si>
  <si>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</si>
  <si>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</si>
  <si>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</si>
  <si>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</si>
  <si>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</si>
  <si>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</si>
  <si>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</si>
  <si>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</si>
  <si>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</si>
  <si>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</si>
  <si>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</si>
  <si>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</si>
  <si>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</si>
  <si>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</si>
  <si>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</si>
  <si>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</si>
  <si>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</si>
  <si>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</si>
  <si>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</si>
  <si>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</si>
  <si>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</si>
  <si>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</si>
  <si>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</si>
  <si>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</si>
  <si>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</si>
  <si>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</si>
  <si>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</si>
  <si>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</si>
  <si>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</si>
  <si>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</si>
  <si>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</si>
  <si>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</si>
  <si>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</si>
  <si>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</si>
  <si>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</si>
  <si>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</si>
  <si>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</si>
  <si>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</si>
  <si>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</si>
  <si>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</si>
  <si>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</si>
  <si>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</si>
  <si>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</si>
  <si>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</si>
  <si>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</si>
  <si>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</si>
  <si>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</si>
  <si>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</si>
  <si>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</si>
  <si>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</si>
  <si>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</si>
  <si>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</si>
  <si>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</si>
  <si>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</si>
  <si>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</si>
  <si>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</si>
  <si>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</si>
  <si>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</si>
  <si>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</si>
  <si>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</si>
  <si>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</si>
  <si>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</si>
  <si>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</si>
  <si>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</si>
  <si>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</si>
  <si>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</si>
  <si>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</si>
  <si>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</si>
  <si>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</si>
  <si>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</si>
  <si>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</si>
  <si>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</si>
  <si>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</si>
  <si>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</si>
  <si>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</si>
  <si>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</si>
  <si>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</si>
  <si>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</si>
  <si>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</si>
  <si>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</si>
  <si>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</si>
  <si>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</si>
  <si>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</si>
  <si>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</si>
  <si>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</si>
  <si>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</si>
  <si>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</si>
  <si>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</si>
  <si>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</si>
  <si>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</si>
  <si>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</si>
  <si>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</si>
  <si>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</si>
  <si>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</si>
  <si>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</si>
  <si>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</si>
  <si>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</si>
  <si>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</si>
  <si>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</si>
  <si>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</si>
  <si>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</si>
  <si>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</si>
  <si>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</si>
  <si>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</si>
  <si>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</si>
  <si>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</si>
  <si>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</si>
  <si>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</si>
  <si>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</si>
  <si>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</si>
  <si>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</si>
  <si>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</si>
  <si>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</si>
  <si>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</si>
  <si>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</si>
  <si>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</si>
  <si>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</si>
  <si>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</si>
  <si>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</si>
  <si>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</si>
  <si>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</si>
  <si>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</si>
  <si>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</si>
  <si>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</si>
  <si>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</si>
  <si>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</si>
  <si>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</si>
  <si>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</si>
  <si>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</si>
  <si>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</si>
  <si>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</si>
  <si>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</si>
  <si>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</si>
  <si>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</si>
  <si>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</si>
  <si>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</si>
  <si>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</si>
  <si>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</si>
  <si>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</si>
  <si>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</si>
  <si>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</si>
  <si>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</si>
  <si>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</si>
  <si>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</si>
  <si>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</si>
  <si>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</si>
  <si>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</si>
  <si>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</si>
  <si>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</si>
  <si>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</si>
  <si>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</si>
  <si>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</si>
  <si>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</si>
  <si>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</si>
  <si>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</si>
  <si>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</si>
  <si>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</si>
  <si>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</si>
  <si>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</si>
  <si>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</si>
  <si>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</si>
  <si>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</si>
  <si>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</si>
  <si>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</si>
  <si>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</si>
  <si>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</si>
  <si>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</si>
  <si>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</si>
  <si>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</si>
  <si>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</si>
  <si>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</si>
  <si>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</si>
  <si>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</si>
  <si>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</si>
  <si>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</si>
  <si>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</si>
  <si>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</si>
  <si>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</si>
  <si>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</si>
  <si>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</si>
  <si>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</si>
  <si>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</si>
  <si>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</si>
  <si>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</si>
  <si>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</si>
  <si>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</si>
  <si>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</si>
  <si>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</si>
  <si>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</si>
  <si>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</si>
  <si>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</si>
  <si>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</si>
  <si>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</si>
  <si>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</si>
  <si>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</si>
  <si>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</si>
  <si>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</si>
  <si>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</si>
  <si>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</si>
  <si>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</si>
  <si>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</si>
  <si>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</si>
  <si>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</si>
  <si>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</si>
  <si>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</si>
  <si>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</si>
  <si>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</si>
  <si>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</si>
  <si>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</si>
  <si>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</si>
  <si>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</si>
  <si>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</si>
  <si>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</si>
  <si>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</si>
  <si>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</si>
  <si>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</si>
  <si>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</si>
  <si>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</si>
  <si>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</si>
  <si>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</si>
  <si>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</si>
  <si>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</si>
  <si>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</si>
  <si>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</si>
  <si>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</si>
  <si>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</si>
  <si>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</si>
  <si>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</si>
  <si>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</si>
  <si>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</si>
  <si>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</si>
  <si>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</si>
  <si>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</si>
  <si>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</si>
  <si>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</si>
  <si>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</si>
  <si>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</si>
  <si>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</si>
  <si>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</si>
  <si>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</si>
  <si>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</si>
  <si>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</si>
  <si>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</si>
  <si>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</si>
  <si>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</si>
  <si>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</si>
  <si>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</si>
  <si>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</si>
  <si>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</si>
  <si>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</si>
  <si>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</si>
  <si>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</si>
  <si>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</si>
  <si>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</si>
  <si>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</si>
  <si>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</si>
  <si>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</si>
  <si>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</si>
  <si>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</si>
  <si>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</si>
  <si>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</si>
  <si>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</si>
  <si>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</si>
  <si>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</si>
  <si>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</si>
  <si>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</si>
  <si>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</si>
  <si>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</si>
  <si>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</si>
  <si>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</si>
  <si>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</si>
  <si>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</si>
  <si>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</si>
  <si>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</si>
  <si>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</si>
  <si>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</si>
  <si>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</si>
  <si>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</si>
  <si>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</si>
  <si>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</si>
  <si>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</si>
  <si>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</si>
  <si>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</si>
  <si>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</si>
  <si>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</si>
  <si>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</si>
  <si>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</si>
  <si>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</si>
  <si>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</si>
  <si>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</si>
  <si>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</si>
  <si>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</si>
  <si>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</si>
  <si>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</si>
  <si>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</si>
  <si>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</si>
  <si>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</si>
  <si>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</si>
  <si>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</si>
  <si>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</si>
  <si>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</si>
  <si>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</si>
  <si>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</si>
  <si>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</si>
  <si>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</si>
  <si>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</si>
  <si>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</si>
  <si>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</si>
  <si>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</si>
  <si>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</si>
  <si>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</si>
  <si>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</si>
  <si>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</si>
  <si>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</si>
  <si>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</si>
  <si>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</si>
  <si>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</si>
  <si>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</si>
  <si>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</si>
  <si>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</si>
  <si>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</si>
  <si>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</si>
  <si>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</si>
  <si>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</si>
  <si>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</si>
  <si>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</si>
  <si>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</si>
  <si>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</si>
  <si>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</si>
  <si>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</si>
  <si>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</si>
  <si>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</si>
  <si>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</si>
  <si>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</si>
  <si>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</si>
  <si>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</si>
  <si>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</si>
  <si>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</si>
  <si>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</si>
  <si>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</si>
  <si>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</si>
  <si>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</si>
  <si>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</si>
  <si>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</si>
  <si>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</si>
  <si>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</si>
  <si>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</si>
  <si>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</si>
  <si>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</si>
  <si>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</si>
  <si>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</si>
  <si>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</si>
  <si>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</si>
  <si>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</si>
  <si>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</si>
  <si>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</si>
  <si>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</si>
  <si>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</si>
  <si>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</si>
  <si>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</si>
  <si>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</si>
  <si>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</si>
  <si>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</si>
  <si>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</si>
  <si>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</si>
  <si>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</si>
  <si>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</si>
  <si>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</si>
  <si>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</si>
  <si>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</si>
  <si>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</si>
  <si>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</si>
  <si>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</si>
  <si>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</si>
  <si>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</si>
  <si>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</si>
  <si>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</si>
  <si>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</si>
  <si>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</si>
  <si>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</si>
  <si>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</si>
  <si>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</si>
  <si>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</si>
  <si>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</si>
  <si>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</si>
  <si>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</si>
  <si>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</si>
  <si>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</si>
  <si>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</si>
  <si>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</si>
  <si>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</si>
  <si>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</si>
  <si>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</si>
  <si>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</si>
  <si>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</si>
  <si>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</si>
  <si>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</si>
  <si>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</si>
  <si>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</si>
  <si>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</si>
  <si>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</si>
  <si>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</si>
  <si>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</si>
  <si>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</si>
  <si>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</si>
  <si>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</si>
  <si>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</si>
  <si>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</si>
  <si>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</si>
  <si>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</si>
  <si>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</si>
  <si>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</si>
  <si>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</si>
  <si>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</si>
  <si>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</si>
  <si>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</si>
  <si>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</si>
  <si>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</si>
  <si>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</si>
  <si>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</si>
  <si>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</si>
  <si>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</si>
  <si>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</si>
  <si>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</si>
  <si>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</si>
  <si>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</si>
  <si>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</si>
  <si>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</si>
  <si>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</si>
  <si>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</si>
  <si>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</si>
  <si>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</si>
  <si>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</si>
  <si>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</si>
  <si>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</si>
  <si>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</si>
  <si>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</si>
  <si>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</si>
  <si>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</si>
  <si>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</si>
  <si>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</si>
  <si>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</si>
  <si>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</si>
  <si>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</si>
  <si>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</si>
  <si>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</si>
  <si>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</si>
  <si>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</si>
  <si>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</si>
  <si>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</si>
  <si>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</si>
  <si>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</si>
  <si>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</si>
  <si>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</si>
  <si>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</si>
  <si>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</si>
  <si>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</si>
  <si>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</si>
  <si>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</si>
  <si>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</si>
  <si>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</si>
  <si>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</si>
  <si>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</si>
  <si>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</si>
  <si>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</si>
  <si>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</si>
  <si>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</si>
  <si>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</si>
  <si>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</si>
  <si>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</si>
  <si>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</si>
  <si>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</si>
  <si>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</si>
  <si>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</si>
  <si>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</si>
  <si>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</si>
  <si>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</si>
  <si>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</si>
  <si>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</si>
  <si>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</si>
  <si>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</si>
  <si>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</si>
  <si>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</si>
  <si>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</si>
  <si>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</si>
  <si>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</si>
  <si>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</si>
  <si>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</si>
  <si>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</si>
  <si>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</si>
  <si>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</si>
  <si>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</si>
  <si>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</si>
  <si>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</si>
  <si>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</si>
  <si>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</si>
  <si>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</si>
  <si>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</si>
  <si>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</si>
  <si>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</si>
  <si>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</si>
  <si>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</si>
  <si>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</si>
  <si>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</si>
  <si>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</si>
  <si>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</si>
  <si>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</si>
  <si>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</si>
  <si>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</si>
  <si>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</si>
  <si>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</si>
  <si>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</si>
  <si>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</si>
  <si>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</si>
  <si>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</si>
  <si>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</si>
  <si>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</si>
  <si>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</si>
  <si>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</si>
  <si>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</si>
  <si>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</si>
  <si>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</si>
  <si>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</si>
  <si>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</si>
  <si>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</si>
  <si>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</si>
  <si>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</si>
  <si>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</si>
  <si>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</si>
  <si>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</si>
  <si>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</si>
  <si>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</si>
  <si>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</si>
  <si>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</si>
  <si>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</si>
  <si>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</si>
  <si>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</si>
  <si>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</si>
  <si>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</si>
  <si>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</si>
  <si>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</si>
  <si>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</si>
  <si>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</si>
  <si>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</si>
  <si>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</si>
  <si>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</si>
  <si>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</si>
  <si>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</si>
  <si>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</si>
  <si>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</si>
  <si>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</si>
  <si>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</si>
  <si>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</si>
  <si>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</si>
  <si>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</si>
  <si>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</si>
  <si>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</si>
  <si>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</si>
  <si>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kernel methods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</si>
  <si>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</si>
  <si>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</si>
  <si>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</si>
  <si>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</si>
  <si>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</si>
  <si>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</si>
  <si>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</si>
  <si>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</si>
  <si>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</si>
  <si>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</si>
  <si>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</si>
  <si>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</si>
  <si>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</si>
  <si>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</si>
  <si>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</si>
  <si>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</si>
  <si>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</si>
  <si>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</si>
  <si>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</si>
  <si>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</si>
  <si>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</si>
  <si>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</si>
  <si>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</si>
  <si>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</si>
  <si>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</si>
  <si>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</si>
  <si>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</si>
  <si>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</si>
  <si>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</si>
  <si>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</si>
  <si>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</si>
  <si>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</si>
  <si>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</si>
  <si>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</si>
  <si>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</si>
  <si>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</si>
  <si>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</si>
  <si>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</si>
  <si>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</si>
  <si>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</si>
  <si>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</si>
  <si>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</si>
  <si>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</si>
  <si>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</si>
  <si>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</si>
  <si>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</si>
  <si>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</si>
  <si>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</si>
  <si>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</si>
  <si>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</si>
  <si>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</si>
  <si>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</si>
  <si>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</si>
  <si>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</si>
  <si>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</si>
  <si>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</si>
  <si>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</si>
  <si>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</si>
  <si>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</si>
  <si>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</si>
  <si>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</si>
  <si>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</si>
  <si>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</si>
  <si>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</si>
  <si>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</si>
  <si>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</si>
  <si>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</si>
  <si>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</si>
  <si>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</si>
  <si>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</si>
  <si>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</si>
  <si>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</si>
  <si>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</si>
  <si>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</si>
  <si>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</si>
  <si>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</si>
  <si>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</si>
  <si>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</si>
  <si>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</si>
  <si>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</si>
  <si>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</si>
  <si>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</si>
  <si>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</si>
  <si>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</si>
  <si>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</si>
  <si>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</si>
  <si>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</si>
  <si>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</si>
  <si>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</si>
  <si>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</si>
  <si>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</si>
  <si>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</si>
  <si>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</si>
  <si>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</si>
  <si>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</si>
  <si>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</si>
  <si>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</si>
  <si>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</si>
  <si>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</si>
  <si>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</si>
  <si>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</si>
  <si>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</si>
  <si>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</si>
  <si>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</si>
  <si>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</si>
  <si>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</si>
  <si>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</si>
  <si>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</si>
  <si>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</si>
  <si>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</si>
  <si>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</si>
  <si>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</si>
  <si>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</si>
  <si>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</si>
  <si>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</si>
  <si>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</si>
  <si>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</si>
  <si>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</si>
  <si>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</si>
  <si>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</si>
  <si>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</si>
  <si>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</si>
  <si>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</si>
  <si>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</si>
  <si>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</si>
  <si>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</si>
  <si>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</si>
  <si>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</si>
  <si>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</si>
  <si>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</si>
  <si>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</si>
  <si>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</si>
  <si>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</si>
  <si>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</si>
  <si>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</si>
  <si>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</si>
  <si>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</si>
  <si>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</si>
  <si>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</si>
  <si>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</si>
  <si>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</si>
  <si>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</si>
  <si>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</si>
  <si>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</si>
  <si>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</si>
  <si>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</si>
  <si>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</si>
  <si>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</si>
  <si>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</si>
  <si>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</si>
  <si>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</si>
  <si>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</si>
  <si>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</si>
  <si>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</si>
  <si>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</si>
  <si>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</si>
  <si>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</si>
  <si>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</si>
  <si>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</si>
  <si>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</si>
  <si>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</si>
  <si>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</si>
  <si>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</si>
  <si>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</si>
  <si>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</si>
  <si>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</si>
  <si>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</si>
  <si>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</si>
  <si>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</si>
  <si>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</si>
  <si>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</si>
  <si>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</si>
  <si>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</si>
  <si>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</si>
  <si>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</si>
  <si>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</si>
  <si>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</si>
  <si>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</si>
  <si>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</si>
  <si>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</si>
  <si>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</si>
  <si>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</si>
  <si>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</si>
  <si>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</si>
  <si>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</si>
  <si>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</si>
  <si>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</si>
  <si>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</si>
  <si>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</si>
  <si>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</si>
  <si>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</si>
  <si>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</si>
  <si>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</si>
  <si>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</si>
  <si>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</si>
  <si>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</si>
  <si>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</si>
  <si>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</si>
  <si>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</si>
  <si>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</si>
  <si>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</si>
  <si>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</si>
  <si>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</si>
  <si>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</si>
  <si>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</si>
  <si>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</si>
  <si>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</si>
  <si>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</si>
  <si>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</si>
  <si>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</si>
  <si>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</si>
  <si>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</si>
  <si>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</si>
  <si>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</si>
  <si>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</si>
  <si>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</si>
  <si>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</si>
  <si>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</si>
  <si>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</si>
  <si>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</si>
  <si>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</si>
  <si>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</si>
  <si>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</si>
  <si>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</si>
  <si>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</si>
  <si>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</si>
  <si>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</si>
  <si>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</si>
  <si>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</si>
  <si>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</si>
  <si>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</si>
  <si>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</si>
  <si>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</si>
  <si>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</si>
  <si>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</si>
  <si>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</si>
  <si>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</si>
  <si>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</si>
  <si>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</si>
  <si>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</si>
  <si>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</si>
  <si>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</si>
  <si>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</si>
  <si>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</si>
  <si>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</si>
  <si>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</si>
  <si>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</si>
  <si>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</si>
  <si>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</si>
  <si>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</si>
  <si>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</si>
  <si>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</si>
  <si>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</si>
  <si>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</si>
  <si>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</si>
  <si>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</si>
  <si>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</si>
  <si>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</si>
  <si>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</si>
  <si>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</si>
  <si>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</si>
  <si>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</si>
  <si>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</si>
  <si>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</si>
  <si>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</si>
  <si>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</si>
  <si>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</si>
  <si>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</si>
  <si>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</si>
  <si>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</si>
  <si>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</si>
  <si>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</si>
  <si>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</si>
  <si>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</si>
  <si>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</si>
  <si>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</si>
  <si>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</si>
  <si>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</si>
  <si>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</si>
  <si>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</si>
  <si>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</si>
  <si>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</si>
  <si>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</si>
  <si>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</si>
  <si>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</si>
  <si>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</si>
  <si>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</si>
  <si>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</si>
  <si>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</si>
  <si>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</si>
  <si>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</si>
  <si>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</si>
  <si>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</si>
  <si>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</si>
  <si>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</si>
  <si>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</si>
  <si>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</si>
  <si>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</si>
  <si>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</si>
  <si>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</si>
  <si>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</si>
  <si>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</si>
  <si>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</si>
  <si>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</si>
  <si>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</si>
  <si>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</si>
  <si>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</si>
  <si>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</si>
  <si>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</si>
  <si>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</si>
  <si>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</si>
  <si>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</si>
  <si>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</si>
  <si>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</si>
  <si>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</si>
  <si>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</si>
  <si>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</si>
  <si>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</si>
  <si>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</si>
  <si>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</si>
  <si>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</si>
  <si>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</si>
  <si>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</si>
  <si>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</si>
  <si>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</si>
  <si>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</si>
  <si>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</si>
  <si>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</si>
  <si>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</si>
  <si>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</si>
  <si>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</si>
  <si>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</si>
  <si>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</si>
  <si>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</si>
  <si>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</si>
  <si>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</si>
  <si>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</si>
  <si>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</si>
  <si>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</si>
  <si>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</si>
  <si>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</si>
  <si>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</si>
  <si>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</si>
  <si>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</si>
  <si>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</si>
  <si>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</si>
  <si>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</si>
  <si>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</si>
  <si>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</si>
  <si>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</si>
  <si>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</si>
  <si>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</si>
  <si>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</si>
  <si>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</si>
  <si>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</si>
  <si>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</si>
  <si>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</si>
  <si>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</si>
  <si>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</si>
  <si>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</si>
  <si>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</si>
  <si>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</si>
  <si>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</si>
  <si>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</si>
  <si>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</si>
  <si>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</si>
  <si>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</si>
  <si>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</si>
  <si>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</si>
  <si>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</si>
  <si>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</si>
  <si>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</si>
  <si>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</si>
  <si>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</si>
  <si>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</si>
  <si>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</si>
  <si>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</si>
  <si>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</si>
  <si>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</si>
  <si>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</si>
  <si>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</si>
  <si>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</si>
  <si>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</si>
  <si>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</si>
  <si>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</si>
  <si>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</si>
  <si>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</si>
  <si>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</si>
  <si>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</si>
  <si>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</si>
  <si>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</si>
  <si>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</si>
  <si>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</si>
  <si>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</si>
  <si>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</si>
  <si>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</si>
  <si>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</si>
  <si>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</si>
  <si>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</si>
  <si>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</si>
  <si>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</si>
  <si>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</si>
  <si>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</si>
  <si>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</si>
  <si>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</si>
  <si>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</si>
  <si>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</si>
  <si>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</si>
  <si>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</si>
  <si>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</si>
  <si>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</si>
  <si>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</si>
  <si>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</si>
  <si>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</si>
  <si>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</si>
  <si>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</si>
  <si>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</si>
  <si>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</si>
  <si>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</si>
  <si>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</si>
  <si>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</si>
  <si>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</si>
  <si>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</si>
  <si>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</si>
  <si>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</si>
  <si>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</si>
  <si>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</si>
  <si>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</si>
  <si>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</si>
  <si>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</si>
  <si>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</si>
  <si>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</si>
  <si>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</si>
  <si>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</si>
  <si>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</si>
  <si>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</si>
  <si>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</si>
  <si>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</si>
  <si>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</si>
  <si>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</si>
  <si>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</si>
  <si>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</si>
  <si>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</si>
  <si>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</si>
  <si>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</si>
  <si>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</si>
  <si>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</si>
  <si>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</si>
  <si>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</si>
  <si>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</si>
  <si>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</si>
  <si>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</si>
  <si>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</si>
  <si>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</si>
  <si>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</si>
  <si>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</si>
  <si>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</si>
  <si>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</si>
  <si>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</si>
  <si>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</si>
  <si>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</si>
  <si>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</si>
  <si>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</si>
  <si>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</si>
  <si>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</si>
  <si>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</si>
  <si>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</si>
  <si>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</si>
  <si>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</si>
  <si>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</si>
  <si>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</si>
  <si>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</si>
  <si>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</si>
  <si>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</si>
  <si>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</si>
  <si>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</si>
  <si>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</si>
  <si>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</si>
  <si>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</si>
  <si>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</si>
  <si>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</si>
  <si>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</si>
  <si>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</si>
  <si>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</si>
  <si>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</si>
  <si>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</si>
  <si>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</si>
  <si>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</si>
  <si>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</si>
  <si>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</si>
  <si>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</si>
  <si>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</si>
  <si>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</si>
  <si>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</si>
  <si>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</si>
  <si>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</si>
  <si>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</si>
  <si>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</si>
  <si>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</si>
  <si>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</si>
  <si>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</si>
  <si>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</si>
  <si>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</si>
  <si>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</si>
  <si>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</si>
  <si>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</si>
  <si>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</si>
  <si>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</si>
  <si>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</si>
  <si>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</si>
  <si>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</si>
  <si>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</si>
  <si>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</si>
  <si>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</si>
  <si>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</si>
  <si>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</si>
  <si>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</si>
  <si>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</si>
  <si>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</si>
  <si>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</si>
  <si>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</si>
  <si>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</si>
  <si>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</si>
  <si>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</si>
  <si>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</si>
  <si>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</si>
  <si>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</si>
  <si>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</si>
  <si>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</si>
  <si>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</si>
  <si>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</si>
  <si>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</si>
  <si>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</si>
  <si>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</si>
  <si>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</si>
  <si>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</si>
  <si>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</si>
  <si>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</si>
  <si>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</si>
  <si>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</si>
  <si>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</si>
  <si>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</si>
  <si>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</si>
  <si>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</si>
  <si>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</si>
  <si>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</si>
  <si>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</si>
  <si>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</si>
  <si>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</si>
  <si>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</si>
  <si>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</si>
  <si>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</si>
  <si>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</si>
  <si>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</si>
  <si>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</si>
  <si>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</si>
  <si>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</si>
  <si>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</si>
  <si>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</si>
  <si>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</si>
  <si>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</si>
  <si>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</si>
  <si>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</si>
  <si>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</si>
  <si>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</si>
  <si>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</si>
  <si>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</si>
  <si>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</si>
  <si>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</si>
  <si>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</si>
  <si>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</si>
  <si>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</si>
  <si>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</si>
  <si>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</si>
  <si>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</si>
  <si>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</si>
  <si>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</si>
  <si>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</si>
  <si>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</si>
  <si>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</si>
  <si>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</si>
  <si>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</si>
  <si>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</si>
  <si>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</si>
  <si>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</si>
  <si>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</si>
  <si>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</si>
  <si>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</si>
  <si>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</si>
  <si>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</si>
  <si>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</si>
  <si>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</si>
  <si>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</si>
  <si>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</si>
  <si>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</si>
  <si>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</si>
  <si>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</si>
  <si>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</si>
  <si>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</si>
  <si>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</si>
  <si>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</si>
  <si>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</si>
  <si>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</si>
  <si>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</si>
  <si>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</si>
  <si>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</si>
  <si>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</si>
  <si>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</si>
  <si>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</si>
  <si>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</si>
  <si>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</si>
  <si>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</si>
  <si>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</si>
  <si>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</si>
  <si>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</si>
  <si>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</si>
  <si>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</si>
  <si>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</si>
  <si>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</si>
  <si>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</si>
  <si>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</si>
  <si>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</si>
  <si>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</si>
  <si>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</si>
  <si>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</si>
  <si>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</si>
  <si>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</si>
  <si>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</si>
  <si>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</si>
  <si>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</si>
  <si>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</si>
  <si>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</si>
  <si>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</si>
  <si>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</si>
  <si>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</si>
  <si>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</si>
  <si>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</si>
  <si>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</si>
  <si>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</si>
  <si>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</si>
  <si>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</si>
  <si>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</si>
  <si>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</si>
  <si>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</si>
  <si>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</si>
  <si>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</si>
  <si>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</si>
  <si>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</si>
  <si>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</si>
  <si>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</si>
  <si>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</si>
  <si>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</si>
  <si>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</si>
  <si>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</si>
  <si>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</si>
  <si>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</si>
  <si>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</si>
  <si>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</si>
  <si>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</si>
  <si>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</si>
  <si>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</si>
  <si>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</si>
  <si>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</si>
  <si>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</si>
  <si>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</si>
  <si>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</si>
  <si>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</si>
  <si>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</si>
  <si>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</si>
  <si>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</si>
  <si>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</si>
  <si>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</si>
  <si>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</si>
  <si>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</si>
  <si>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</si>
  <si>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</si>
  <si>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</si>
  <si>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</si>
  <si>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</si>
  <si>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</si>
  <si>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</si>
  <si>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</si>
  <si>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</si>
  <si>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</si>
  <si>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</si>
  <si>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</si>
  <si>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</si>
  <si>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</si>
  <si>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</si>
  <si>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</si>
  <si>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</si>
  <si>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</si>
  <si>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</si>
  <si>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</si>
  <si>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</si>
  <si>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</si>
  <si>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</si>
  <si>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</si>
  <si>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</si>
  <si>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</si>
  <si>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</si>
  <si>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</si>
  <si>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</si>
  <si>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</si>
  <si>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</si>
  <si>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</si>
  <si>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</si>
  <si>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</si>
  <si>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</si>
  <si>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</si>
  <si>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</si>
  <si>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</si>
  <si>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</si>
  <si>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</si>
  <si>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</si>
  <si>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</si>
  <si>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</si>
  <si>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</si>
  <si>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</si>
  <si>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</si>
  <si>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</si>
  <si>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</si>
  <si>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</si>
  <si>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</si>
  <si>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</si>
  <si>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</si>
  <si>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</si>
  <si>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</si>
  <si>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</si>
  <si>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</si>
  <si>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</si>
  <si>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</si>
  <si>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</si>
  <si>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</si>
  <si>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</si>
  <si>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</si>
  <si>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</si>
  <si>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</si>
  <si>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</si>
  <si>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</si>
  <si>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</si>
  <si>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</si>
  <si>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</si>
  <si>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</si>
  <si>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</si>
  <si>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</si>
  <si>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</si>
  <si>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</si>
  <si>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</si>
  <si>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</si>
  <si>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</si>
  <si>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</si>
  <si>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</si>
  <si>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</si>
  <si>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</si>
  <si>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</si>
  <si>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</si>
  <si>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</si>
  <si>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</si>
  <si>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</si>
  <si>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</si>
  <si>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</si>
  <si>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</si>
  <si>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</si>
  <si>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</si>
  <si>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</si>
  <si>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</si>
  <si>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</si>
  <si>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</si>
  <si>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</si>
  <si>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</si>
  <si>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</si>
  <si>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</si>
  <si>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</si>
  <si>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</si>
  <si>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</si>
  <si>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</si>
  <si>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</si>
  <si>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</si>
  <si>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</si>
  <si>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</si>
  <si>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</si>
  <si>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</si>
  <si>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</si>
  <si>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</si>
  <si>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</si>
  <si>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</si>
  <si>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</si>
  <si>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</si>
  <si>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</si>
  <si>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</si>
  <si>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</si>
  <si>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</si>
  <si>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</si>
  <si>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</si>
  <si>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</si>
  <si>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</si>
  <si>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</si>
  <si>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</si>
  <si>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</si>
  <si>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</si>
  <si>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</si>
  <si>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</si>
  <si>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</si>
  <si>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</si>
  <si>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</si>
  <si>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</si>
  <si>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</si>
  <si>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</si>
  <si>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</si>
  <si>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</si>
  <si>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</si>
  <si>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</si>
  <si>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</si>
  <si>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</si>
  <si>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</si>
  <si>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</si>
  <si>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</si>
  <si>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</si>
  <si>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</si>
  <si>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</si>
  <si>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</si>
  <si>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</si>
  <si>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</si>
  <si>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</si>
  <si>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</si>
  <si>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</si>
  <si>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</si>
  <si>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</si>
  <si>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</si>
  <si>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</si>
  <si>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</si>
  <si>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</si>
  <si>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</si>
  <si>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</si>
  <si>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</si>
  <si>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</si>
  <si>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</si>
  <si>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</si>
  <si>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</si>
  <si>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</si>
  <si>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</si>
  <si>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</si>
  <si>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</si>
  <si>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</si>
  <si>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</si>
  <si>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</si>
  <si>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</si>
  <si>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</si>
  <si>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</si>
  <si>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</si>
  <si>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</si>
  <si>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</si>
  <si>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</si>
  <si>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</si>
  <si>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</si>
  <si>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</si>
  <si>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</si>
  <si>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</si>
  <si>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</si>
  <si>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</si>
  <si>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</si>
  <si>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</si>
  <si>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</si>
  <si>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</si>
  <si>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</si>
  <si>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</si>
  <si>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</si>
  <si>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</si>
  <si>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</si>
  <si>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</si>
  <si>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</si>
  <si>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</si>
  <si>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</si>
  <si>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</si>
  <si>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</si>
  <si>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</si>
  <si>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</si>
  <si>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</si>
  <si>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</si>
  <si>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</si>
  <si>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</si>
  <si>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</si>
  <si>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</si>
  <si>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</si>
  <si>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</si>
  <si>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</si>
  <si>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</si>
  <si>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</si>
  <si>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</si>
  <si>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</si>
  <si>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</si>
  <si>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</si>
  <si>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</si>
  <si>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</si>
  <si>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</si>
  <si>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</si>
  <si>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</si>
  <si>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</si>
  <si>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</si>
  <si>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</si>
  <si>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</si>
  <si>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</si>
  <si>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</si>
  <si>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</si>
  <si>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</si>
  <si>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</si>
  <si>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</si>
  <si>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</si>
  <si>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</si>
  <si>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</si>
  <si>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</si>
  <si>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</si>
  <si>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</si>
  <si>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</si>
  <si>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</si>
  <si>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</si>
  <si>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</si>
  <si>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</si>
  <si>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</si>
  <si>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</si>
  <si>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</si>
  <si>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</si>
  <si>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</si>
  <si>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</si>
  <si>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</si>
  <si>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</si>
  <si>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</si>
  <si>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</si>
  <si>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</si>
  <si>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</si>
  <si>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</si>
  <si>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</si>
  <si>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</si>
  <si>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</si>
  <si>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</si>
  <si>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</si>
  <si>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</si>
  <si>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</si>
  <si>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</si>
  <si>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</si>
  <si>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</si>
  <si>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</si>
  <si>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</si>
  <si>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</si>
  <si>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</si>
  <si>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</si>
  <si>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</si>
  <si>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</si>
  <si>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</si>
  <si>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</si>
  <si>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</si>
  <si>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</si>
  <si>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</si>
  <si>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</si>
  <si>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</si>
  <si>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</si>
  <si>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</si>
  <si>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</si>
  <si>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</si>
  <si>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</si>
  <si>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</si>
  <si>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</si>
  <si>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</si>
  <si>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</si>
  <si>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</si>
  <si>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</si>
  <si>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</si>
  <si>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</si>
  <si>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</si>
  <si>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</si>
  <si>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</si>
  <si>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</si>
  <si>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</si>
  <si>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</si>
  <si>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</si>
  <si>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</si>
  <si>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</si>
  <si>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</si>
  <si>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</si>
  <si>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</si>
  <si>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</si>
  <si>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</si>
  <si>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</si>
  <si>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</si>
  <si>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</si>
  <si>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</si>
  <si>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</si>
  <si>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</si>
  <si>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</si>
  <si>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</si>
  <si>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</si>
  <si>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</si>
  <si>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</si>
  <si>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</si>
  <si>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</si>
  <si>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</si>
  <si>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</si>
  <si>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</si>
  <si>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</si>
  <si>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</si>
  <si>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</si>
  <si>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</si>
  <si>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</si>
  <si>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</si>
  <si>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</si>
  <si>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</si>
  <si>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</si>
  <si>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</si>
  <si>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</si>
  <si>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</si>
  <si>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</si>
  <si>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</si>
  <si>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</si>
  <si>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</si>
  <si>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</si>
  <si>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</si>
  <si>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</si>
  <si>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</si>
  <si>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</si>
  <si>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</si>
  <si>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</si>
  <si>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</si>
  <si>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</si>
  <si>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</si>
  <si>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</si>
  <si>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</si>
  <si>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</si>
  <si>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</si>
  <si>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</si>
  <si>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</si>
  <si>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</si>
  <si>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</si>
  <si>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</si>
  <si>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</si>
  <si>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</si>
  <si>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</si>
  <si>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</si>
  <si>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</si>
  <si>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</si>
  <si>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</si>
  <si>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</si>
  <si>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</si>
  <si>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</si>
  <si>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</si>
  <si>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</si>
  <si>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</si>
  <si>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</si>
  <si>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</si>
  <si>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</si>
  <si>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</si>
  <si>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</si>
  <si>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</si>
  <si>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</si>
  <si>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</si>
  <si>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</si>
  <si>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</si>
  <si>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</si>
  <si>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</si>
  <si>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</si>
  <si>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</si>
  <si>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</si>
  <si>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</si>
  <si>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</si>
  <si>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</si>
  <si>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</si>
  <si>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</si>
  <si>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</si>
  <si>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</si>
  <si>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</si>
  <si>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</si>
  <si>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</si>
  <si>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</si>
  <si>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</si>
  <si>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</si>
  <si>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</si>
  <si>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</si>
  <si>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</si>
  <si>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</si>
  <si>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</si>
  <si>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</si>
  <si>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</si>
  <si>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</si>
  <si>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</si>
  <si>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</si>
  <si>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</si>
  <si>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</si>
  <si>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</si>
  <si>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</si>
  <si>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</si>
  <si>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</si>
  <si>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</si>
  <si>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</si>
  <si>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</si>
  <si>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</si>
  <si>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</si>
  <si>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</si>
  <si>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</si>
  <si>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</si>
  <si>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</si>
  <si>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</si>
  <si>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</si>
  <si>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</si>
  <si>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</si>
  <si>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</si>
  <si>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</si>
  <si>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</si>
  <si>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</si>
  <si>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</si>
  <si>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</si>
  <si>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</si>
  <si>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</si>
  <si>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</si>
  <si>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</si>
  <si>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</si>
  <si>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</si>
  <si>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</si>
  <si>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</si>
  <si>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</si>
  <si>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</si>
  <si>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</si>
  <si>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</si>
  <si>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</si>
  <si>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</si>
  <si>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</si>
  <si>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</si>
  <si>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</si>
  <si>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</si>
  <si>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</si>
  <si>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</si>
  <si>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</si>
  <si>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</si>
  <si>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</si>
  <si>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</si>
  <si>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</si>
  <si>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</si>
  <si>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</si>
  <si>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</si>
  <si>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</si>
  <si>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</si>
  <si>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</si>
  <si>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</si>
  <si>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</si>
  <si>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</si>
  <si>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</si>
  <si>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</si>
  <si>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</si>
  <si>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</si>
  <si>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</si>
  <si>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</si>
  <si>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</si>
  <si>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</si>
  <si>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</si>
  <si>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</si>
  <si>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</si>
  <si>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</si>
  <si>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</si>
  <si>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</si>
  <si>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</si>
  <si>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</si>
  <si>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</si>
  <si>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</si>
  <si>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</si>
  <si>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</si>
  <si>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</si>
  <si>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</si>
  <si>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</si>
  <si>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</si>
  <si>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</si>
  <si>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</si>
  <si>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</si>
  <si>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</si>
  <si>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</si>
  <si>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</si>
  <si>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</si>
  <si>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</si>
  <si>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</si>
  <si>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</si>
  <si>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</si>
  <si>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</si>
  <si>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</si>
  <si>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</si>
  <si>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</si>
  <si>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</si>
  <si>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</si>
  <si>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</si>
  <si>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</si>
  <si>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</si>
  <si>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</si>
  <si>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</si>
  <si>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</si>
  <si>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</si>
  <si>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</si>
  <si>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</si>
  <si>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</si>
  <si>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</si>
  <si>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</si>
  <si>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</si>
  <si>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</si>
  <si>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</si>
  <si>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</si>
  <si>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</si>
  <si>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</si>
  <si>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</si>
  <si>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</si>
  <si>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</si>
  <si>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</si>
  <si>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</si>
  <si>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</si>
  <si>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</si>
  <si>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</si>
  <si>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</si>
  <si>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</si>
  <si>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</si>
  <si>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</si>
  <si>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</si>
  <si>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</si>
  <si>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</si>
  <si>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</si>
  <si>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</si>
  <si>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</si>
  <si>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</si>
  <si>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</si>
  <si>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</si>
  <si>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</si>
  <si>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</si>
  <si>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</si>
  <si>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</si>
  <si>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</si>
  <si>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</si>
  <si>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</si>
  <si>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</si>
  <si>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</si>
  <si>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</si>
  <si>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</si>
  <si>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</si>
  <si>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</si>
  <si>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</si>
  <si>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</si>
  <si>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</si>
  <si>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</si>
  <si>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</si>
  <si>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</si>
  <si>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</si>
  <si>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</si>
  <si>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</si>
  <si>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</si>
  <si>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</si>
  <si>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disfluency</t>
  </si>
  <si>
    <t>includes broken-off word fragments, fillers and filled pauses</t>
  </si>
  <si>
    <t>stemming</t>
  </si>
  <si>
    <t>a simpler version of lemmatization</t>
  </si>
  <si>
    <t>code switching</t>
  </si>
  <si>
    <t>in linguistics, changing languages in the same utterance</t>
  </si>
  <si>
    <t>function words</t>
  </si>
  <si>
    <t>in linguistics, short words such as articles, pronouns and prepositions (the, and, I, to, of, a, you, my, that, in)</t>
  </si>
  <si>
    <t>top-down tokenization</t>
  </si>
  <si>
    <t>define a standard, implement rules</t>
  </si>
  <si>
    <t>bottom-up tokenization</t>
  </si>
  <si>
    <t>simple statistics of letter sequences break up words into subword tokens</t>
  </si>
  <si>
    <t>clitic</t>
  </si>
  <si>
    <t>in linguistics, a part of a word that can't stand on its own; a contraction such as what're or we're</t>
  </si>
  <si>
    <t>named entity recognition</t>
  </si>
  <si>
    <t>in NLP, the task of recognizing names, dates and organizations</t>
  </si>
  <si>
    <t>Penn Treebank tokenization</t>
  </si>
  <si>
    <t>a standard used for parsed corpora</t>
  </si>
  <si>
    <t>nltk</t>
  </si>
  <si>
    <t>Natural Language Toolkit, python library</t>
  </si>
  <si>
    <t>byte-pair encoding</t>
  </si>
  <si>
    <t>a bottom-up tokenization algorithm</t>
  </si>
  <si>
    <t>2018-z</t>
  </si>
  <si>
    <t>Hazan et al.</t>
  </si>
  <si>
    <t>https://arxiv.org/pdf/1802.03981.pdf</t>
  </si>
  <si>
    <t>Spectral Filtering for General Linear Dynamical Systems - arXiv 2/12/2018</t>
  </si>
  <si>
    <t>ReALM: Reference Resolution as Language Modeling; 3/29/2024, arXiv</t>
  </si>
  <si>
    <t>https://arxiv.org/pdf/2403.20329.pdf</t>
  </si>
  <si>
    <t>Apple: Moniz, et al.</t>
  </si>
  <si>
    <t>Sonauto.ai</t>
  </si>
  <si>
    <t>https://sonauto.ai/Home</t>
  </si>
  <si>
    <t>2022-w</t>
  </si>
  <si>
    <t>Efficient Training of Language Models to Fill in the Middle; 7/28/22, arXiv</t>
  </si>
  <si>
    <t>OpenAI: Bavarian et al.</t>
  </si>
  <si>
    <t>https://arxiv.org/pdf/2207.14255.pdf</t>
  </si>
  <si>
    <t>mobav@openai.com</t>
  </si>
  <si>
    <t>hee-woo@openai.com, heewoo@openai.com</t>
  </si>
  <si>
    <t>Efficient Training of LMs to Fill in the Middle (7/28/22)</t>
  </si>
  <si>
    <t>SDPA</t>
  </si>
  <si>
    <t>scaled dot product attention</t>
  </si>
  <si>
    <t>2016-z</t>
  </si>
  <si>
    <t>Unitary evolution recurrent neural networks; ICML 2016</t>
  </si>
  <si>
    <t>Arjovsky et al.</t>
  </si>
  <si>
    <t>2020-x</t>
  </si>
  <si>
    <t>Language Models are Few-Shot Learners; NIPS 2020</t>
  </si>
  <si>
    <t>Brown et al.</t>
  </si>
  <si>
    <t>Google: Naman Agarwal, Elad Hazan, et al.</t>
  </si>
  <si>
    <t>2022-v</t>
  </si>
  <si>
    <t>Hungry Hungry Hippos: Towards language modeling with state space models; arXiv</t>
  </si>
  <si>
    <t>Dao et al.</t>
  </si>
  <si>
    <t>2020-y</t>
  </si>
  <si>
    <t>Dosovitskiy et al.</t>
  </si>
  <si>
    <t>An image is worth 16x16 words: transformers for image recognition at scale; arXiv</t>
  </si>
  <si>
    <t>2016-z, 1994-1, 2020-x, 2014-5, 2022-v, 2020-y</t>
  </si>
  <si>
    <t>Meta: Michael Hassid et al.</t>
  </si>
  <si>
    <t>https://arxiv.org/abs/2305.13009</t>
  </si>
  <si>
    <t>Textually Pretrained Speech Language Models; arXiv 1/30/24 revision, original 5/22/23</t>
  </si>
  <si>
    <t>A mathematical perspective on Transformers; arXiv, 12/17/2023</t>
  </si>
  <si>
    <t>Analyzing and Improving the Training Dynamics of Diffusion Models; arXiv, 12/5/2023</t>
  </si>
  <si>
    <t>MARRS: Multimodal Reference Resolution System; arXiv 11/3/2023</t>
  </si>
  <si>
    <t>Apple: Ates, et al.</t>
  </si>
  <si>
    <t>https://arxiv.org/abs/2311.01650</t>
  </si>
  <si>
    <t>2023-MARRS</t>
  </si>
  <si>
    <t>2022-u</t>
  </si>
  <si>
    <t>METRO: Efficient Denoising Pretraining of Large Scale Autoencoding Language Models with Model Generated Signals</t>
  </si>
  <si>
    <t>Microsoft: Bajaj et al.</t>
  </si>
  <si>
    <t>https://arxiv.org/pdf/2204.06644.pdf</t>
  </si>
  <si>
    <t>Faith and Fate: Limits of Transformers on Compositionality; arXiv 10/31/23</t>
  </si>
  <si>
    <t>Referring to Screen Texts with Voice Assistants. arXiv 6/10/2023</t>
  </si>
  <si>
    <t>Apple: Bhargava et al.</t>
  </si>
  <si>
    <t>https://arxiv.org/pdf/2306.07298.pdf</t>
  </si>
  <si>
    <t>2023-GPT-4</t>
  </si>
  <si>
    <t>2023-Bhargava</t>
  </si>
  <si>
    <t>QLoRA: Efficient Finetuning of Quantized LLMs</t>
  </si>
  <si>
    <t>2023-QLORA</t>
  </si>
  <si>
    <t>https://arxiv.org/abs/2305.14314</t>
  </si>
  <si>
    <t>U Washington: Dettmers et al.</t>
  </si>
  <si>
    <t>2023-GPT-4, 2023-MARRS, 2022-u, 2020-x, 2023-Bhargava, 2023-QLORA, 2020-y</t>
  </si>
  <si>
    <t>Hegel</t>
  </si>
  <si>
    <t>www.hegel-ai.com</t>
  </si>
  <si>
    <t>www.obviously.ai</t>
  </si>
  <si>
    <t>Valley</t>
  </si>
  <si>
    <t>www.joinvalley.co</t>
  </si>
  <si>
    <t>www.wand.app</t>
  </si>
  <si>
    <t>2017-y</t>
  </si>
  <si>
    <t>One model to learn them all. arXiv;</t>
  </si>
  <si>
    <t>Kaiser et al.</t>
  </si>
  <si>
    <t>https://arxiv.org/abs/1706.05137</t>
  </si>
  <si>
    <t>Google: Lukasz Kaiser, Aidan Gomez, Noam Shazeer, Ashish Vaswani, Niki Parmar, Llion Jones, Jakob Uszkoreit</t>
  </si>
  <si>
    <t>Model-agnostic meta-learning for fast adaptation of deep networks. arXiv;</t>
  </si>
  <si>
    <t>https://arxiv.org/abs/1703.03400</t>
  </si>
  <si>
    <t>UCB Berkeley: Chelsea Finn, Pieter Abbeel, Sergey Levine</t>
  </si>
  <si>
    <t>2017-2.5</t>
  </si>
  <si>
    <t>2018-w</t>
  </si>
  <si>
    <t>The natural language decathlon: Multitask learning as question answering. arXiv</t>
  </si>
  <si>
    <t>https://arxiv.org/abs/1806.08730</t>
  </si>
  <si>
    <t>Salesforce: McCann et al.</t>
  </si>
  <si>
    <t>2018-v</t>
  </si>
  <si>
    <t xml:space="preserve">Can You Tell Me How to Get Past Sesame Street? Sentence-Level Pretraining Beyond Language Modeling. arXiv, </t>
  </si>
  <si>
    <t>https://arxiv.org/abs/1812.10860</t>
  </si>
  <si>
    <t>NYU: Wang, Bowman et al.</t>
  </si>
  <si>
    <t>1997-2</t>
  </si>
  <si>
    <t>Rich Caruana</t>
  </si>
  <si>
    <t>Multitask Learning. Machine Learning 28</t>
  </si>
  <si>
    <t>2011-4</t>
  </si>
  <si>
    <t>Natural language processing (almost) from scratch. J Mach Learn Res 2011.</t>
  </si>
  <si>
    <t>Collobert, et al.</t>
  </si>
  <si>
    <t>2018-u</t>
  </si>
  <si>
    <t>Strike (with) a pose: Neural networks are easily fooled by strange poses of familiar objects. arXiv</t>
  </si>
  <si>
    <t>Alcorn et al.</t>
  </si>
  <si>
    <t>https://arxiv.org/abs/1808.07042</t>
  </si>
  <si>
    <t>CoQA: A conversational question answering challenge. arXiv.</t>
  </si>
  <si>
    <t>Stanford: Reddy et al.</t>
  </si>
  <si>
    <t>2018-CoQA</t>
  </si>
  <si>
    <t>2012-1, 2014-5.5, 2016-DeepSpeech2, 2018-9.5, 2017-3.5, 2017-3.6, 2017-1, 2017-y, 2017-2.5, 2017-8, 2018-w, 1997-2, 2013-1, 2011-4, 2018-COQA</t>
  </si>
  <si>
    <t>Improving language understanding with unsupervised learning.</t>
  </si>
  <si>
    <t>OpenAI: Radford, Narasimhan, Salimans, Sutskever</t>
  </si>
  <si>
    <t>2018-OpenAI</t>
  </si>
  <si>
    <t>https://cdn.openai.com/research-covers/language-unsupervised/language_understanding_paper.pdf</t>
  </si>
  <si>
    <t>Karthik Narasimhan</t>
  </si>
  <si>
    <t>karthik@openai.com</t>
  </si>
  <si>
    <t>Improved Techniques for Training GANs (6/10/16), Improving Language Understanding by Generative Pre-Training (6/11/2018)</t>
  </si>
  <si>
    <t>Improving Language Understanding by Generative Pre-Training (6/11/2018)</t>
  </si>
  <si>
    <t>Trevor Blackwell</t>
  </si>
  <si>
    <t>Tenure</t>
  </si>
  <si>
    <t>Robotics guy</t>
  </si>
  <si>
    <t>Durk Kingma</t>
  </si>
  <si>
    <t>Pamela Vagata</t>
  </si>
  <si>
    <t>www.sierra.ai</t>
  </si>
  <si>
    <t>belief state</t>
  </si>
  <si>
    <t>a set of possible worlds</t>
  </si>
  <si>
    <t>state estimation</t>
  </si>
  <si>
    <t>maintaining the belief state</t>
  </si>
  <si>
    <t>David Hume</t>
  </si>
  <si>
    <t>proposed induction</t>
  </si>
  <si>
    <t>Co-authored book on Perceptrons with Papert in 1969. Part of the Dartmouth Summer 1955 team. Created the first neural network computer in 1950.</t>
  </si>
  <si>
    <t>Leopold Aschenbrenner</t>
  </si>
  <si>
    <t>Fired for being communist</t>
  </si>
  <si>
    <t>Pavel Izmailov</t>
  </si>
  <si>
    <t>stability.ai</t>
  </si>
  <si>
    <t>midjourney</t>
  </si>
  <si>
    <t>photo.ai</t>
  </si>
  <si>
    <t>civitai.com</t>
  </si>
  <si>
    <t>replicate.com</t>
  </si>
  <si>
    <t>clarityai.cc</t>
  </si>
  <si>
    <t>Great firm</t>
  </si>
  <si>
    <t>NIPS (Proc Advances in NIPS)</t>
  </si>
  <si>
    <t>DaVinci</t>
  </si>
  <si>
    <t>Stability</t>
  </si>
  <si>
    <t>Pricing</t>
  </si>
  <si>
    <t>davinci.ai</t>
  </si>
  <si>
    <t>A100 40GB 4.14/hr</t>
  </si>
  <si>
    <t>https://github.com/Stability-AI/StableSwarmUI</t>
  </si>
  <si>
    <t>https://comfyanonymous.github.io/ComfyUI_examples/lcm/</t>
  </si>
  <si>
    <t>https://github.com/comfyanonymous/ComfyUI</t>
  </si>
  <si>
    <t>photoai.com</t>
  </si>
  <si>
    <t>ideogram.ai</t>
  </si>
  <si>
    <t>https://beta.dreamstudio.ai/generate</t>
  </si>
  <si>
    <t>https://github.com/lllyasviel/Fooocus?tab=readme-ov-file</t>
  </si>
  <si>
    <t>Simple ML classifier algorithm. The "naïve" assumption is that the features in the input data are independent.</t>
  </si>
  <si>
    <t>Traffic (TT28D 000s)</t>
  </si>
  <si>
    <t>HuggingFace</t>
  </si>
  <si>
    <t>stablediffusionweb.com</t>
  </si>
  <si>
    <t>midjourney.com</t>
  </si>
  <si>
    <t>Canva</t>
  </si>
  <si>
    <t>Discord</t>
  </si>
  <si>
    <t>prompthero</t>
  </si>
  <si>
    <t>stable-diffusion-art.com</t>
  </si>
  <si>
    <t>playground</t>
  </si>
  <si>
    <t>flair.ai</t>
  </si>
  <si>
    <t>gencraft</t>
  </si>
  <si>
    <t>gencraft.com</t>
  </si>
  <si>
    <t>AITubo</t>
  </si>
  <si>
    <t>aitubo.ai</t>
  </si>
  <si>
    <t>playground.com</t>
  </si>
  <si>
    <t>hotpot</t>
  </si>
  <si>
    <t>hotpot.ai</t>
  </si>
  <si>
    <t>Leonardo</t>
  </si>
  <si>
    <t>leonardo.ai</t>
  </si>
  <si>
    <t>clipdrop.co</t>
  </si>
  <si>
    <t>lexica.art</t>
  </si>
  <si>
    <t>runwayml.com</t>
  </si>
  <si>
    <t>dreamstudio</t>
  </si>
  <si>
    <t>dreamstudio.ai</t>
  </si>
  <si>
    <t>CivitAI</t>
  </si>
  <si>
    <t>pika</t>
  </si>
  <si>
    <t>Australian investors</t>
  </si>
  <si>
    <t>Felicis, Google, Coatue</t>
  </si>
  <si>
    <t>Coatue, Lightspeed</t>
  </si>
  <si>
    <t>$20/mo for professionals</t>
  </si>
  <si>
    <t>$15, $45/mo</t>
  </si>
  <si>
    <t>best known kernel method, linear form invented by Vapnik and Chervonenkis in 1964, republished in 1995 by Vapnik with Cortes</t>
  </si>
  <si>
    <t>decision boundary</t>
  </si>
  <si>
    <t>separation hyperplane used in SVM classification</t>
  </si>
  <si>
    <t>group of classification algorithms which compute distances between points in representation hyperspace. Hard to scale for large data sets.</t>
  </si>
  <si>
    <t>decision tree</t>
  </si>
  <si>
    <t>Became a rival method to kernel methods in the 2000s-2010s. Methods include random forest.</t>
  </si>
  <si>
    <t>Decision tree method in ML where parameters learned are questions about the data.</t>
  </si>
  <si>
    <t>gradient boosting</t>
  </si>
  <si>
    <t>ML technique which trains new models that address weak points of previous models.</t>
  </si>
  <si>
    <t>Dan Ciresan</t>
  </si>
  <si>
    <t>IDSIA</t>
  </si>
  <si>
    <t>Received PhD under Geoffrey Hinton. Sold his startup, DNN Research, to Google (2013-2017). Left Google to join Dessa. Unclear what he is doing now, possibly venture, but not AI. Created CIFAR-10 and CIFAR-100, won ImageNet in 2012.</t>
  </si>
  <si>
    <t>Also known as convnets, invented by Le Cun in the 1980s. Based on persistent states that gather information layer-by-layer. They have fewer connections and parameters than standard NNs, and are easier to train.</t>
  </si>
  <si>
    <t>LightGBM</t>
  </si>
  <si>
    <t>XGBoost</t>
  </si>
  <si>
    <t>ML technique which superceded random forests and gained popularity in 2014. Ensembles decision trees and uses gradient boosting (gradient boosted trees).</t>
  </si>
  <si>
    <t>Developed in 1997, 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</si>
  <si>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CUDA</t>
  </si>
  <si>
    <t>Launched in 2007 by Nvidia, a programming interface for GPUs.</t>
  </si>
  <si>
    <t>Image recognition database with 15 million high-res labeled images in 22k categories and contest. Krizhevsky, Sutskever and Hinton's CNN advanced SOTA in 2012 with a 60m parameter, 650k neuron 5-convolutional, 3-fully-connected layer model.</t>
  </si>
  <si>
    <t>Hopsworks (Logical Clocks)</t>
  </si>
  <si>
    <t>Ermias Gebremeskel, Gautier Berthou, Jim Dowling, Mahmoud Ismail, Salman Niazi, Seif Haridi, Theo Kakantousis</t>
  </si>
  <si>
    <t>https://www.hopsworks.ai/</t>
  </si>
  <si>
    <t>Vendep Capital, Inventure, Industrifonden</t>
  </si>
  <si>
    <t>Industrifonden</t>
  </si>
  <si>
    <t>Industrifonden, Inventure</t>
  </si>
  <si>
    <t>Enterprise Feature Store</t>
  </si>
  <si>
    <t>Inventure, Frontline Ventures, AI Seed</t>
  </si>
  <si>
    <t>AI Seed</t>
  </si>
  <si>
    <t>Kuano</t>
  </si>
  <si>
    <t>RoboK</t>
  </si>
  <si>
    <t>Odin Vision</t>
  </si>
  <si>
    <t>Ntropy Network</t>
  </si>
  <si>
    <t>Sociate</t>
  </si>
  <si>
    <t>Limbic</t>
  </si>
  <si>
    <t>Juno Bio</t>
  </si>
  <si>
    <t>Symbiotica</t>
  </si>
  <si>
    <t>LGN</t>
  </si>
  <si>
    <t>Rahko</t>
  </si>
  <si>
    <t>Vimma</t>
  </si>
  <si>
    <t>Arthronica</t>
  </si>
  <si>
    <t>Ai Build</t>
  </si>
  <si>
    <t>Kagenova</t>
  </si>
  <si>
    <t>Plural AI</t>
  </si>
  <si>
    <t>NumberEight</t>
  </si>
  <si>
    <t>GTN</t>
  </si>
  <si>
    <t>Liopa</t>
  </si>
  <si>
    <t>Facesoft</t>
  </si>
  <si>
    <t>ThinkSono</t>
  </si>
  <si>
    <t>Winning Minds</t>
  </si>
  <si>
    <t>Maxatta Limited</t>
  </si>
  <si>
    <t>Evolution AI</t>
  </si>
  <si>
    <t>Creative AI</t>
  </si>
  <si>
    <t>Observe Technologies</t>
  </si>
  <si>
    <t>Transformative AI</t>
  </si>
  <si>
    <t>Personalyze</t>
  </si>
  <si>
    <t>Vendep</t>
  </si>
  <si>
    <t>Modal Labs</t>
  </si>
  <si>
    <t>Akshat Bubna, Erik Bernhardsson</t>
  </si>
  <si>
    <t>www.modal.com</t>
  </si>
  <si>
    <t>$8/hr for H100!!</t>
  </si>
  <si>
    <t>Dream3D</t>
  </si>
  <si>
    <t>MLOps, inference/FT cloud provider</t>
  </si>
  <si>
    <t>Redpoint, Zero Prime, Quiet Capital, Lux, Howard University, Gaingels, Essence Fund, Eastlink Capital, Definition, Creandum, Amplify Partners, Tristan Handy, Tejas Manohar, Simon Eskildsen, Ry Walker, Neha Narkhede, Lindsay Pettingill, Julia Schottenstein, Josh Wills, Jordan Tigani, Jessie Frazelle, Jeff Hammerbacher, Iqram Magdon-Ismail, Hamel Hussain, Elad Gil, Christopher Re, Boris Jabes, Benn Stancil, Barry McCardel, Barr Moses, Arjun Narayan, Allison Pickens</t>
  </si>
  <si>
    <t>Zero Prime Ventures</t>
  </si>
  <si>
    <t>Josh Wolfe</t>
  </si>
  <si>
    <t>Howard University</t>
  </si>
  <si>
    <t>Essence Fund (China)</t>
  </si>
  <si>
    <t>essencefund.com</t>
  </si>
  <si>
    <t>Definition</t>
  </si>
  <si>
    <t>definitioncap.com</t>
  </si>
  <si>
    <t>Creandum (Sweden)</t>
  </si>
  <si>
    <t>Amplify, Leigh Marie Braswell, Karim Atiyeh, Bucky Moore</t>
  </si>
  <si>
    <t>www.blackbox.ai</t>
  </si>
  <si>
    <t>Ohad Rozewn, Roy Penn</t>
  </si>
  <si>
    <t>www.tymely.ai</t>
  </si>
  <si>
    <t>Navikenz</t>
  </si>
  <si>
    <t>Customer Service agents</t>
  </si>
  <si>
    <t>Hetz Ventures, DESCOvery, 97212 Ventures</t>
  </si>
  <si>
    <t>Israeli?</t>
  </si>
  <si>
    <t>Tymely AI</t>
  </si>
  <si>
    <t>Initialized, Max Levchin, Paul Graham, Aaron Levie, YC, Paul Buchheit, Ron Conway, Kyle Vogt, Balaji</t>
  </si>
  <si>
    <t>https://playground.com/blog/playground-v2-5</t>
  </si>
  <si>
    <t>Models</t>
  </si>
  <si>
    <t>gradient propagation</t>
  </si>
  <si>
    <t>the final calculation of a neuron's weights and biases. Examples include sigmoid, tanh, ReLU, GeLU, etc.</t>
  </si>
  <si>
    <t>weight initialization</t>
  </si>
  <si>
    <t>Important component of neural networks. Efforts started with layer-wise pretraining, which was abandoned.</t>
  </si>
  <si>
    <t>moving signal through increasing numbers of layers of neurons is difficult. Better activation functions, weight-initialization schemes and optimization schemes allowed deeper layers.</t>
  </si>
  <si>
    <t>DL technique which improved gradient propagation.</t>
  </si>
  <si>
    <t>Positional input embedding given to multi-headed attention output vector, improving gradient propagation in deep learning.</t>
  </si>
  <si>
    <t>depthwise separable convolution</t>
  </si>
  <si>
    <t>Xception</t>
  </si>
  <si>
    <t>dense layer</t>
  </si>
  <si>
    <t>a fully connected layer</t>
  </si>
  <si>
    <t>fully connected layer</t>
  </si>
  <si>
    <t>a dense layer</t>
  </si>
  <si>
    <t>optimizer</t>
  </si>
  <si>
    <t>The method which updates the model during training, an important component of neural networks. Examples include RMSProp and Adam.</t>
  </si>
  <si>
    <t>The function which calculates model performance on training data. Least squared error, logistic loss, hinge loss, cross-entropy, sum of the squared residuals are examples. A loss function calculates error distance.</t>
  </si>
  <si>
    <t>TikTok, AV models</t>
  </si>
  <si>
    <t>$10-$120/month (200-3600 images)</t>
  </si>
  <si>
    <t>$12 for 300-700 images</t>
  </si>
  <si>
    <t>$10 for 200-625 images, heavily NSFW</t>
  </si>
  <si>
    <t>WebApp</t>
  </si>
  <si>
    <t>NO</t>
  </si>
  <si>
    <t>YES</t>
  </si>
  <si>
    <t>imgnai.com</t>
  </si>
  <si>
    <t>imgn.ai</t>
  </si>
  <si>
    <t>Limited</t>
  </si>
  <si>
    <t>Augment</t>
  </si>
  <si>
    <t>lumalabs.ai</t>
  </si>
  <si>
    <t>Nebius</t>
  </si>
  <si>
    <t>nebius.ai</t>
  </si>
  <si>
    <t>rendernet</t>
  </si>
  <si>
    <t>rendernet.ai</t>
  </si>
  <si>
    <t>tensor.art</t>
  </si>
  <si>
    <t>TensorArt</t>
  </si>
  <si>
    <t>Flux</t>
  </si>
  <si>
    <t>flux.ai</t>
  </si>
  <si>
    <t>seamless.ai</t>
  </si>
  <si>
    <t>Wombo</t>
  </si>
  <si>
    <t>www.wombo.ai</t>
  </si>
  <si>
    <t>Akshat Jagga, Angad Arneja, Ben Zion Benkhin, Parshant Loungani, Paul Pavel, Vivek Bhakta</t>
  </si>
  <si>
    <t>Images</t>
  </si>
  <si>
    <t>Image generation</t>
  </si>
  <si>
    <t>Infinity Ventures Crypto, Spice Capital, Founders Inc.</t>
  </si>
  <si>
    <t>DESCOvery</t>
  </si>
  <si>
    <t>97212 Ventures</t>
  </si>
  <si>
    <t>Recognant</t>
  </si>
  <si>
    <t>universal approximation theorem</t>
  </si>
  <si>
    <t>MLPs can represent any Borel measurable function</t>
  </si>
  <si>
    <t>MLP</t>
  </si>
  <si>
    <t>multilayer perceptron</t>
  </si>
  <si>
    <t>A multi-layer perceptron, also known as a fully-connected feedforward neural network.</t>
  </si>
  <si>
    <t>Also known as MLP or fully-connected feedforward neural network.</t>
  </si>
  <si>
    <t>Normal neural network such as a MLP.</t>
  </si>
  <si>
    <t>MLP is an example. Activation functions are present on nodes (neurons), forming layers.</t>
  </si>
  <si>
    <t>Infinity Ventures Crypto</t>
  </si>
  <si>
    <t>Spice Capital</t>
  </si>
  <si>
    <t>Founders Inc</t>
  </si>
  <si>
    <t>Quadratic</t>
  </si>
  <si>
    <t>quadratichq.com</t>
  </si>
  <si>
    <t>Glass Imaging</t>
  </si>
  <si>
    <t>glass-imaging.com</t>
  </si>
  <si>
    <t>Sofreh Capital, Global Founders Capital, Sound Ventures, MPGI, LaunchHouse, Flucas Ventures, Buckley Ventures, 500 Global, 468 Capital, Gabriel Leydon, Marc Baghadjian</t>
  </si>
  <si>
    <t>Sofreh Capital</t>
  </si>
  <si>
    <t>AVOID - Uber treatment was reprehensible</t>
  </si>
  <si>
    <t>MPGI</t>
  </si>
  <si>
    <t>LaunchHouse</t>
  </si>
  <si>
    <t>Chris Clark</t>
  </si>
  <si>
    <t>Former COO</t>
  </si>
  <si>
    <t>2016</t>
  </si>
  <si>
    <t>Director of Research, Principal of Research, ran optimization for GPT-4 pretraining, Evals</t>
  </si>
  <si>
    <t>StoryDiffusion: Consistent Self-Attention for Long-Range Image and Video Generation; 5/2/2024; arXiv</t>
  </si>
  <si>
    <t>ByteDance: Zhou, et al.</t>
  </si>
  <si>
    <t>SilverSmith</t>
  </si>
  <si>
    <t>DiffusionEngine: Diffusion Model is Scalable Data Engine for Object Detection. arXiv 9/7/2023</t>
  </si>
  <si>
    <t>ByteDance: Zhang et al.</t>
  </si>
  <si>
    <t>https://arxiv.org/abs/2309.03893</t>
  </si>
  <si>
    <t>MVDream: Multi-view Diffusion for 3D Generation. arXiv 4/18/24 revision, 8/31/23 original</t>
  </si>
  <si>
    <t>ByteDance: Shi et al.</t>
  </si>
  <si>
    <t>https://arxiv.org/abs/2308.16512</t>
  </si>
  <si>
    <t>MagicMix: Semantic Mixing with Diffusion Models. arXiv 10/28/22</t>
  </si>
  <si>
    <t>ByteDance: Liew et al.</t>
  </si>
  <si>
    <t>https://arxiv.org/abs/2210.16056</t>
  </si>
  <si>
    <t>Distilling Diffusion Models into Conditional GANs; arXiv 5/9/2024</t>
  </si>
  <si>
    <t>https://arxiv.org/abs/2405.05967</t>
  </si>
  <si>
    <t>Adobe: Kang et al.</t>
  </si>
  <si>
    <t>ControlNet</t>
  </si>
  <si>
    <t>Adding Conditional Control to Text-to-Image Diffusion Models - Zhang, et al. (Stanford), 11/26/2023.</t>
  </si>
  <si>
    <t>Diffusion for World Modeling: Visual Details Matter in Atari; arXiv 5/20/24</t>
  </si>
  <si>
    <t>Alonso et al.</t>
  </si>
  <si>
    <t>https://arxiv.org/abs/2405.12399</t>
  </si>
  <si>
    <t>Great seed/pre-seed fund.</t>
  </si>
  <si>
    <t>Jeff Weinstein</t>
  </si>
  <si>
    <t>Section</t>
  </si>
  <si>
    <t>2405 - Machine Learning</t>
  </si>
  <si>
    <t>Number</t>
  </si>
  <si>
    <t>Improved Particle Approximation Error for Mean Field Neural Networks</t>
  </si>
  <si>
    <t>Sparse Expansion and Neuronal Disentanglement</t>
  </si>
  <si>
    <t>CAFe: Cost and Age aware Federated Learning</t>
  </si>
  <si>
    <t>Sparse maximal update parameterization: A holistic approach to sparse training dynamics</t>
  </si>
  <si>
    <t>Neural Persistence Dynamics</t>
  </si>
  <si>
    <t>Understanding the differences in Foundation Models: Attention, State Space Models, and Recurrent Neural Networks</t>
  </si>
  <si>
    <t>Models That Prove Their Own Correctness</t>
  </si>
  <si>
    <t>Information-theoretic Generalization Analysis for Expected Calibration Error</t>
  </si>
  <si>
    <t>The Impact of Geometric Complexity on Neural Collapse in Transfer Learning</t>
  </si>
  <si>
    <t>The Road Less Scheduled</t>
  </si>
  <si>
    <t>Consistency of Neural Causal Partial Identification</t>
  </si>
  <si>
    <t>Class Machine Unlearning for Complex Data via Concepts Inference and Data Poisoning</t>
  </si>
  <si>
    <t>Harnessing Increased Client Participation with Cohort-Parallel Federated Learning</t>
  </si>
  <si>
    <t>Effective Confidence Region Prediction Using Probability Forecasters</t>
  </si>
  <si>
    <t>Federated Behavioural Planes: Explaining the Evolution of Client Behaviour in Federated Learning</t>
  </si>
  <si>
    <t>Inverse-RLignment: Inverse Reinforcement Learning from Demonstrations for LLM Alignment</t>
  </si>
  <si>
    <t>MLPs Learn In-Context</t>
  </si>
  <si>
    <t>Automatic Data Curation for Self-Supervised Learning: A Clustering-Based Approach</t>
  </si>
  <si>
    <t>Fast-PGM: Fast Probabilistic Graphical Model Learning and Inference</t>
  </si>
  <si>
    <t>Kronecker-Factored Approximate Curvature for Physics-Informed Neural Networks</t>
  </si>
  <si>
    <t>On the Computational Landscape of Replicable Learning</t>
  </si>
  <si>
    <t>MCDFN: Supply Chain Demand Forecasting via an Explainable Multi-Channel Data Fusion Network Model Integrating CNN, LSTM, and GRU</t>
  </si>
  <si>
    <t>MicroAdam: Accurate Adaptive Optimization with Low Space Overhead and Provable Convergence</t>
  </si>
  <si>
    <t>Efficient Adversarial Training in LLMs with Continuous Attacks</t>
  </si>
  <si>
    <t>DAGER: Exact Gradient Inversion for Large Language Models</t>
  </si>
  <si>
    <t>Transfer Learning with Informative Priors: Simple Baselines Better than Previously Reported</t>
  </si>
  <si>
    <t>Rethinking Independent Cross-Entropy Loss For Graph-Structured Data</t>
  </si>
  <si>
    <t>Learning from Linear Algebra: A Graph Neural Network Approach to Preconditioner Design for Conjugate Gradient Solvers</t>
  </si>
  <si>
    <t>Certifiably Robust RAG against Retrieval Corruption</t>
  </si>
  <si>
    <t>Thinking Forward: Memory-Efficient Federated Finetuning of Language Models</t>
  </si>
  <si>
    <t>Bundle Neural Networks for message diffusion on graphs</t>
  </si>
  <si>
    <t>ChatGPT Code Detection: Techniques for Uncovering the Source of Code</t>
  </si>
  <si>
    <t>Learning to Discretize Denoising Diffusion ODEs</t>
  </si>
  <si>
    <t>Revisiting Counterfactual Regression through the Lens of Gromov-Wasserstein Information Bottleneck</t>
  </si>
  <si>
    <t>Towards Natural Machine Unlearning</t>
  </si>
  <si>
    <t>Sparse Spectral Training and Inference on Euclidean and Hyperbolic Neural Networks</t>
  </si>
  <si>
    <t>Fundamental limits of weak learnability in high-dimensional multi-index models</t>
  </si>
  <si>
    <t>Editable Concept Bottleneck Models</t>
  </si>
  <si>
    <t>Unlearning during Learning: An Efficient Federated Machine Unlearning Method</t>
  </si>
  <si>
    <t>FedCal: Achieving Local and Global Calibration in Federated Learning via Aggregated Parameterized Scaler</t>
  </si>
  <si>
    <t>Mind the Gap: A Causal Perspective on Bias Amplification in Prediction &amp; Decision-Making</t>
  </si>
  <si>
    <t>HyperInterval: Hypernetwork approach to training weight interval regions in continual learning</t>
  </si>
  <si>
    <t>Fairness-Accuracy Trade-Offs: A Causal Perspective</t>
  </si>
  <si>
    <t>Counterexample-Guided Repair of Reinforcement Learning Systems Using Safety Critics</t>
  </si>
  <si>
    <t>E(n) Equivariant Topological Neural Networks</t>
  </si>
  <si>
    <t>Smoothed Online Classification can be Harder than Batch Classification</t>
  </si>
  <si>
    <t>Lost in the Averages: A New Specific Setup to Evaluate Membership Inference Attacks Against Machine Learning Models</t>
  </si>
  <si>
    <t>Model-free reinforcement learning with noisy actions for automated experimental control in optics</t>
  </si>
  <si>
    <t>Towards Client Driven Federated Learning</t>
  </si>
  <si>
    <t>Fine-Grained Dynamic Framework for Bias-Variance Joint Optimization on Data Missing Not at Random</t>
  </si>
  <si>
    <t>Tensor Frames -- How To Make Any Message Passing Network Equivariant</t>
  </si>
  <si>
    <t>Efficient Recurrent Off-Policy RL Requires a Context-Encoder-Specific Learning Rate</t>
  </si>
  <si>
    <t>Fast, accurate training and sampling of Restricted Boltzmann Machines</t>
  </si>
  <si>
    <t>Cross-Domain Policy Adaptation by Capturing Representation Mismatch</t>
  </si>
  <si>
    <t>Pipeline Parallelism with Controllable Memory</t>
  </si>
  <si>
    <t>Cross-Validated Off-Policy Evaluation</t>
  </si>
  <si>
    <t>Multi-Modal Recommendation Unlearning</t>
  </si>
  <si>
    <t>On the Identification of Temporally Causal Representation with Instantaneous Dependence</t>
  </si>
  <si>
    <t>NuwaTS: Mending Every Incomplete Time Series</t>
  </si>
  <si>
    <t>Decaf: Data Distribution Decompose Attack against Federated Learning</t>
  </si>
  <si>
    <t>Output-Constrained Decision Trees</t>
  </si>
  <si>
    <t>Resource-Efficient Heartbeat Classification Using Multi-Feature Fusion and Bidirectional LSTM</t>
  </si>
  <si>
    <t>Spectraformer: A Unified Random Feature Framework for Transformer</t>
  </si>
  <si>
    <t>Unlearning Concepts in Diffusion Model via Concept Domain Correction and Concept Preserving Gradient</t>
  </si>
  <si>
    <t>Trajectory-Based Multi-Objective Hyperparameter Optimization for Model Retraining</t>
  </si>
  <si>
    <t>Rankability-enhanced Revenue Uplift Modeling Framework for Online Marketing</t>
  </si>
  <si>
    <t>Towards a Probabilistic Fusion Approach for Robust Battery Prognostics</t>
  </si>
  <si>
    <t>Minimizing UCB: a Better Local Search Strategy in Local Bayesian Optimization</t>
  </si>
  <si>
    <t>Prompt Tuning Strikes Back: Customizing Foundation Models with Low-Rank Prompt Adaptation</t>
  </si>
  <si>
    <t>Towards a General Time Series Anomaly Detector with Adaptive Bottlenecks and Dual Adversarial Decoders</t>
  </si>
  <si>
    <t>ParamReL: Learning Parameter Space Representation via Progressively Encoding Bayesian Flow Networks</t>
  </si>
  <si>
    <t>FTMixer: Frequency and Time Domain Representations Fusion for Time Series Modeling</t>
  </si>
  <si>
    <t>Fast 3D Molecule Generation via Unified Geometric Optimal Transport</t>
  </si>
  <si>
    <t>Learning Antenna Pointing Correction in Operations: Efficient Calibration of a Black Box</t>
  </si>
  <si>
    <t>Cooperative Backdoor Attack in Decentralized Reinforcement Learning with Theoretical Guarantee</t>
  </si>
  <si>
    <t>Adversarial Attacks on Hidden Tasks in Multi-Task Learning</t>
  </si>
  <si>
    <t>Towards Real World Debiasing: A Fine-grained Analysis On Spurious Correlation</t>
  </si>
  <si>
    <t>Cardinality Estimation on Hyper-relational Knowledge Graphs</t>
  </si>
  <si>
    <t>Learning from True-False Labels via Multi-modal Prompt Retrieving</t>
  </si>
  <si>
    <t>AGS-GNN: Attribute-guided Sampling for Graph Neural Networks</t>
  </si>
  <si>
    <t>Denoising LM: Pushing the Limits of Error Correction Models for Speech Recognition</t>
  </si>
  <si>
    <t>Indexed Minimum Empirical Divergence-Based Algorithms for Linear Bandits</t>
  </si>
  <si>
    <t>Efficient Reinforcement Learning via Large Language Model-based Search</t>
  </si>
  <si>
    <t>Diffusion Actor-Critic with Entropy Regulator</t>
  </si>
  <si>
    <t>Enhancing Learning with Label Differential Privacy by Vector Approximation</t>
  </si>
  <si>
    <t>Intelligent Go-Explore: Standing on the Shoulders of Giant Foundation Models</t>
  </si>
  <si>
    <t>Better Membership Inference Privacy Measurement through Discrepancy</t>
  </si>
  <si>
    <t>Exploring the Evolution of Hidden Activations with Live-Update Visualization</t>
  </si>
  <si>
    <t>Scaling Law for Time Series Forecasting</t>
  </si>
  <si>
    <t>A Counterfactual Analysis of the Dishonest Casino</t>
  </si>
  <si>
    <t>Bayesian Optimization of Functions over Node Subsets in Graphs</t>
  </si>
  <si>
    <t>Quantifying the Gain in Weak-to-Strong Generalization</t>
  </si>
  <si>
    <t>Towards Better Understanding of In-Context Learning Ability from In-Context Uncertainty Quantification</t>
  </si>
  <si>
    <t>ULTRA-MC: A Unified Approach to Learning Mixtures of Markov Chains via Hitting Times</t>
  </si>
  <si>
    <t>Pure Exploration for Constrained Best Mixed Arm Identification with a Fixed Budget</t>
  </si>
  <si>
    <t>Distributed Harmonization: Federated Clustered Batch Effect Adjustment and Generalization</t>
  </si>
  <si>
    <t>A Survey of Distributed Learning in Cloud, Mobile, and Edge Setting</t>
  </si>
  <si>
    <t>Direct Preference Optimization With Unobserved Preference Heterogeneity</t>
  </si>
  <si>
    <t>A classification model based on a population of hypergraphs</t>
  </si>
  <si>
    <t>Model-Agnostic Utility-Preserving Biometric Information Anonymization</t>
  </si>
  <si>
    <t>Message-Passing Monte Carlo: Generating low-discrepancy point sets via Graph Neural Networks</t>
  </si>
  <si>
    <t>ElastoGen: 4D Generative Elastodynamics</t>
  </si>
  <si>
    <t>CCBNet: Confidential Collaborative Bayesian Networks Inference</t>
  </si>
  <si>
    <t>Revisiting MoE and Dense Speed-Accuracy Comparisons for LLM Training</t>
  </si>
  <si>
    <t>Credal Wrapper of Model Averaging for Uncertainty Estimation on Out-Of-Distribution Detection</t>
  </si>
  <si>
    <t>Amortized nonmyopic active search via deep imitation learning</t>
  </si>
  <si>
    <t>OAC: Output-adaptive Calibration for Accurate Post-training Quantization</t>
  </si>
  <si>
    <t>What Variables Affect Out-Of-Distribution Generalization in Pretrained Models?</t>
  </si>
  <si>
    <t>Make Inference Faster: Efficient GPU Memory Management for Butterfly Sparse Matrix Multiplication</t>
  </si>
  <si>
    <t>Polyak Meets Parameter-free Clipped Gradient Descent</t>
  </si>
  <si>
    <t>Path-metrics, pruning, and generalization</t>
  </si>
  <si>
    <t>Private Regression via Data-Dependent Sufficient Statistic Perturbation</t>
  </si>
  <si>
    <t>In-context Time Series Predictor</t>
  </si>
  <si>
    <t>MaSS: Multi-attribute Selective Suppression for Utility-preserving Data Transformation from an Information-theoretic Perspective</t>
  </si>
  <si>
    <t>Two-Stage ML-Guided Decision Rules for Sequential Decision Making under Uncertainty</t>
  </si>
  <si>
    <t>Understanding the dynamics of the frequency bias in neural networks</t>
  </si>
  <si>
    <t>Mallows-DPO: Fine-Tune Your LLM with Preference Dispersions</t>
  </si>
  <si>
    <t>Fast Inference Using Automatic Differentiation and Neural Transport in Astroparticle Physics</t>
  </si>
  <si>
    <t>How Does Bayes Error Limit Probabilistic Robust Accuracy</t>
  </si>
  <si>
    <t>AnalogCoder: Analog Circuit Design via Training-Free Code Generation</t>
  </si>
  <si>
    <t>SliM-LLM: Salience-Driven Mixed-Precision Quantization for Large Language Models</t>
  </si>
  <si>
    <t>Data Mixing Made Efficient: A Bivariate Scaling Law for Language Model Pretraining</t>
  </si>
  <si>
    <t>YUI: Day-ahead Electricity Price Forecasting Using Invariance Simplified Supply and Demand Curve</t>
  </si>
  <si>
    <t>Reservoir Computing with Generalized Readout based on Generalized Synchronization</t>
  </si>
  <si>
    <t>Canonical Variates in Wasserstein Metric Space</t>
  </si>
  <si>
    <t>Scaling Laws for Discriminative Classification in Large Language Models</t>
  </si>
  <si>
    <t>Score-based generative models are provably robust: an uncertainty quantification perspective</t>
  </si>
  <si>
    <t>Filtered Corpus Training (FiCT) Shows that Language Models can Generalize from Indirect Evidence</t>
  </si>
  <si>
    <t>Large Language Models Reflect Human Citation Patterns with a Heightened Citation Bias</t>
  </si>
  <si>
    <t>Optimizing Large Language Models for OpenAPI Code Completion</t>
  </si>
  <si>
    <t>Anomalous Change Point Detection Using Probabilistic Predictive Coding</t>
  </si>
  <si>
    <t>Bisimulation Learning</t>
  </si>
  <si>
    <t>Hierarchical Uncertainty Exploration via Feedforward Posterior Trees</t>
  </si>
  <si>
    <t>Infinite Limits of Multi-head Transformer Dynamics</t>
  </si>
  <si>
    <t>Dimension-free deterministic equivalents for random feature regression</t>
  </si>
  <si>
    <t>Chain-of-Thought Prompting for Demographic Inference with Large Multimodal Models</t>
  </si>
  <si>
    <t>Taming Score-Based Diffusion Priors for Infinite-Dimensional Nonlinear Inverse Problems</t>
  </si>
  <si>
    <t>HiddenSpeaker: Generate Imperceptible Unlearnable Audios for Speaker Verification System</t>
  </si>
  <si>
    <t>Reducing the cost of posterior sampling in linear inverse problems via task-dependent score learning</t>
  </si>
  <si>
    <t>Visualize and Paint GAN Activations</t>
  </si>
  <si>
    <t>Nonlinear denoising score matching for enhanced learning of structured distributions</t>
  </si>
  <si>
    <t>Neuromorphic dreaming: A pathway to efficient learning in artificial agents</t>
  </si>
  <si>
    <t>Transfer Learning for Spatial Autoregressive Models</t>
  </si>
  <si>
    <t>Generating density nowcasts for U.S. GDP growth with deep learning: Bayes by Backprop and Monte Carlo dropout</t>
  </si>
  <si>
    <t>Freya PAGE: First Optimal Time Complexity for Large-Scale Nonconvex Finite-Sum Optimization with Heterogeneous Asynchronous Computations</t>
  </si>
  <si>
    <t>Knowledge-enhanced Relation Graph and Task Sampling for Few-shot Molecular Property Prediction</t>
  </si>
  <si>
    <t>SATSense: Multi-Satellite Collaborative Framework for Spectrum Sensing</t>
  </si>
  <si>
    <t>A generalized neural tangent kernel for surrogate gradient learning</t>
  </si>
  <si>
    <t>Polyp Segmentation Generalisability of Pretrained Backbones</t>
  </si>
  <si>
    <t>Mosaic Memory: Fuzzy Duplication in Copyright Traps for Large Language Models</t>
  </si>
  <si>
    <t>Erase to Enhance: Data-Efficient Machine Unlearning in MRI Reconstruction</t>
  </si>
  <si>
    <t>On the Convexity and Reliability of the Bethe Free Energy Approximation</t>
  </si>
  <si>
    <t>Randomized algorithms and PAC bounds for inverse reinforcement learning in continuous spaces</t>
  </si>
  <si>
    <t>Human-in-the-loop Reinforcement Learning for Data Quality Monitoring in Particle Physics Experiments</t>
  </si>
  <si>
    <t>Hierarchical Loss And Geometric Mask Refinement For Multilabel Ribs Segmentation</t>
  </si>
  <si>
    <t>Out of Many, One: Designing and Scaffolding Proteins at the Scale of the Structural Universe with Genie 2</t>
  </si>
  <si>
    <t>Learning Beyond Pattern Matching? Assaying Mathematical Understanding in LLMs</t>
  </si>
  <si>
    <t>Encoder Embedding for General Graph and Node Classification</t>
  </si>
  <si>
    <t>Repetita Iuvant: Data Repetition Allows SGD to Learn High-Dimensional Multi-Index Functions</t>
  </si>
  <si>
    <t>Leveraging Logical Rules in Knowledge Editing: A Cherry on the Top</t>
  </si>
  <si>
    <t>Towards Precision Healthcare: Robust Fusion of Time Series and Image Data</t>
  </si>
  <si>
    <t>Statistical and Computational Guarantees of Kernel Max-Sliced Wasserstein Distances</t>
  </si>
  <si>
    <t>Comparing remote sensing-based forest biomass mapping approaches using new forest inventory plots in contrasting forests in northeastern and southwestern China</t>
  </si>
  <si>
    <t>Biometrics and Behavioral Modelling for Detecting Distractions in Online Learning</t>
  </si>
  <si>
    <t>Counterfactual Explanations for Linear Optimization</t>
  </si>
  <si>
    <t>Enhancing Pollinator Conservation towards Agriculture 4.0: Monitoring of Bees through Object Recognition</t>
  </si>
  <si>
    <t>ORCA: A Global Ocean Emulator for Multi-year to Decadal Predictions</t>
  </si>
  <si>
    <t>A Misleading Gallery of Fluid Motion by Generative Artificial Intelligence</t>
  </si>
  <si>
    <t>Reshuffling Resampling Splits Can Improve Generalization of Hyperparameter Optimization</t>
  </si>
  <si>
    <t>Log-Concave Sampling on Compact Supports: A Versatile Proximal Framework</t>
  </si>
  <si>
    <t>Coordinated Multi-Neighborhood Learning on a Directed Acyclic Graph</t>
  </si>
  <si>
    <t>Strong screening rules for group-based SLOPE models</t>
  </si>
  <si>
    <t>BiSup: Bidirectional Quantization Error Suppression for Large Language Models</t>
  </si>
  <si>
    <t>Discriminative Estimation of Total Variation Distance: A Fidelity Auditor for Generative Data</t>
  </si>
  <si>
    <t>Towards Understanding the Working Mechanism of Text-to-Image Diffusion Model</t>
  </si>
  <si>
    <t>Towards Understanding How Transformer Perform Multi-step Reasoning with Matching Operation</t>
  </si>
  <si>
    <t>Semi-Supervised Learning guided by the Generalized Bayes Rule under Soft Revision</t>
  </si>
  <si>
    <t>DFGNN: Dual-frequency Graph Neural Network for Sign-aware Feedback</t>
  </si>
  <si>
    <t>BDetCLIP: Multimodal Prompting Contrastive Test-Time Backdoor Detection</t>
  </si>
  <si>
    <t>Novel Kernel Models and Exact Representor Theory for Neural Networks Beyond the Over-Parameterized Regime</t>
  </si>
  <si>
    <t>Learning to optimize: A tutorial for continuous and mixed-integer optimization</t>
  </si>
  <si>
    <t>iREPO: implicit Reward Pairwise Difference based Empirical Preference Optimization</t>
  </si>
  <si>
    <t>iVideoGPT: Interactive VideoGPTs are Scalable World Models</t>
  </si>
  <si>
    <t>TrojanForge: Adversarial Hardware Trojan Examples with Reinforcement Learning</t>
  </si>
  <si>
    <t>Learning the Distribution Map in Reverse Causal Performative Prediction</t>
  </si>
  <si>
    <t>ProDAG: Projection-induced variational inference for directed acyclic graphs</t>
  </si>
  <si>
    <t>From Frege to chatGPT: Compositionality in language, cognition, and deep neural networks</t>
  </si>
  <si>
    <t>ProtFAD: Introducing function-aware domains as implicit modality towards protein function perception</t>
  </si>
  <si>
    <t>Online Prompt Pricing based on Combinatorial Multi-Armed Bandit and Hierarchical Stackelberg Game</t>
  </si>
  <si>
    <t>Beyond the noise: intrinsic dimension estimation with optimal neighbourhood identification</t>
  </si>
  <si>
    <t>OptLLM: Optimal Assignment of Queries to Large Language Models</t>
  </si>
  <si>
    <t>Is Algorithmic Stability Testable? A Unified Framework under Computational Constraints</t>
  </si>
  <si>
    <t>The Rarity of Musical Audio Signals Within the Space of Possible Audio Generation</t>
  </si>
  <si>
    <t>Certified Inventory Control of Critical Resources</t>
  </si>
  <si>
    <t>Conformal Classification with Equalized Coverage for Adaptively Selected Groups</t>
  </si>
  <si>
    <t>Magnetic Resonance Image Processing Transformer for General Reconstruction</t>
  </si>
  <si>
    <t>Music Genre Classification: Training an AI model</t>
  </si>
  <si>
    <t>Efficient Certificates of Anti-Concentration Beyond Gaussians</t>
  </si>
  <si>
    <t>4+3 Phases of Compute-Optimal Neural Scaling Laws</t>
  </si>
  <si>
    <t>Controlling Behavioral Diversity in Multi-Agent Reinforcement Learning</t>
  </si>
  <si>
    <t>Provably Efficient Reinforcement Learning for Infinite-Horizon Average-Reward Linear MDPs</t>
  </si>
  <si>
    <t>CEEBERT: Cross-Domain Inference in Early Exit BERT</t>
  </si>
  <si>
    <t>Input-driven circuit reconfiguration in critical recurrent neural networks.</t>
  </si>
  <si>
    <t>Agentic Skill Discovery</t>
  </si>
  <si>
    <t>Extracting Prompts by Inverting LLM Outputs</t>
  </si>
  <si>
    <t>RE-Adapt: Reverse Engineered Adaptation of Large Language Models</t>
  </si>
  <si>
    <t>Lower Bound on the Greedy Approximation Ratio for Adaptive Submodular Cover</t>
  </si>
  <si>
    <t>Linking In-context Learning in Transformers to Human Episodic Memory</t>
  </si>
  <si>
    <t>Hand bone age estimation using divide and conquer strategy and lightweight convolutional neural networks</t>
  </si>
  <si>
    <t>SFDDM: Single-fold Distillation for Diffusion models</t>
  </si>
  <si>
    <t>Interpretable and Editable Programmatic Tree Policies for Reinforcement Learning</t>
  </si>
  <si>
    <t>AstroPT: Scaling Large Observation Models for Astronomy</t>
  </si>
  <si>
    <t>PILOT: Equivariant diffusion for pocket conditioned de novo ligand generation with multi-objective guidance via importance sampling</t>
  </si>
  <si>
    <t>High Rank Path Development: an approach of learning the filtration of stochastic processes</t>
  </si>
  <si>
    <t>Fair Evaluation of Federated Learning Algorithms for Automated Breast Density Classification: The Results of the 2022 ACR-NCI-NVIDIA Federated Learning Challenge</t>
  </si>
  <si>
    <t>DETAIL: Task DEmonsTration Attribution for Interpretable In-context Learning</t>
  </si>
  <si>
    <t>Study on spike-and-wave detection in epileptic signals using t-location-scale distribution and the K-nearest neighbors classifier</t>
  </si>
  <si>
    <t>Auditing the Fairness of COVID-19 Forecast Hub Case Prediction Models</t>
  </si>
  <si>
    <t>Improving and Evaluating Machine Learning Methods for Forensic Shoeprint Matching</t>
  </si>
  <si>
    <t>Visual Deformation Detection Using Soft Material Simulation for Pre-training of Condition Assessment Models</t>
  </si>
  <si>
    <t>Relevance</t>
  </si>
  <si>
    <t>Particle physics</t>
  </si>
  <si>
    <t>Sparsification</t>
  </si>
  <si>
    <t>Federated learning techniques</t>
  </si>
  <si>
    <t>Point clouds</t>
  </si>
  <si>
    <t>Review</t>
  </si>
  <si>
    <t>Shafi Goldwasser paper on transformer which proves its own arithmetic result.</t>
  </si>
  <si>
    <t>Error measurements</t>
  </si>
  <si>
    <t>Google paper on pretraining</t>
  </si>
  <si>
    <t>Meta paper on schedule-free approaches</t>
  </si>
  <si>
    <t>Causality</t>
  </si>
  <si>
    <t>Unlearning</t>
  </si>
  <si>
    <t>Confidence intervals for labeling</t>
  </si>
  <si>
    <t>Alignment techniques</t>
  </si>
  <si>
    <t>Architecture fundamental experiments</t>
  </si>
  <si>
    <t>Data preparation paper by Meta</t>
  </si>
  <si>
    <t>PGMs</t>
  </si>
  <si>
    <t>PDE estimation</t>
  </si>
  <si>
    <t>Replicability theory</t>
  </si>
  <si>
    <t>Forecasting</t>
  </si>
  <si>
    <t>Compressed Adam optimizer</t>
  </si>
  <si>
    <t>LLM safety</t>
  </si>
  <si>
    <t>LLM attack</t>
  </si>
  <si>
    <t>Transfer Learning</t>
  </si>
  <si>
    <t>GNN techniques</t>
  </si>
  <si>
    <t>RAG techniques</t>
  </si>
  <si>
    <t>Federated fine-tuning</t>
  </si>
  <si>
    <t>GNN derivative</t>
  </si>
  <si>
    <t>Classifier</t>
  </si>
  <si>
    <t>Diffusion performance</t>
  </si>
  <si>
    <t>CFR techniques</t>
  </si>
  <si>
    <t>Fine-tuning method</t>
  </si>
  <si>
    <t>Dense paper on multi-index models</t>
  </si>
  <si>
    <t>Concept models</t>
  </si>
  <si>
    <t>From Neurons to Neutrons: A Case Study in Interpretability</t>
  </si>
  <si>
    <t>Survival of the Fittest Representation: A Case Study with Modular Addition</t>
  </si>
  <si>
    <t>A Recipe for Unbounded Data Augmentation in Visual Reinforcement Learning</t>
  </si>
  <si>
    <t>Spectral Greedy Coresets for Graph Neural Networks</t>
  </si>
  <si>
    <t>A Closer Look at Time Steps is Worthy of Triple Speed-Up for Diffusion Model Training</t>
  </si>
  <si>
    <t>RB-Modulation: Training-Free Personalization of Diffusion Models using Stochastic Optimal Control</t>
  </si>
  <si>
    <t>Transformers Can Do Arithmetic with the Right Embeddings</t>
  </si>
  <si>
    <t>Dataset-learning duality and emergent criticality</t>
  </si>
  <si>
    <t>ReMoDetect: Reward Models Recognize Aligned LLM's Generations</t>
  </si>
  <si>
    <t>RTL-Repo: A Benchmark for Evaluating LLMs on Large-Scale RTL Design Projects</t>
  </si>
  <si>
    <t>How Does Perfect Fitting Affect Representation Learning? On the Training Dynamics of Representations in Deep Neural Networks</t>
  </si>
  <si>
    <t>Navigating the Safety Landscape: Measuring Risks in Finetuning Large Language Models</t>
  </si>
  <si>
    <t>EM-GANSim: Real-time and Accurate EM Simulation Using Conditional GANs for 3D Indoor Scenes</t>
  </si>
  <si>
    <t>Rethinking Transformers in Solving POMDPs</t>
  </si>
  <si>
    <t>Assessing the significance of longitudinal data in Alzheimer's Disease forecasting</t>
  </si>
  <si>
    <t>Prompt Optimization with Human Feedback</t>
  </si>
  <si>
    <t>Physics-Informed Real NVP for Satellite Power System Fault Detection</t>
  </si>
  <si>
    <t>Leveraging Offline Data in Linear Latent Bandits</t>
  </si>
  <si>
    <t>Probabilistic Graph Rewiring via Virtual Nodes</t>
  </si>
  <si>
    <t>Survey of Graph Neural Network for Internet of Things and NextG Networks</t>
  </si>
  <si>
    <t>Efficient Ensembles Improve Training Data Attribution</t>
  </si>
  <si>
    <t>Opinion-Guided Reinforcement Learning</t>
  </si>
  <si>
    <t>Recurrent Complex-Weighted Autoencoders for Unsupervised Object Discovery</t>
  </si>
  <si>
    <t>Gradients of Functions of Large Matrices</t>
  </si>
  <si>
    <t>DPN: Decoupling Partition and Navigation for Neural Solvers of Min-max Vehicle Routing Problems</t>
  </si>
  <si>
    <t>FedHPL: Efficient Heterogeneous Federated Learning with Prompt Tuning and Logit Distillation</t>
  </si>
  <si>
    <t>Accelerating Simulation of Two-Phase Flows with Neural PDE Surrogates</t>
  </si>
  <si>
    <t>Trans-LoRA: towards data-free Transferable Parameter Efficient Finetuning</t>
  </si>
  <si>
    <t>Gaussian Embedding of Temporal Networks</t>
  </si>
  <si>
    <t>An Introduction to Vision-Language Modeling</t>
  </si>
  <si>
    <t>Surprise-Adaptive Intrinsic Motivation for Unsupervised Reinforcement Learning</t>
  </si>
  <si>
    <t>CLAQ: Pushing the Limits of Low-Bit Post-Training Quantization for LLMs</t>
  </si>
  <si>
    <t>A Retrospective of the Tutorial on Opportunities and Challenges of Online Deep Learning</t>
  </si>
  <si>
    <t>Autoformalizing Euclidean Geometry</t>
  </si>
  <si>
    <t>Spectral-Refiner: Fine-Tuning of Accurate Spatiotemporal Neural Operator for Turbulent Flows</t>
  </si>
  <si>
    <t>How Do Transformers "Do" Physics? Investigating the Simple Harmonic Oscillator</t>
  </si>
  <si>
    <t>Convex Relaxation for Solving Large-Margin Classifiers in Hyperbolic Space</t>
  </si>
  <si>
    <t>Spectral regularization for adversarially-robust representation learning</t>
  </si>
  <si>
    <t>Forecasting Four Business Cycle Phases Using Machine Learning: A Case Study of US and EuroZone</t>
  </si>
  <si>
    <t>WeiPer: OOD Detection using Weight Perturbations of Class Projections</t>
  </si>
  <si>
    <t>Injecting Hamiltonian Architectural Bias into Deep Graph Networks for Long-Range Propagation</t>
  </si>
  <si>
    <t>Smoke and Mirrors in Causal Downstream Tasks</t>
  </si>
  <si>
    <t>Your decision path does matter in pre-training industrial recommenders with multi-source behaviors</t>
  </si>
  <si>
    <t>Exploiting the Layered Intrinsic Dimensionality of Deep Models for Practical Adversarial Training</t>
  </si>
  <si>
    <t>Diffusion Bridge AutoEncoders for Unsupervised Representation Learning</t>
  </si>
  <si>
    <t>Finding good policies in average-reward Markov Decision Processes without prior knowledge</t>
  </si>
  <si>
    <t>Q-value Regularized Transformer for Offline Reinforcement Learning</t>
  </si>
  <si>
    <t>Phase Transitions in the Output Distribution of Large Language Models</t>
  </si>
  <si>
    <t>Effective Layer Pruning Through Similarity Metric Perspective</t>
  </si>
  <si>
    <t>Interaction-Force Transport Gradient Flows</t>
  </si>
  <si>
    <t>The Poisson Midpoint Method for Langevin Dynamics: Provably Efficient Discretization for Diffusion Models</t>
  </si>
  <si>
    <t>Provably Efficient Reinforcement Learning with Multinomial Logit Function Approximation</t>
  </si>
  <si>
    <t>Comparative Study of Machine Learning Algorithms in Detecting Cardiovascular Diseases</t>
  </si>
  <si>
    <t>Improving Data-aware and Parameter-aware Robustness for Continual Learning</t>
  </si>
  <si>
    <t>BeamVQ: Aligning Space-Time Forecasting Model via Self-training on Physics-aware Metrics</t>
  </si>
  <si>
    <t>HeNCler: Node Clustering in Heterophilous Graphs through Learned Asymmetric Similarity</t>
  </si>
  <si>
    <t>Verifying Properties of Binary Neural Networks Using Sparse Polynomial Optimization</t>
  </si>
  <si>
    <t>LabObf: A Label Protection Scheme for Vertical Federated Learning Through Label Obfuscation</t>
  </si>
  <si>
    <t>Glauber Generative Model: Discrete Diffusion Models via Binary Classification</t>
  </si>
  <si>
    <t>FUGNN: Harmonizing Fairness and Utility in Graph Neural Networks</t>
  </si>
  <si>
    <t>Any-step Dynamics Model Improves Future Predictions for Online and Offline Reinforcement Learning</t>
  </si>
  <si>
    <t>Supervised Batch Normalization</t>
  </si>
  <si>
    <t>Graph Condensation for Open-World Graph Learning</t>
  </si>
  <si>
    <t>OSLO: One-Shot Label-Only Membership Inference Attacks</t>
  </si>
  <si>
    <t>A Correlation- and Mean-Aware Loss Function and Benchmarking Framework to Improve GAN-based Tabular Data Synthesis</t>
  </si>
  <si>
    <t>Dual-Delayed Asynchronous SGD for Arbitrarily Heterogeneous Data</t>
  </si>
  <si>
    <t>Functional Programming Paradigm of Python for Scientific Computation Pipeline Integration</t>
  </si>
  <si>
    <t>Fast ML-driven Analog Circuit Layout using Reinforcement Learning and Steiner Trees</t>
  </si>
  <si>
    <t>Demystifying amortized causal discovery with transformers</t>
  </si>
  <si>
    <t>The Uncanny Valley: Exploring Adversarial Robustness from a Flatness Perspective</t>
  </si>
  <si>
    <t>Predicting from a Different Perspective in Re-ranking Model for Inductive Knowledge Graph Completion</t>
  </si>
  <si>
    <t>Recurrent and Convolutional Neural Networks in Classification of EEG Signal for Guided Imagery and Mental Workload Detection</t>
  </si>
  <si>
    <t>Partial Models for Building Adaptive Model-Based Reinforcement Learning Agents</t>
  </si>
  <si>
    <t>Scorch: A Library for Sparse Deep Learning</t>
  </si>
  <si>
    <t>Unsupervised Generative Feature Transformation via Graph Contrastive Pre-training and Multi-objective Fine-tuning</t>
  </si>
  <si>
    <t>Are Self-Attentions Effective for Time Series Forecasting?</t>
  </si>
  <si>
    <t>Transfer Learning for Diffusion Models</t>
  </si>
  <si>
    <t>EM Distillation for One-step Diffusion Models</t>
  </si>
  <si>
    <t>On Mesa-Optimization in Autoregressively Trained Transformers: Emergence and Capability</t>
  </si>
  <si>
    <t>Non-stochastic Bandits With Evolving Observations</t>
  </si>
  <si>
    <t>Enhancing Fast Feed Forward Networks with Load Balancing and a Master Leaf Node</t>
  </si>
  <si>
    <t>Safe LoRA: the Silver Lining of Reducing Safety Risks when Fine-tuning Large Language Models</t>
  </si>
  <si>
    <t>Kernel-based optimally weighted conformal prediction intervals</t>
  </si>
  <si>
    <t>Laboratory-Scale AI: Open-Weight Models are Competitive with ChatGPT Even in Low-Resource Settings</t>
  </si>
  <si>
    <t>Automatic Domain Adaptation by Transformers in In-Context Learning</t>
  </si>
  <si>
    <t>Trajectory Data Suffices for Statistically Efficient Learning in Offline RL with Linear qπ-Realizability and Concentrability</t>
  </si>
  <si>
    <t>Gradient Compressed Sensing: A Query-Efficient Gradient Estimator for High-Dimensional Zeroth-Order Optimization</t>
  </si>
  <si>
    <t>TAGA: Text-Attributed Graph Self-Supervised Learning by Synergizing Graph and Text Mutual Transformations</t>
  </si>
  <si>
    <t>Dual-State Personalized Knowledge Tracing with Emotional Incorporation</t>
  </si>
  <si>
    <t>Exploring Fairness in Educational Data Mining in the Context of the Right to be Forgotten</t>
  </si>
  <si>
    <t>ARC: A Generalist Graph Anomaly Detector with In-Context Learning</t>
  </si>
  <si>
    <t>Physics informed cell representations for variational formulation of multiscale problems</t>
  </si>
  <si>
    <t>Study of Robust Direction Finding Based on Joint Sparse Representation</t>
  </si>
  <si>
    <t>Transport of Algebraic Structure to Latent Embeddings</t>
  </si>
  <si>
    <t>Symmetry-Informed Governing Equation Discovery</t>
  </si>
  <si>
    <t>CHESS: Contextual Harnessing for Efficient SQL Synthesis</t>
  </si>
  <si>
    <t>Model Ensembling for Constrained Optimization</t>
  </si>
  <si>
    <t>DMPlug: A Plug-in Method for Solving Inverse Problems with Diffusion Models</t>
  </si>
  <si>
    <t>Understanding Linear Probing then Fine-tuning Language Models from NTK Perspective</t>
  </si>
  <si>
    <t>Oracle-Efficient Reinforcement Learning for Max Value Ensembles</t>
  </si>
  <si>
    <t>Pretraining with Random Noise for Fast and Robust Learning without Weight Transport</t>
  </si>
  <si>
    <t>Latent Energy-Based Odyssey: Black-Box Optimization via Expanded Exploration in the Energy-Based Latent Space</t>
  </si>
  <si>
    <t>Disentangling and Integrating Relational and Sensory Information in Transformer Architectures</t>
  </si>
  <si>
    <t>Exploring Edge Probability Graph Models Beyond Edge Independency: Concepts, Analyses, and Algorithms</t>
  </si>
  <si>
    <t>Amortized Active Causal Induction with Deep Reinforcement Learning</t>
  </si>
  <si>
    <t>Zamba: A Compact 7B SSM Hybrid Model</t>
  </si>
  <si>
    <t>CNN Autoencoder Resizer: A Power-Efficient LoS/NLoS Detector in MIMO-enabled UAV Networks</t>
  </si>
  <si>
    <t>A Systematic Review of Federated Generative Models</t>
  </si>
  <si>
    <t>Limits of Deep Learning: Sequence Modeling through the Lens of Complexity Theory</t>
  </si>
  <si>
    <t>Mixture of Experts Using Tensor Products</t>
  </si>
  <si>
    <t>Provably Efficient Off-Policy Adversarial Imitation Learning with Convergence Guarantees</t>
  </si>
  <si>
    <t>Comments on Friedman's Method for Class Distribution Estimation</t>
  </si>
  <si>
    <t>Acceleration of Grokking in Learning Arithmetic Operations via Kolmogorov-Arnold Representation</t>
  </si>
  <si>
    <t>A Provably Effective Method for Pruning Experts in Fine-tuned Sparse Mixture-of-Experts</t>
  </si>
  <si>
    <t>Pick up the PACE: A Parameter-Free Optimizer for Lifelong Reinforcement Learning</t>
  </si>
  <si>
    <t>A unified law of robustness for Bregman divergence losses</t>
  </si>
  <si>
    <t>Graph neural networks with configuration cross-attention for tensor compilers</t>
  </si>
  <si>
    <t>DPHGNN: A Dual Perspective Hypergraph Neural Networks</t>
  </si>
  <si>
    <t>Efficient Probabilistic Modeling of Crystallization at Mesoscopic Scale</t>
  </si>
  <si>
    <t>A CMDP-within-online framework for Meta-Safe Reinforcement Learning</t>
  </si>
  <si>
    <t>Regularized Projection Matrix Approximation with Applications to Community Detection</t>
  </si>
  <si>
    <t>Cost-Effective Online Multi-LLM Selection with Versatile Reward Models</t>
  </si>
  <si>
    <t>Fair Federated Learning under Domain Skew with Local Consistency and Domain Diversity</t>
  </si>
  <si>
    <t>On Bits and Bandits: Quantifying the Regret-Information Trade-off</t>
  </si>
  <si>
    <t>Reality Only Happens Once: Single-Path Generalization Bounds for Transformers</t>
  </si>
  <si>
    <t>Task Groupings Regularization: Data-Free Meta-Learning with Heterogeneous Pre-trained Models</t>
  </si>
  <si>
    <t>Scalable Numerical Embeddings for Multivariate Time Series: Enhancing Healthcare Data Representation Learning</t>
  </si>
  <si>
    <t>LoQT: Low Rank Adapters for Quantized Training</t>
  </si>
  <si>
    <t>Multi-State TD Target for Model-Free Reinforcement Learning</t>
  </si>
  <si>
    <t>Injective Sliced-Wasserstein embedding for weighted sets and point clouds</t>
  </si>
  <si>
    <t>SE3Set: Harnessing equivariant hypergraph neural networks for molecular representation learning</t>
  </si>
  <si>
    <t>AnyCBMs: How to Turn Any Black Box into a Concept Bottleneck Model</t>
  </si>
  <si>
    <t>Causal Concept Embedding Models: Beyond Causal Opacity in Deep Learning</t>
  </si>
  <si>
    <t>GRAG: Graph Retrieval-Augmented Generation</t>
  </si>
  <si>
    <t>A Unified Implicit Attention Formulation for Gated-Linear Recurrent Sequence Models</t>
  </si>
  <si>
    <t>On Sequential Loss Approximation for Continual Learning</t>
  </si>
  <si>
    <t>Causal-Aware Graph Neural Architecture Search under Distribution Shifts</t>
  </si>
  <si>
    <t>Looks Too Good To Be True: An Information-Theoretic Analysis of Hallucinations in Generative Restoration Models</t>
  </si>
  <si>
    <t>Inaccurate Label Distribution Learning with Dependency Noise</t>
  </si>
  <si>
    <t>Multi-Level Additive Modeling for Structured Non-IID Federated Learning</t>
  </si>
  <si>
    <t>Probabilistic Contrastive Learning with Explicit Concentration on the Hypersphere</t>
  </si>
  <si>
    <t>Dominant Shuffle: A Simple Yet Powerful Data Augmentation for Time-series Prediction</t>
  </si>
  <si>
    <t>Synthesizing Programmatic Reinforcement Learning Policies with Large Language Model Guided Search</t>
  </si>
  <si>
    <t>Reinforcement Learning for Jump-Diffusions</t>
  </si>
  <si>
    <t>Fast Asymmetric Factorization for Large Scale Multiple Kernel Clustering</t>
  </si>
  <si>
    <t>CacheBlend: Fast Large Language Model Serving with Cached Knowledge Fusion</t>
  </si>
  <si>
    <t>Categorical Flow Matching on Statistical Manifolds</t>
  </si>
  <si>
    <t>MambaTS: Improved Selective State Space Models for Long-term Time Series Forecasting</t>
  </si>
  <si>
    <t>Provably Mitigating Overoptimization in RLHF: Your SFT Loss is Implicitly an Adversarial Regularizer</t>
  </si>
  <si>
    <t>Structure-aware Semantic Node Identifiers for Learning on Graphs</t>
  </si>
  <si>
    <t>Unraveling the Smoothness Properties of Diffusion Models: A Gaussian Mixture Perspective</t>
  </si>
  <si>
    <t>Tensor Attention Training: Provably Efficient Learning of Higher-order Transformers</t>
  </si>
  <si>
    <t>SpinQuant -- LLM quantization with learned rotations</t>
  </si>
  <si>
    <t>Intruding with Words: Towards Understanding Graph Injection Attacks at the Text Level</t>
  </si>
  <si>
    <t>AdaFisher: Adaptive Second Order Optimization via Fisher Information</t>
  </si>
  <si>
    <t>Machine learning in business process management: A systematic literature review</t>
  </si>
  <si>
    <t>Daily Physical Activity Monitoring -- Adaptive Learning from Multi-source Motion Sensor Data</t>
  </si>
  <si>
    <t>When does compositional structure yield compositional generalization? A kernel theory</t>
  </si>
  <si>
    <t>Variational Offline Multi-agent Skill Discovery</t>
  </si>
  <si>
    <t>Rewarded Region Replay (R3) for Policy Learning with Discrete Action Space</t>
  </si>
  <si>
    <t>Trivialized Momentum Facilitates Diffusion Generative Modeling on Lie Groups</t>
  </si>
  <si>
    <t>Dynamic Inhomogeneous Quantum Resource Scheduling with Reinforcement Learning</t>
  </si>
  <si>
    <t>Qsco: A Quantum Scoring Module for Open-set Supervised Anomaly Detection</t>
  </si>
  <si>
    <t>LDPKiT: Recovering Utility in LDP Schemes by Training with Noise^2</t>
  </si>
  <si>
    <t>SLoPe: Double-Pruned Sparse Plus Lazy Low-Rank Adapter Pretraining of LLMs</t>
  </si>
  <si>
    <t>Time-SSM: Simplifying and Unifying State Space Models for Time Series Forecasting</t>
  </si>
  <si>
    <t>Efficiently Parameterized Neural Metriplectic Sysyems</t>
  </si>
  <si>
    <t>Federated Unsupervised Domain Generalization using Global and Local Alignment of Gradients</t>
  </si>
  <si>
    <t>LUCIE: A Lightweight Uncoupled ClImate Emulator with long-term stability and physical consistency for O(1000)-member ensembles</t>
  </si>
  <si>
    <t>LoGAH: Predicting 774-Million-Parameter Transformers using Graph HyperNetworks with 1/100 Parameters</t>
  </si>
  <si>
    <t>Generation of synthetic data using breast cancer dataset and classification with resnet18</t>
  </si>
  <si>
    <t>ModelLock: Locking Your Model With a Spell</t>
  </si>
  <si>
    <t>A GPU-Accelerated Bi-linear ADMM Algorithm for Distributed Sparse Machine Learning</t>
  </si>
  <si>
    <t>MindStar: Enhancing Math Reasoning in Pre-trained LLMs at Inference Time</t>
  </si>
  <si>
    <t>Layer-Aware Analysis of Catastrophic Overfitting: Revealing the Pseudo-Robust Shortcut Dependency</t>
  </si>
  <si>
    <t>USD: Unsupervised Soft Contrastive Learning for Fault Detection in Multivariate Time Series</t>
  </si>
  <si>
    <t>GeoAdaLer: Geometric Insights into Adaptive Stochastic Gradient Descent Algorithms</t>
  </si>
  <si>
    <t>Analytic Federated Learning</t>
  </si>
  <si>
    <t>Client2Vec: Improving Federated Learning by Distribution Shifts Aware Client Indexing</t>
  </si>
  <si>
    <t>Local Causal Structure Learning in the Presence of Latent Variables</t>
  </si>
  <si>
    <t>Negative as Positive: Enhancing Out-of-distribution Generalization for Graph Contrastive Learning</t>
  </si>
  <si>
    <t>Deep Causal Generative Models with Property Control</t>
  </si>
  <si>
    <t>GlycanML: A Multi-Task and Multi-Structure Benchmark for Glycan Machine Learning</t>
  </si>
  <si>
    <t>Evolutionary Large Language Model for Automated Feature Transformation</t>
  </si>
  <si>
    <t>Maintaining and Managing Road Quality:Using MLP and DNN</t>
  </si>
  <si>
    <t>Adaptive Q-Network: On-the-fly Target Selection for Deep Reinforcement Learning</t>
  </si>
  <si>
    <t>Diffusion-Reward Adversarial Imitation Learning</t>
  </si>
  <si>
    <t>Differentiable Cluster Graph Neural Network</t>
  </si>
  <si>
    <t>Graph Neural PDE Solvers with Conservation and Similarity-Equivariance</t>
  </si>
  <si>
    <t>Diffusion-based Reinforcement Learning via Q-weighted Variational Policy Optimization</t>
  </si>
  <si>
    <t>Multi-Player Approaches for Dueling Bandits</t>
  </si>
  <si>
    <t>Acquiring Better Load Estimates by Combining Anomaly and Change-point Detection in Power Grid Time-series Measurements</t>
  </si>
  <si>
    <t>A Declarative Query Language for Scientific Machine Learning</t>
  </si>
  <si>
    <t>Bigger, Regularized, Optimistic: scaling for compute and sample-efficient continuous control</t>
  </si>
  <si>
    <t>Mixture of In-Context Prompters for Tabular PFNs</t>
  </si>
  <si>
    <t>Accelerating Transformers with Spectrum-Preserving Token Merging</t>
  </si>
  <si>
    <t>AIGB: Generative Auto-bidding via Diffusion Modeling</t>
  </si>
  <si>
    <t>Automating the Selection of Proxy Variables of Unmeasured Confounders</t>
  </si>
  <si>
    <t>Unsupervised Meta-Learning via In-Context Learning</t>
  </si>
  <si>
    <t>Method and Software Tool for Generating Artificial Databases of Biomedical Images Based on Deep Neural Networks</t>
  </si>
  <si>
    <t>Beyond Primal-Dual Methods in Bandits with Stochastic and Adversarial Constraints</t>
  </si>
  <si>
    <t>Enabling On-Device Learning via Experience Replay with Efficient Dataset Condensation</t>
  </si>
  <si>
    <t>Global Well-posedness and Convergence Analysis of Score-based Generative Models via Sharp Lipschitz Estimates</t>
  </si>
  <si>
    <t>From Orthogonality to Dependency: Learning Disentangled Representation for Multi-Modal Time-Series Sensing Signals</t>
  </si>
  <si>
    <t>Finite-Time Analysis for Conflict-Avoidant Multi-Task Reinforcement Learning</t>
  </si>
  <si>
    <t>Continuous Temporal Domain Generalization</t>
  </si>
  <si>
    <t>IncomeSCM: From tabular data set to time-series simulator and causal estimation benchmark</t>
  </si>
  <si>
    <t>FedSheafHN: Personalized Federated Learning on Graph-structured Data</t>
  </si>
  <si>
    <t>Pausing Policy Learning in Non-stationary Reinforcement Learning</t>
  </si>
  <si>
    <t>Theoretical Analysis of Weak-to-Strong Generalization</t>
  </si>
  <si>
    <t>Explainable Molecular Property Prediction: Aligning Chemical Concepts with Predictions via Language Models</t>
  </si>
  <si>
    <t>MoEUT: Mixture-of-Experts Universal Transformers</t>
  </si>
  <si>
    <t>Certifying Adapters: Enabling and Enhancing the Certification of Classifier Adversarial Robustness</t>
  </si>
  <si>
    <t>Constrained Ensemble Exploration for Unsupervised Skill Discovery</t>
  </si>
  <si>
    <t>Online Resource Allocation for Edge Intelligence with Colocated Model Retraining and Inference</t>
  </si>
  <si>
    <t>Feature Protection For Out-of-distribution Generalization</t>
  </si>
  <si>
    <t>Convergence Behavior of an Adversarial Weak Supervision Method</t>
  </si>
  <si>
    <t>Pessimistic Backward Policy for GFlowNets</t>
  </si>
  <si>
    <t>Does SGD really happen in tiny subspaces?</t>
  </si>
  <si>
    <t>Verified Safe Reinforcement Learning for Neural Network Dynamic Models</t>
  </si>
  <si>
    <t>Data Complexity Estimates for Operator Learning</t>
  </si>
  <si>
    <t>R\'enyi Neural Processes</t>
  </si>
  <si>
    <t>Transductive Confidence Machine and its application to Medical Data Sets</t>
  </si>
  <si>
    <t>Accelerating Diffusion Models with Parallel Sampling: Inference at Sub-Linear Time Complexity</t>
  </si>
  <si>
    <t>BadGD: A unified data-centric framework to identify gradient descent vulnerabilities</t>
  </si>
  <si>
    <t>Robust width: A lightweight and certifiable adversarial defense</t>
  </si>
  <si>
    <t>Transformers represent belief state geometry in their residual stream</t>
  </si>
  <si>
    <t>Can Implicit Bias Imply Adversarial Robustness?</t>
  </si>
  <si>
    <t>Clustering Survival Data using a Mixture of Non-parametric Experts</t>
  </si>
  <si>
    <t>Dissecting the Interplay of Attention Paths in a Statistical Mechanics Theory of Transformers</t>
  </si>
  <si>
    <t>SF-DQN: Provable Knowledge Transfer using Successor Feature for Deep Reinforcement Learning</t>
  </si>
  <si>
    <t>Scaling up the Banded Matrix Factorization Mechanism for Differentially Private ML</t>
  </si>
  <si>
    <t>Learning accurate and interpretable decision trees</t>
  </si>
  <si>
    <t>UnitNorm: Rethinking Normalization for Transformers in Time Series</t>
  </si>
  <si>
    <t>Predicting the Impact of Model Expansion through the Minima Manifold: A Loss Landscape Perspective</t>
  </si>
  <si>
    <t>Diffusion Bridge Implicit Models</t>
  </si>
  <si>
    <t>Risk Factor Identification In Osteoporosis Using Unsupervised Machine Learning Techniques</t>
  </si>
  <si>
    <t>Basis Selection: Low-Rank Decomposition of Pretrained Large Language Models for Target Applications</t>
  </si>
  <si>
    <t>CausalConceptTS: Causal Attributions for Time Series Classification using High Fidelity Diffusion Models</t>
  </si>
  <si>
    <t>Achieving Dimension-Free Communication in Federated Learning via Zeroth-Order Optimization</t>
  </si>
  <si>
    <t>Spatio-temporal Value Semantics-based Abstraction for Dense Deep Reinforcement Learning</t>
  </si>
  <si>
    <t>Efficient Mitigation of Bus Bunching through Setter-Based Curriculum Learning</t>
  </si>
  <si>
    <t>Matryoshka Multimodal Models</t>
  </si>
  <si>
    <t>NV-Embed: Improved Techniques for Training LLMs as Generalist Embedding Models</t>
  </si>
  <si>
    <t>Hardness-Aware Scene Synthesis for Semi-Supervised 3D Object Detection</t>
  </si>
  <si>
    <t>MultiOOD: Scaling Out-of-Distribution Detection for Multiple Modalities</t>
  </si>
  <si>
    <t>Towards One Model for Classical Dimensionality Reduction: A Probabilistic Perspective on UMAP and t-SNE</t>
  </si>
  <si>
    <t>Deep Learning Calabi-Yau four folds with hybrid and recurrent neural network architectures</t>
  </si>
  <si>
    <t>The Expressive Capacity of State Space Models: A Formal Language Perspective</t>
  </si>
  <si>
    <t>BehaviorGPT: Smart Agent Simulation for Autonomous Driving with Next-Patch Prediction</t>
  </si>
  <si>
    <t>Model-Agnostic Zeroth-Order Policy Optimization for Meta-Learning of Ergodic Linear Quadratic Regulators</t>
  </si>
  <si>
    <t>Conditioning on Time is All You Need for Synthetic Survival Data Generation</t>
  </si>
  <si>
    <t>Novel Approaches for ML-Assisted Particle Track Reconstruction and Hit Clustering</t>
  </si>
  <si>
    <t>Simplicity Bias of Two-Layer Networks beyond Linearly Separable Data</t>
  </si>
  <si>
    <t>R-ODE: Ricci Curvature Tells When You Will be Informed</t>
  </si>
  <si>
    <t>On the Noise Robustness of In-Context Learning for Text Generation</t>
  </si>
  <si>
    <t>Transformer In-Context Learning for Categorical Data</t>
  </si>
  <si>
    <t>Galaxy: A Resource-Efficient Collaborative Edge AI System for In-situ Transformer Inference</t>
  </si>
  <si>
    <t>Benchmarking General Purpose In-Context Learning</t>
  </si>
  <si>
    <t>A Novel Fusion Architecture for PD Detection Using Semi-Supervised Speech Embeddings</t>
  </si>
  <si>
    <t>Efficient multi-prompt evaluation of LLMs</t>
  </si>
  <si>
    <t>The Scaling Law in Stellar Light Curves</t>
  </si>
  <si>
    <t>Synergy and Diversity in CLIP: Enhancing Performance Through Adaptive Backbone Ensembling</t>
  </si>
  <si>
    <t>Dual VC Dimension Obstructs Sample Compression by Embeddings</t>
  </si>
  <si>
    <t>Mixtures of Unsupervised Lexicon Classification</t>
  </si>
  <si>
    <t>Evaluation of Multi-task Uncertainties in Joint Semantic Segmentation and Monocular Depth Estimation</t>
  </si>
  <si>
    <t>Dual feature reduction for the sparse-group lasso and its adaptive variant</t>
  </si>
  <si>
    <t>Learning with User-Level Local Differential Privacy</t>
  </si>
  <si>
    <t>Efficient mid-term forecasting of hourly electricity load using generalized additive models</t>
  </si>
  <si>
    <t>Training-free Editioning of Text-to-Image Models</t>
  </si>
  <si>
    <t>Saturn: Sample-efficient Generative Molecular Design using Memory Manipulation</t>
  </si>
  <si>
    <t>Graph Neural Networks on Quantum Computers</t>
  </si>
  <si>
    <t>WirelessLLM: Empowering Large Language Models Towards Wireless Intelligence</t>
  </si>
  <si>
    <t>Interpretable Robotic Manipulation from Language</t>
  </si>
  <si>
    <t>Generation and human-expert evaluation of interesting research ideas using knowledge graphs and large language models</t>
  </si>
  <si>
    <t>BWArea Model: Learning World Model, Inverse Dynamics, and Policy for Controllable Language Generation</t>
  </si>
  <si>
    <t>SCaRL- A Synthetic Multi-Modal Dataset for Autonomous Driving</t>
  </si>
  <si>
    <t>Analysis of Multiscale Reinforcement Q-Learning Algorithms for Mean Field Control Games</t>
  </si>
  <si>
    <t>Large Deviations of Gaussian Neural Networks with ReLU activation</t>
  </si>
  <si>
    <t>Convergence of SGD with momentum in the nonconvex case: A novel time window-based analysis</t>
  </si>
  <si>
    <t>Theories of synaptic memory consolidation and intelligent plasticity for continual learning</t>
  </si>
  <si>
    <t>Multilingual Diversity Improves Vision-Language Representations</t>
  </si>
  <si>
    <t>GTA: Generative Trajectory Augmentation with Guidance for Offline Reinforcement Learning</t>
  </si>
  <si>
    <t>Harnessing the Power of Vicinity-Informed Analysis for Classification under Covariate Shift</t>
  </si>
  <si>
    <t>An Investigation of Conformal Isometry Hypothesis for Grid Cells</t>
  </si>
  <si>
    <t>NCIDiff: Non-covalent Interaction-generative Diffusion Model for Improving Reliability of 3D Molecule Generation Inside Protein Pocket</t>
  </si>
  <si>
    <t>Temporal Spiking Neural Networks with Synaptic Delay for Graph Reasoning</t>
  </si>
  <si>
    <t>UniCompress: Enhancing Multi-Data Medical Image Compression with Knowledge Distillation</t>
  </si>
  <si>
    <t>Enhancing Accuracy in Generative Models via Knowledge Transfer</t>
  </si>
  <si>
    <t>Structured Graph Network for Constrained Robot Crowd Navigation with Low Fidelity Simulation</t>
  </si>
  <si>
    <t>AutoCV: Empowering Reasoning with Automated Process Labeling via Confidence Variation</t>
  </si>
  <si>
    <t>TrojFM: Resource-efficient Backdoor Attacks against Very Large Foundation Models</t>
  </si>
  <si>
    <t>Balancing User Preferences by Social Networks: A Condition-Guided Social Recommendation Model for Mitigating Popularity Bias</t>
  </si>
  <si>
    <t>Reframing the Relationship in Out-of-Distribution Detection</t>
  </si>
  <si>
    <t>Addressing Discretization-Induced Bias in Demographic Prediction</t>
  </si>
  <si>
    <t>Masked Face Recognition with Generative-to-Discriminative Representations</t>
  </si>
  <si>
    <t>Greedy Growing Enables High-Resolution Pixel-Based Diffusion Models</t>
  </si>
  <si>
    <t>Hypergraph Laplacian Eigenmaps and Face Recognition Problems</t>
  </si>
  <si>
    <t>Faster Sampling via Stochastic Gradient Proximal Sampler</t>
  </si>
  <si>
    <t>The Collusion of Memory and Nonlinearity in Stochastic Approximation With Constant Stepsize</t>
  </si>
  <si>
    <t>Free-Space Optical Channel Turbulence Prediction: A Machine Learning Approach</t>
  </si>
  <si>
    <t>Towards Multi-Task Multi-Modal Models: A Video Generative Perspective</t>
  </si>
  <si>
    <t>Crafting Interpretable Embeddings by Asking LLMs Questions</t>
  </si>
  <si>
    <t>Implicit Multimodal Alignment: On the Generalization of Frozen LLMs to Multimodal Inputs</t>
  </si>
  <si>
    <t>gzip Predicts Data-dependent Scaling Laws</t>
  </si>
  <si>
    <t>Toward Digitalization: A Secure Approach to Find a Missing Person Using Facial Recognition Technology</t>
  </si>
  <si>
    <t>Transfer Learning Under High-Dimensional Graph Convolutional Regression Model for Node Classification</t>
  </si>
  <si>
    <t>Private Edge Density Estimation for Random Graphs: Optimal, Efficient and Robust</t>
  </si>
  <si>
    <t>RLSF: Reinforcement Learning via Symbolic Feedback</t>
  </si>
  <si>
    <t>Predicting Likely-Vulnerable Code Changes: Machine Learning-based Vulnerability Protections for Android Open Source Project</t>
  </si>
  <si>
    <t>Gaussian Approximation and Multiplier Bootstrap for Polyak-Ruppert Averaged Linear Stochastic Approximation with Applications to TD Learning</t>
  </si>
  <si>
    <t>Bayesian Inference with Deep Weakly Nonlinear Networks</t>
  </si>
  <si>
    <t>Competing for pixels: a self-play algorithm for weakly-supervised segmentation</t>
  </si>
  <si>
    <t>The devil is in discretization discrepancy. Robustifying Differentiable NAS with Single-Stage Searching Protocol</t>
  </si>
  <si>
    <t>Training-Conditional Coverage Bounds under Covariate Shift</t>
  </si>
  <si>
    <t>A Study on Unsupervised Anomaly Detection and Defect Localization using Generative Model in Ultrasonic Non-Destructive Testing</t>
  </si>
  <si>
    <t>Reflected Flow Matching</t>
  </si>
  <si>
    <t>Contextual Linear Optimization with Bandit Feedback</t>
  </si>
  <si>
    <t>Variance-Reducing Couplings for Random Features: Perspectives from Optimal Transport</t>
  </si>
  <si>
    <t>Meta-Task Planning for Language Agents</t>
  </si>
  <si>
    <t>Integrating GNN and Neural ODEs for Estimating Two-Body Interactions in Mixed-Species Collective Motion</t>
  </si>
  <si>
    <t>Exploring a Multimodal Fusion-based Deep Learning Network for Detecting Facial Palsy</t>
  </si>
  <si>
    <t>KiNETGAN: Enabling Distributed Network Intrusion Detection through Knowledge-Infused Synthetic Data Generation</t>
  </si>
  <si>
    <t>On the Algorithmic Bias of Aligning Large Language Models with RLHF: Preference Collapse and Matching Regularization</t>
  </si>
  <si>
    <t>A Slices Perspective for Incremental Nonparametric Inference in High Dimensional State Spaces</t>
  </si>
  <si>
    <t>Towards Imitation Learning in Real World Unstructured Social Mini-Games in Pedestrian Crowds</t>
  </si>
  <si>
    <t>Improving Health Professionals' Onboarding with AI and XAI for Trustworthy Human-AI Collaborative Decision Making</t>
  </si>
  <si>
    <t>AI-Generated Text Detection and Classification Based on BERT Deep Learning Algorithm</t>
  </si>
  <si>
    <t>Augmented Risk Prediction for the Onset of Alzheimer's Disease from Electronic Health Records with Large Language Models</t>
  </si>
  <si>
    <t>KG-FIT: Knowledge Graph Fine-Tuning Upon Open-World Knowledge</t>
  </si>
  <si>
    <t>Network Interdiction Goes Neural</t>
  </si>
  <si>
    <t>Understanding the Effect of using Semantically Meaningful Tokens for Visual Representation Learning</t>
  </si>
  <si>
    <t>Safe and Balanced: A Framework for Constrained Multi-Objective Reinforcement Learning</t>
  </si>
  <si>
    <t>Multi-Reference Preference Optimization for Large Language Models</t>
  </si>
  <si>
    <t>Reverse Transition Kernel: A Flexible Framework to Accelerate Diffusion Inference</t>
  </si>
  <si>
    <t>A Differential Equation Approach for Wasserstein GANs and Beyond</t>
  </si>
  <si>
    <t>A Second-Order perspective on Compositionality and Incremental Learning</t>
  </si>
  <si>
    <t>BOLD: Boolean Logic Deep Learning</t>
  </si>
  <si>
    <t>RoboArm-NMP: a Learning Environment for Neural Motion Planning</t>
  </si>
  <si>
    <t>Active Learning for Finely-Categorized Image-Text Retrieval by Selecting Hard Negative Unpaired Samples</t>
  </si>
  <si>
    <t>Comparative Analysis of Open-Source Language Models in Summarizing Medical Text Data</t>
  </si>
  <si>
    <t>Generating configurations of increasing lattice size with machine learning and the inverse renormalization group</t>
  </si>
  <si>
    <t>Confidence Under the Hood: An Investigation into the Confidence-Probability Alignment in Large Language Models</t>
  </si>
  <si>
    <t>Picturing Ambiguity: A Visual Twist on the Winograd Schema Challenge</t>
  </si>
  <si>
    <t>Deep Reinforcement Learning with Enhanced PPO for Safe Mobile Robot Navigation</t>
  </si>
  <si>
    <t>Enhancing Consistency-Based Image Generation via Adversarialy-Trained Classification and Energy-Based Discrimination</t>
  </si>
  <si>
    <t>Front-propagation Algorithm: Explainable AI Technique for Extracting Linear Function Approximations from Neural Networks</t>
  </si>
  <si>
    <t>Combining Radiomics and Machine Learning Approaches for Objective ASD Diagnosis: Verifying White Matter Associations with ASD</t>
  </si>
  <si>
    <t>A statistical framework for weak-to-strong generalization</t>
  </si>
  <si>
    <t>Detecting Adversarial Data via Perturbation Forgery</t>
  </si>
  <si>
    <t>Learning Visual-Semantic Subspace Representations for Propositional Reasoning</t>
  </si>
  <si>
    <t>Safe Deep Model-Based Reinforcement Learning with Lyapunov Functions</t>
  </si>
  <si>
    <t>C3LLM: Conditional Multimodal Content Generation Using Large Language Models</t>
  </si>
  <si>
    <t>Near-Optimal Distributed Minimax Optimization under the Second-Order Similarity</t>
  </si>
  <si>
    <t>Prompt Optimization with EASE? Efficient Ordering-aware Automated Selection of Exemplars</t>
  </si>
  <si>
    <t>SNOBERT: A Benchmark for clinical notes entity linking in the SNOMED CT clinical terminology</t>
  </si>
  <si>
    <t>Multi-scale Quaternion CNN and BiGRU with Cross Self-attention Feature Fusion for Fault Diagnosis of Bearing</t>
  </si>
  <si>
    <t>Estimating the normal-inverse-Wishart distribution</t>
  </si>
  <si>
    <t>SPP: Sparsity-Preserved Parameter-Efficient Fine-Tuning for Large Language Models</t>
  </si>
  <si>
    <t>Federated Learning for Non-factorizable Models using Deep Generative Prior Approximations</t>
  </si>
  <si>
    <t>A Bi-Objective Approach to Last-Mile Delivery Routing Considering Driver Preferences</t>
  </si>
  <si>
    <t>Disentangling Heterogeneous Knowledge Concept Embedding for Cognitive Diagnosis on Untested Knowledge</t>
  </si>
  <si>
    <t>Carnatic Raga Identification System using Rigorous Time-Delay Neural Network</t>
  </si>
  <si>
    <t>Hierarchical Clustering via Local Search</t>
  </si>
  <si>
    <t>Inference of Utilities and Time Preference in Sequential Decision-Making</t>
  </si>
  <si>
    <t>Enhancing Visual-Language Modality Alignment in Large Vision Language Models via Self-Improvement</t>
  </si>
  <si>
    <t>CFGs: Causality Constrained Counterfactual Explanations using goal-directed ASP</t>
  </si>
  <si>
    <t>A Systematic Bias of Machine Learning Regression Models and Its Correction: an Application to Imaging-based Brain Age Prediction</t>
  </si>
  <si>
    <t>A Unified Theory of Stochastic Proximal Point Methods without Smoothness</t>
  </si>
  <si>
    <t>PatchProt: Hydrophobic patch prediction using protein foundation models</t>
  </si>
  <si>
    <t>MUCM-Net: A Mamba Powered UCM-Net for Skin Lesion Segmentation</t>
  </si>
  <si>
    <t>Uncertainty Quantification for Neurosymbolic Programs via Compositional Conformal Prediction</t>
  </si>
  <si>
    <t>Knowledge-Informed Auto-Penetration Testing Based on Reinforcement Learning with Reward Machine</t>
  </si>
  <si>
    <t>Derivatives of Stochastic Gradient Descent</t>
  </si>
  <si>
    <t>Score Distillation via Reparametrized DDIM</t>
  </si>
  <si>
    <t>Scaling Diffusion Mamba with Bidirectional SSMs for Efficient Image and Video Generation</t>
  </si>
  <si>
    <t>LLS: Local Learning Rule for Deep Neural Networks Inspired by Neural Activity Synchronization</t>
  </si>
  <si>
    <t>Model Cascading for Code: Reducing Inference Costs with Model Cascading for LLM Based Code Generation</t>
  </si>
  <si>
    <t>Learning the Language of Protein Structure</t>
  </si>
  <si>
    <t>A Fisher-Rao gradient flow for entropic mean-field min-max games</t>
  </si>
  <si>
    <t>Transmission Interface Power Flow Adjustment: A Deep Reinforcement Learning Approach based on Multi-task Attribution Map</t>
  </si>
  <si>
    <t>Reinforcing Language Agents via Policy Optimization with Action Decomposition</t>
  </si>
  <si>
    <t>Riemannian Bilevel Optimization</t>
  </si>
  <si>
    <t>A social path to human-like artificial intelligence</t>
  </si>
  <si>
    <t>DSAM: A Deep Learning Framework for Analyzing Temporal and Spatial Dynamics in Brain Networks</t>
  </si>
  <si>
    <t>SWE-agent: Agent-Computer Interfaces Enable Automated Software Engineering</t>
  </si>
  <si>
    <t>Semantic Objective Functions: A distribution-aware method for adding logical constraints in deep learning</t>
  </si>
  <si>
    <t>Towards Fairness in Provably Communication-Efficient Federated Recommender Systems</t>
  </si>
  <si>
    <t>Sequence Length Scaling in Vision Transformers for Scientific Images on Frontier</t>
  </si>
  <si>
    <t>Investigation of Energy-efficient AI Model Architectures and Compression Techniques for "Green" Fetal Brain Segmentation</t>
  </si>
  <si>
    <t>Feature Aggregation with Latent Generative Replay for Federated Continual Learning of Socially Appropriate Robot Behaviours</t>
  </si>
  <si>
    <t>Adaptive Splitting of Reusable Temporal Monitors for Rare Traffic Violations</t>
  </si>
  <si>
    <t>Watermarking Generative Tabular Data</t>
  </si>
  <si>
    <t>Yes</t>
  </si>
  <si>
    <t>Login required to generate images?</t>
  </si>
  <si>
    <t>No</t>
  </si>
  <si>
    <t>Adobe</t>
  </si>
  <si>
    <t>deepai.org</t>
  </si>
  <si>
    <t>pixlr.com</t>
  </si>
  <si>
    <t>On the Origin of Llamas: Model Tree Heritage Recovery</t>
  </si>
  <si>
    <t>Hierarchical World Models as Visual Whole-Body Humanoid Controllers</t>
  </si>
  <si>
    <t>Phased Consistency Model</t>
  </si>
  <si>
    <t>Explicit Formulae to Interchangeably use Hyperplanes and Hyperballs using Inversive Geometry</t>
  </si>
  <si>
    <t>MC-GTA: Metric-Constrained Model-Based Clustering using Goodness-of-fit Tests with Autocorrelations</t>
  </si>
  <si>
    <t>Scaling Laws and Compute-Optimal Training Beyond Fixed Training Durations</t>
  </si>
  <si>
    <t>OwLore: Outlier-weighed Layerwise Sampled Low-Rank Projection for Memory-Efficient LLM Fine-tuning</t>
  </si>
  <si>
    <t>A Canonization Perspective on Invariant and Equivariant Learning</t>
  </si>
  <si>
    <t>Empowering Source-Free Domain Adaptation with MLLM-driven Curriculum Learning</t>
  </si>
  <si>
    <t>Simulating infinite-dimensional nonlinear diffusion bridges</t>
  </si>
  <si>
    <t>Evaluating Bayesian deep learning for radio galaxy classification</t>
  </si>
  <si>
    <t>Dataset Growth</t>
  </si>
  <si>
    <t>Warm Start Marginal Likelihood Optimisation for Iterative Gaussian Processes</t>
  </si>
  <si>
    <t>Deriving Causal Order from Single-Variable Interventions: Guarantees &amp; Algorithm</t>
  </si>
  <si>
    <t>Deterministic and statistical calibration of constitutive models from full-field data with parametric physics-informed neural networks</t>
  </si>
  <si>
    <t>Bias in Motion: Theoretical Insights into the Dynamics of Bias in SGD Training</t>
  </si>
  <si>
    <t>CF-OPT: Counterfactual Explanations for Structured Prediction</t>
  </si>
  <si>
    <t>FedSAC: Dynamic Submodel Allocation for Collaborative Fairness in Federated Learning</t>
  </si>
  <si>
    <t>Highway Reinforcement Learning</t>
  </si>
  <si>
    <t>MODL: Multilearner Online Deep Learning</t>
  </si>
  <si>
    <t>Truthful Dataset Valuation by Pointwise Mutual Information</t>
  </si>
  <si>
    <t>Unveiling the Cycloid Trajectory of EM Iterations in Mixed Linear Regression</t>
  </si>
  <si>
    <t>From Learning to Optimize to Learning Optimization Algorithms</t>
  </si>
  <si>
    <t>FinerCut: Finer-grained Interpretable Layer Pruning for Large Language Models</t>
  </si>
  <si>
    <t>Understanding Inter-Concept Relationships in Concept-Based Models</t>
  </si>
  <si>
    <t>Multi-CATE: Multi-Accurate Conditional Average Treatment Effect Estimation Robust to Unknown Covariate Shifts</t>
  </si>
  <si>
    <t>IM-Context: In-Context Learning for Imbalanced Regression Tasks</t>
  </si>
  <si>
    <t>Adam with model exponential moving average is effective for nonconvex optimization</t>
  </si>
  <si>
    <t>Delving into Differentially Private Transformer</t>
  </si>
  <si>
    <t>In-Context Symmetries: Self-Supervised Learning through Contextual World Models</t>
  </si>
  <si>
    <t>Time Series Representation Models</t>
  </si>
  <si>
    <t>AlignIQL: Policy Alignment in Implicit Q-Learning through Constrained Optimization</t>
  </si>
  <si>
    <t>Mutation-Bias Learning in Games</t>
  </si>
  <si>
    <t>Graph Coarsening with Message-Passing Guarantees</t>
  </si>
  <si>
    <t>Exploiting LLM Quantization</t>
  </si>
  <si>
    <t>4-bit Shampoo for Memory-Efficient Network Training</t>
  </si>
  <si>
    <t>Back to the Drawing Board for Fair Representation Learning</t>
  </si>
  <si>
    <t>Individual Contributions as Intrinsic Exploration Scaffolds for Multi-agent Reinforcement Learning</t>
  </si>
  <si>
    <t>A Pontryagin Perspective on Reinforcement Learning</t>
  </si>
  <si>
    <t>HarmoDT: Harmony Multi-Task Decision Transformer for Offline Reinforcement Learning</t>
  </si>
  <si>
    <t>Guidance and Control Networks with Periodic Activation Functions</t>
  </si>
  <si>
    <t>Design Principles for Falsifiable, Replicable and Reproducible Empirical ML Research</t>
  </si>
  <si>
    <t>Implicitly Guided Design with PropEn: Match your Data to Follow the Gradient</t>
  </si>
  <si>
    <t>An Empirical Analysis of Forgetting in Pre-trained Models with Incremental Low-Rank Updates</t>
  </si>
  <si>
    <t>Learning-Based Link Anomaly Detection in Continuous-Time Dynamic Graphs</t>
  </si>
  <si>
    <t>2BP: 2-Stage Backpropagation</t>
  </si>
  <si>
    <t>Bridging Mini-Batch and Asymptotic Analysis in Contrastive Learning: From InfoNCE to Kernel-Based Losses</t>
  </si>
  <si>
    <t>Fast-FedUL: A Training-Free Federated Unlearning with Provable Skew Resilience</t>
  </si>
  <si>
    <t>Large Language Model-Driven Curriculum Design for Mobile Networks</t>
  </si>
  <si>
    <t>ForecastGrapher: Redefining Multivariate Time Series Forecasting with Graph Neural Networks</t>
  </si>
  <si>
    <t>Cross-Context Backdoor Attacks against Graph Prompt Learning</t>
  </si>
  <si>
    <t>Reinforced Model Predictive Control via Trust-Region Quasi-Newton Policy Optimization</t>
  </si>
  <si>
    <t>Matroid Semi-Bandits in Sublinear Time</t>
  </si>
  <si>
    <t>Efficient Time Series Processing for Transformers and State-Space Models through Token Merging</t>
  </si>
  <si>
    <t>RC-Mixup: A Data Augmentation Strategy against Noisy Data for Regression Tasks</t>
  </si>
  <si>
    <t>Trustworthy DNN Partition for Blockchain-enabled Digital Twin in Wireless IIoT Networks</t>
  </si>
  <si>
    <t>Cost-Sensitive Multi-Fidelity Bayesian Optimization with Transfer of Learning Curve Extrapolation</t>
  </si>
  <si>
    <t>Towards Communication-efficient Federated Learning via Sparse and Aligned Adaptive Optimization</t>
  </si>
  <si>
    <t>Crystal-LSBO: Automated Design of De Novo Crystals with Latent Space Bayesian Optimization</t>
  </si>
  <si>
    <t>When is exponential asymptotic optimality achievable in average-reward restless bandits?</t>
  </si>
  <si>
    <t>Improving Discrete Diffusion Models via Structured Preferential Generation</t>
  </si>
  <si>
    <t>C2M3: Cycle-Consistent Multi-Model Merging</t>
  </si>
  <si>
    <t>FlashST: A Simple and Universal Prompt-Tuning Framework for Traffic Prediction</t>
  </si>
  <si>
    <t>Diffusion Rejection Sampling</t>
  </si>
  <si>
    <t>Resisting Stochastic Risks in Diffusion Planners with the Trajectory Aggregation Tree</t>
  </si>
  <si>
    <t>An Information Theoretic Metric for Evaluating Unlearning Models</t>
  </si>
  <si>
    <t>Decentralized Directed Collaboration for Personalized Federated Learning</t>
  </si>
  <si>
    <t>NUTS, NARS, and Speech</t>
  </si>
  <si>
    <t>Trust and Terror: Hazards in Text Reveal Negatively Biased Credulity and Partisan Negativity Bias</t>
  </si>
  <si>
    <t>I-LLM: Efficient Integer-Only Inference for Fully-Quantized Low-Bit Large Language Models</t>
  </si>
  <si>
    <t>Towards robust prediction of material properties for nuclear reactor design under scarce data -- a study in creep rupture property</t>
  </si>
  <si>
    <t>Multi-level Interaction Modeling for Protein Mutational Effect Prediction</t>
  </si>
  <si>
    <t>LDMol: Text-Conditioned Molecule Diffusion Model Leveraging Chemically Informative Latent Space</t>
  </si>
  <si>
    <t>Mollification Effects of Policy Gradient Methods</t>
  </si>
  <si>
    <t>Exploring Activation Patterns of Parameters in Language Models</t>
  </si>
  <si>
    <t>Offline Oracle-Efficient Learning for Contextual MDPs via Layerwise Exploration-Exploitation Tradeoff</t>
  </si>
  <si>
    <t>Adaptive Horizon Actor-Critic for Policy Learning in Contact-Rich Differentiable Simulation</t>
  </si>
  <si>
    <t>Post-Fair Federated Learning: Achieving Group and Community Fairness in Federated Learning via Post-processing</t>
  </si>
  <si>
    <t>Online Analytic Exemplar-Free Continual Learning with Large Models for Imbalanced Autonomous Driving Task</t>
  </si>
  <si>
    <t>The Binary Quantized Neural Network for Dense Prediction via Specially Designed Upsampling and Attention</t>
  </si>
  <si>
    <t>Double Variance Reduction: A Smoothing Trick for Composite Optimization Problems without First-Order Gradient</t>
  </si>
  <si>
    <t>SleepFM: Multi-modal Representation Learning for Sleep Across Brain Activity, ECG and Respiratory Signals</t>
  </si>
  <si>
    <t>Linguistic Collapse: Neural Collapse in (Large) Language Models</t>
  </si>
  <si>
    <t>Revisiting the Message Passing in Heterophilous Graph Neural Networks</t>
  </si>
  <si>
    <t>Mechanistic Interpretability of Binary and Ternary Transformers</t>
  </si>
  <si>
    <t>OPERA: Automatic Offline Policy Evaluation with Re-weighted Aggregates of Multiple Estimators</t>
  </si>
  <si>
    <t>Towards Efficient Disaster Response via Cost-effective Unbiased Class Rate Estimation through Neyman Allocation Stratified Sampling Active Learning</t>
  </si>
  <si>
    <t>Rethinking Pruning for Backdoor Mitigation: An Optimization Perspective</t>
  </si>
  <si>
    <t>Magnitude-based Neuron Pruning for Backdoor Defens</t>
  </si>
  <si>
    <t>P4: Towards private, personalized, and Peer-to-Peer learning</t>
  </si>
  <si>
    <t>Physics-guided Full Waveform Inversion using Encoder-Solver Convolutional Neural Networks</t>
  </si>
  <si>
    <t>Exploring Loss Design Techniques For Decision Tree Robustness To Label Noise</t>
  </si>
  <si>
    <t>What's the Opposite of a Face? Finding Shared Decodable Concepts and their Negations in the Brain</t>
  </si>
  <si>
    <t>Alignment is Key for Applying Diffusion Models to Retrosynthesis</t>
  </si>
  <si>
    <t>InversionView: A General-Purpose Method for Reading Information from Neural Activations</t>
  </si>
  <si>
    <t>Unifying Perspectives: Plausible Counterfactual Explanations on Global, Group-wise, and Local Levels</t>
  </si>
  <si>
    <t>Salutary Labeling with Zero Human Annotation</t>
  </si>
  <si>
    <t>Tensor Low-rank Approximation of Finite-horizon Value Functions</t>
  </si>
  <si>
    <t>The surprising efficiency of temporal difference learning for rare event prediction</t>
  </si>
  <si>
    <t>Probabilistically Plausible Counterfactual Explanations with Normalizing Flows</t>
  </si>
  <si>
    <t>Matrix Low-Rank Approximation For Policy Gradient Methods</t>
  </si>
  <si>
    <t>Matrix Low-Rank Trust Region Policy Optimization</t>
  </si>
  <si>
    <t>Symmetric Reinforcement Learning Loss for Robust Learning on Diverse Tasks and Model Scales</t>
  </si>
  <si>
    <t>LoRA-XS: Low-Rank Adaptation with Extremely Small Number of Parameters</t>
  </si>
  <si>
    <t>Understanding Forgetting in Continual Learning with Linear Regression</t>
  </si>
  <si>
    <t>Discriminant audio properties in deep learning based respiratory insufficiency detection in Brazilian Portuguese</t>
  </si>
  <si>
    <t>Interpretable Prognostics with Concept Bottleneck Models</t>
  </si>
  <si>
    <t>Mixed Dynamics In Linear Networks: Unifying the Lazy and Active Regimes</t>
  </si>
  <si>
    <t>Building a temperature forecasting model for the city with the regression neural network (RNN)</t>
  </si>
  <si>
    <t>Unisolver: PDE-Conditional Transformers Are Universal PDE Solvers</t>
  </si>
  <si>
    <t>Clip Body and Tail Separately: High Probability Guarantees for DPSGD with Heavy Tails</t>
  </si>
  <si>
    <t>SMR: State Memory Replay for Long Sequence Modeling</t>
  </si>
  <si>
    <t>Calibrated Dataset Condensation for Faster Hyperparameter Search</t>
  </si>
  <si>
    <t>Towards Human-AI Complementarity with Predictions Sets</t>
  </si>
  <si>
    <t>Probabilistic Verification of Neural Networks using Branch and Bound</t>
  </si>
  <si>
    <t>Enhancing Sustainable Urban Mobility Prediction with Telecom Data: A Spatio-Temporal Framework Approach</t>
  </si>
  <si>
    <t>Unveiling the Secrets: How Masking Strategies Shape Time Series Imputation</t>
  </si>
  <si>
    <t>Reference Neural Operators: Learning the Smooth Dependence of Solutions of PDEs on Geometric Deformations</t>
  </si>
  <si>
    <t>On Fairness of Low-Rank Adaptation of Large Models</t>
  </si>
  <si>
    <t>WASH: Train your Ensemble with Communication-Efficient Weight Shuffling, then Average</t>
  </si>
  <si>
    <t>Efficient Model Compression for Hierarchical Federated Learning</t>
  </si>
  <si>
    <t>SmoothGNN: Smoothing-based GNN for Unsupervised Node Anomaly Detection</t>
  </si>
  <si>
    <t>Subspace Node Pruning</t>
  </si>
  <si>
    <t>Predicting Rental Price of Lane Houses in Shanghai with Machine Learning Methods and Large Language Models</t>
  </si>
  <si>
    <t>Exploring Nutritional Impact on Alzheimer's Mortality: An Explainable AI Approach</t>
  </si>
  <si>
    <t>Geometry of Critical Sets and Existence of Saddle Branches for Two-layer Neural Networks</t>
  </si>
  <si>
    <t>Secure Hierarchical Federated Learning in Vehicular Networks Using Dynamic Client Selection and Anomaly Detection</t>
  </si>
  <si>
    <t>Pattern-Based Time-Series Risk Scoring for Anomaly Detection and Alert Filtering -- A Predictive Maintenance Case Study</t>
  </si>
  <si>
    <t>On the Inflation of KNN-Shapley Value</t>
  </si>
  <si>
    <t>Revisit, Extend, and Enhance Hessian-Free Influence Functions</t>
  </si>
  <si>
    <t>Overcoming Negative Transfer by Online Selection: Distant Domain Adaptation for Fault Diagnosis</t>
  </si>
  <si>
    <t>Transitional Uncertainty with Layered Intermediate Predictions</t>
  </si>
  <si>
    <t>Vertical Federated Learning for Effectiveness, Security, Applicability: A Survey</t>
  </si>
  <si>
    <t>Comet: A Communication-efficient and Performant Approximation for Private Transformer Inference</t>
  </si>
  <si>
    <t>Bridging The Gap between Low-rank and Orthogonal Adaptation via Householder Reflection Adaptation</t>
  </si>
  <si>
    <t>Improving Simulation Regression Efficiency using a Machine Learning-based Method in Design Verification</t>
  </si>
  <si>
    <t>A rationale from frequency perspective for grokking in training neural network</t>
  </si>
  <si>
    <t>ROSE: Register Assisted General Time Series Forecasting with Decomposed Frequency Learning</t>
  </si>
  <si>
    <t>OLLIE: Imitation Learning from Offline Pretraining to Online Finetuning</t>
  </si>
  <si>
    <t>How to Leverage Diverse Demonstrations in Offline Imitation Learning</t>
  </si>
  <si>
    <t>Federated Offline Policy Optimization with Dual Regularization</t>
  </si>
  <si>
    <t>Repeat-Aware Neighbor Sampling for Dynamic Graph Learning</t>
  </si>
  <si>
    <t>FreezeAsGuard: Mitigating Illegal Adaptation of Diffusion Models via Selective Tensor Freezing</t>
  </si>
  <si>
    <t>Momentum-Based Federated Reinforcement Learning with Interaction and Communication Efficiency</t>
  </si>
  <si>
    <t>Distributed Continual Learning</t>
  </si>
  <si>
    <t>Sports center customer segmentation: a case study</t>
  </si>
  <si>
    <t>Deep Activity Model: A Generative Approach for Human Mobility Pattern Synthesis</t>
  </si>
  <si>
    <t>A Dataset for Research on Water Sustainability</t>
  </si>
  <si>
    <t>Athena: Efficient Block-Wise Post-Training Quantization for Large Language Models Using Second-Order Matrix Derivative Information</t>
  </si>
  <si>
    <t>Application of Machine Learning in Agriculture: Recent Trends and Future Research Avenues</t>
  </si>
  <si>
    <t>Irrelevant</t>
  </si>
  <si>
    <t>Investigation of Customized Medical Decision Algorithms Utilizing Graph Neural Networks</t>
  </si>
  <si>
    <t>EMR-Merging: Tuning-Free High-Performance Model Merging</t>
  </si>
  <si>
    <t>Ferrari: Federated Feature Unlearning via Optimizing Feature Sensitivity</t>
  </si>
  <si>
    <t>Data Valuation by Leveraging Global and Local Statistical Information</t>
  </si>
  <si>
    <t>CataLM: Empowering Catalyst Design Through Large Language Models</t>
  </si>
  <si>
    <t>On margin-based generalization prediction in deep neural networks</t>
  </si>
  <si>
    <t>Green AI in Action: Strategic Model Selection for Ensembles in Production</t>
  </si>
  <si>
    <t>Blood Glucose Control Via Pre-trained Counterfactual Invertible Neural Networks</t>
  </si>
  <si>
    <t>Integrating Medical Imaging and Clinical Reports Using Multimodal Deep Learning for Advanced Disease Analysis</t>
  </si>
  <si>
    <t>Classifying Overlapping Gaussian Mixtures in High Dimensions: From Optimal Classifiers to Neural Nets</t>
  </si>
  <si>
    <t>Why are Visually-Grounded Language Models Bad at Image Classification?</t>
  </si>
  <si>
    <t>Don't Forget to Connect! Improving RAG with Graph-based Reranking</t>
  </si>
  <si>
    <t>Superposed Decoding: Multiple Generations from a Single Autoregressive Inference Pass</t>
  </si>
  <si>
    <t>Instruct-MusicGen: Unlocking Text-to-Music Editing for Music Language Models via Instruction Tuning</t>
  </si>
  <si>
    <t>Brain Tumor Segmentation (BraTS) Challenge 2024: Meningioma Radiotherapy Planning Automated Segmentation</t>
  </si>
  <si>
    <t>A Note on the Prediction-Powered Bootstrap</t>
  </si>
  <si>
    <t>A Hessian-Aware Stochastic Differential Equation for Modelling SGD</t>
  </si>
  <si>
    <t>PromptWizard: Task-Aware Agent-driven Prompt Optimization Framework</t>
  </si>
  <si>
    <t>Bridging the Gap: Dynamic Learning Strategies for Improving Multilingual Performance in LLMs</t>
  </si>
  <si>
    <t>MMCTAgent: Multi-modal Critical Thinking Agent Framework for Complex Visual Reasoning</t>
  </si>
  <si>
    <t>Interpretable classification of wiki-review streams</t>
  </si>
  <si>
    <t>SketchQL Demonstration: Zero-shot Video Moment Querying with Sketches</t>
  </si>
  <si>
    <t>Histopathology Based AI Model Predicts Anti-Angiogenic Therapy Response in Renal Cancer Clinical Trial</t>
  </si>
  <si>
    <t>Learning Staged Trees from Incomplete Data</t>
  </si>
  <si>
    <t>Deep Learning Innovations for Underwater Waste Detection: An In-Depth Analysis</t>
  </si>
  <si>
    <t>Context-Specific Refinements of Bayesian Network Classifiers</t>
  </si>
  <si>
    <t>Adaptive debiased SGD in high-dimensional GLMs with steaming data</t>
  </si>
  <si>
    <t>NotPlaNET: Removing False Positives from Planet Hunters TESS with Machine Learning</t>
  </si>
  <si>
    <t>Signal-Plus-Noise Decomposition of Nonlinear Spiked Random Matrix Models</t>
  </si>
  <si>
    <t>Synchronization on circles and spheres with nonlinear interactions</t>
  </si>
  <si>
    <t>CT-based brain ventricle segmentation via diffusion Schr\"odinger Bridge without target domain ground truths</t>
  </si>
  <si>
    <t>Position Paper: Think Globally, React Locally -- Bringing Real-time Reference-based Website Phishing Detection on macOS</t>
  </si>
  <si>
    <t>Recurrent Natural Policy Gradient for POMDPs</t>
  </si>
  <si>
    <t>Non-negative Tensor Mixture Learning for Discrete Density Estimation</t>
  </si>
  <si>
    <t>Safe Multi-Agent Reinforcement Learning with Bilevel Optimization in Autonomous Driving</t>
  </si>
  <si>
    <t>A Human-Like Reasoning Framework for Multi-Phases Planning Task with Large Language Models</t>
  </si>
  <si>
    <t>Render and Diffuse: Aligning Image and Action Spaces for Diffusion-based Behaviour Cloning</t>
  </si>
  <si>
    <t>Safe Reinforcement Learning in Black-Box Environments via Adaptive Shielding</t>
  </si>
  <si>
    <t>SEMF: Supervised Expectation-Maximization Framework for Predicting Intervals</t>
  </si>
  <si>
    <t>AnyFit: Controllable Virtual Try-on for Any Combination of Attire Across Any Scenario</t>
  </si>
  <si>
    <t>Practical aspects for the creation of an audio dataset from field recordings with optimized labeling budget with AI-assisted strategy</t>
  </si>
  <si>
    <t>Unified Low-rank Compression Framework for Click-through Rate Prediction</t>
  </si>
  <si>
    <t>Low-Resource Crop Classification from Multi-Spectral Time Series Using Lossless Compressors</t>
  </si>
  <si>
    <t>Is machine learning good or bad for the natural sciences?</t>
  </si>
  <si>
    <t>Pipette: Automatic Fine-grained Large Language Model Training Configurator for Real-World Clusters</t>
  </si>
  <si>
    <t>An adaptive transfer learning perspective on classification in non-stationary environments</t>
  </si>
  <si>
    <t>A Survey of Latent Factor Models in Recommender Systems</t>
  </si>
  <si>
    <t>Visualizing the loss landscape of Self-supervised Vision Transformer</t>
  </si>
  <si>
    <t>Lower Bounds and Optimal Algorithms for Non-Smooth Convex Decentralized Optimization over Time-Varying Networks</t>
  </si>
  <si>
    <t>Are Image Distributions Indistinguishable to Humans Indistinguishable to Classifiers?</t>
  </si>
  <si>
    <t>Exploring Context Window of Large Language Models via Decomposed Positional Vectors</t>
  </si>
  <si>
    <t>DMT-JEPA: Discriminative Masked Targets for Joint-Embedding Predictive Architecture</t>
  </si>
  <si>
    <t>Knowledge Circuits in Pretrained Transformers</t>
  </si>
  <si>
    <t>Efficient Prior Calibration From Indirect Data</t>
  </si>
  <si>
    <t>Online Merging Optimizers for Boosting Rewards and Mitigating Tax in Alignment</t>
  </si>
  <si>
    <t>The Evolution of Multimodal Model Architectures</t>
  </si>
  <si>
    <t>Cycle-YOLO: A Efficient and Robust Framework for Pavement Damage Detection</t>
  </si>
  <si>
    <t>Boosting Protein Language Models with Negative Sample Mining</t>
  </si>
  <si>
    <t>SLMRec: Empowering Small Language Models for Sequential Recommendation</t>
  </si>
  <si>
    <t>BO4IO: A Bayesian optimization approach to inverse optimization with uncertainty quantification</t>
  </si>
  <si>
    <t>Discriminator-Guided Cooperative Diffusion for Joint Audio and Video Generation</t>
  </si>
  <si>
    <t>An Innovative Networks in Federated Learning</t>
  </si>
  <si>
    <t>Spectral Truncation Kernels: Noncommutativity in C∗-algebraic Kernel Machines</t>
  </si>
  <si>
    <t>Pursuing Feature Separation based on Neural Collapse for Out-of-Distribution Detection</t>
  </si>
  <si>
    <t>Motion-Informed Deep Learning for Brain MR Image Reconstruction Framework</t>
  </si>
  <si>
    <t>ORLM: Training Large Language Models for Optimization Modeling</t>
  </si>
  <si>
    <t>MMPareto: Boosting Multimodal Learning with Innocent Unimodal Assistance</t>
  </si>
  <si>
    <t>MindFormer: A Transformer Architecture for Multi-Subject Brain Decoding via fMRI</t>
  </si>
  <si>
    <t>AdapNet: Adaptive Noise-Based Network for Low-Quality Image Retrieval</t>
  </si>
  <si>
    <t>AI Alignment with Changing and Influenceable Reward Functions</t>
  </si>
  <si>
    <t>CLAIM Your Data: Enhancing Imputation Accuracy with Contextual Large Language Models</t>
  </si>
  <si>
    <t>Learning Social Welfare Functions</t>
  </si>
  <si>
    <t>Tamed Langevin sampling under weaker conditions</t>
  </si>
  <si>
    <t>Ontology-Enhanced Decision-Making for Autonomous Agents in Dynamic and Partially Observable Environments</t>
  </si>
  <si>
    <t>Fast Samplers for Inverse Problems in Iterative Refinement Models</t>
  </si>
  <si>
    <t>Hunting for Polluted White Dwarfs and Other Treasures with Gaia XP Spectra and Unsupervised Machine Learning</t>
  </si>
  <si>
    <t>Structured Partial Stochasticity in Bayesian Neural Networks</t>
  </si>
  <si>
    <t>Listenable Maps for Zero-Shot Audio Classifiers</t>
  </si>
  <si>
    <t>A Framework for Multi-modal Learning: Jointly Modeling Inter- &amp; Intra-Modality Dependencies</t>
  </si>
  <si>
    <t>A note on the error analysis of data-driven closure models for large eddy simulations of turbulence</t>
  </si>
  <si>
    <t>Explainable machine learning multi-label classification of Spanish legal judgements</t>
  </si>
  <si>
    <t>Advancing Cultural Inclusivity: Optimizing Embedding Spaces for Balanced Music Recommendations</t>
  </si>
  <si>
    <t>RAGSys: Item-Cold-Start Recommender as RAG System</t>
  </si>
  <si>
    <t>Hamiltonian Mechanics of Feature Learning: Bottleneck Structure in Leaky ResNets</t>
  </si>
  <si>
    <t>A deep-learning algorithm to disentangle self-interacting dark matter and AGN feedback models</t>
  </si>
  <si>
    <t>Approximately-symmetric neural networks for quantum spin liquids</t>
  </si>
  <si>
    <t>Bayesian RG Flow in Neural Network Field Theories</t>
  </si>
  <si>
    <t>PAE: LLM-based Product Attribute Extraction for E-Commerce Fashion Trends</t>
  </si>
  <si>
    <t>Locally Testing Model Detections for Semantic Global Concepts</t>
  </si>
  <si>
    <t>Time Elastic Neural Networks</t>
  </si>
  <si>
    <t>eQMARL: Entangled Quantum Multi-Agent Reinforcement Learning for Distributed Cooperation over Quantum Channels</t>
  </si>
  <si>
    <t>Concept-based Explainable Malignancy Scoring on Pulmonary Nodules in CT Images</t>
  </si>
  <si>
    <t>How Culturally Aware are Vision-Language Models?</t>
  </si>
  <si>
    <t>No Algorithmic Collusion in Two-Player Blindfolded Game with Thompson Sampling</t>
  </si>
  <si>
    <t>Data-Free Federated Class Incremental Learning with Diffusion-Based Generative Memory</t>
  </si>
  <si>
    <t>Optimized Linear Measurements for Inverse Problems using Diffusion-Based Image Generation</t>
  </si>
  <si>
    <t>WeatherFormer: A Pretrained Encoder Model for Learning Robust Weather Representations from Small Datasets</t>
  </si>
  <si>
    <t>The Power of Next-Frame Prediction for Learning Physical Laws</t>
  </si>
  <si>
    <t>Image Based Character Recognition, Documentation System To Decode Inscription From Temple</t>
  </si>
  <si>
    <t>How to train your ViT for OOD Detection</t>
  </si>
  <si>
    <t>Towards Gradient-based Time-Series Explanations through a SpatioTemporal Attention Network</t>
  </si>
  <si>
    <t>Leveraging Machine Learning for Accurate IoT Device Identification in Dynamic Wireless Contexts</t>
  </si>
  <si>
    <t>An Overview of Machine Learning-Enabled Optimization for Reconfigurable Intelligent Surfaces-Aided 6G Networks: From Reinforcement Learning to Large Language Models</t>
  </si>
  <si>
    <t>An LLM-Tool Compiler for Fused Parallel Function Calling</t>
  </si>
  <si>
    <t>Intelligent Hybrid Resource Allocation in MEC-assisted RAN Slicing Network</t>
  </si>
  <si>
    <t>DefSent+: Improving sentence embeddings of language models by projecting definition sentences into a quasi-isotropic or isotropic vector space of unlimited dictionary entries</t>
  </si>
  <si>
    <t>Interesting evolution argument</t>
  </si>
  <si>
    <t>Phased Consistency Model - https://arxiv.org/abs/2405.18407</t>
  </si>
  <si>
    <t>Highly interesting improved diffusion model</t>
  </si>
  <si>
    <t>PCM</t>
  </si>
  <si>
    <t>Phased Consistency Model - Wang et al., 5/28/2024</t>
  </si>
  <si>
    <t>Low-level ML technique</t>
  </si>
  <si>
    <t>ML clustering improvements</t>
  </si>
  <si>
    <t>cosine schedule</t>
  </si>
  <si>
    <t>learning rate decay for training</t>
  </si>
  <si>
    <t>Cosine scheduling adjustments</t>
  </si>
  <si>
    <t>LoRA</t>
  </si>
  <si>
    <t>low-rank adaptation, parameter-efficient approach to fine-tuning LLMs</t>
  </si>
  <si>
    <t>New fine-tuning alternative</t>
  </si>
  <si>
    <t>Data subgroup primitives</t>
  </si>
  <si>
    <t>source-free domain adaptation</t>
  </si>
  <si>
    <t>transfer a pre-trained model to a target domain with unlabeled target data</t>
  </si>
  <si>
    <t>Adapting MLLMs to other domains</t>
  </si>
  <si>
    <t>Low-level work not relevant to applications</t>
  </si>
  <si>
    <t>Different field</t>
  </si>
  <si>
    <t>Dataset methods from Alibaba</t>
  </si>
  <si>
    <t>Self-Exploring Language Models: Active Preference Elicitation for Online Alignment</t>
  </si>
  <si>
    <t>Value-Incentivized Preference Optimization: A Unified Approach to Online and Offline RLHF</t>
  </si>
  <si>
    <t>Adaptive Generalized Neyman Allocation: Local Asymptotic Minimax Optimal Best Arm Identification</t>
  </si>
  <si>
    <t>Robust Preference Optimization through Reward Model Distillation</t>
  </si>
  <si>
    <t>Measuring and Mitigating Bias for Tabular Datasets with Multiple Protected Attributes</t>
  </si>
  <si>
    <t>Understanding and Minimising Outlier Features in Neural Network Training</t>
  </si>
  <si>
    <t>Deep Latent Variable Modeling of Physiological Signals</t>
  </si>
  <si>
    <t>Mitigating Disparate Impact of Differential Privacy in Federated Learning through Robust Clustering</t>
  </si>
  <si>
    <t>Rich-Observation Reinforcement Learning with Continuous Latent Dynamics</t>
  </si>
  <si>
    <t>Weak Generative Sampler to Efficiently Sample Invariant Distribution of Stochastic Differential Equation</t>
  </si>
  <si>
    <t>Comparative Study of Neighbor-based Methods for Local Outlier Detection</t>
  </si>
  <si>
    <t>Forward-Backward Knowledge Distillation for Continual Clustering</t>
  </si>
  <si>
    <t>Synthetic Potential Outcomes for Mixtures of Treatment Effects</t>
  </si>
  <si>
    <t>Partial Information Decomposition for Data Interpretability and Feature Selection</t>
  </si>
  <si>
    <t>Gone but Not Forgotten: Improved Benchmarks for Machine Unlearning</t>
  </si>
  <si>
    <t>Gradient Guided Hypotheses: A unified solution to enable machine learning models on scarce and noisy data regimes</t>
  </si>
  <si>
    <t>Can Graph Learning Improve Task Planning?</t>
  </si>
  <si>
    <t>Spatio-Spectral Graph Neural Networks</t>
  </si>
  <si>
    <t>A Study of Plasticity Loss in On-Policy Deep Reinforcement Learning</t>
  </si>
  <si>
    <t>Beyond Discrepancy: A Closer Look at the Theory of Distribution Shift</t>
  </si>
  <si>
    <t>Does learning the right latent variables necessarily improve in-context learning?</t>
  </si>
  <si>
    <t>Transformers as Neural Operators for Solutions of Differential Equations with Finite Regularity</t>
  </si>
  <si>
    <t>Online Linear Regression in Dynamic Environments via Discounting</t>
  </si>
  <si>
    <t>Diffusion-based Dynamics Models for Long-Horizon Rollout in Offline Reinforcement Learning</t>
  </si>
  <si>
    <t>Vulnerable Road User Detection and Safety Enhancement: A Comprehensive Survey</t>
  </si>
  <si>
    <t>OMPO: A Unified Framework for RL under Policy and Dynamics Shifts</t>
  </si>
  <si>
    <t>Efficient Black-box Adversarial Attacks via Bayesian Optimization Guided by a Function Prior</t>
  </si>
  <si>
    <t>Poseidon: Efficient Foundation Models for PDEs</t>
  </si>
  <si>
    <t>Offline Regularised Reinforcement Learning for Large Language Models Alignment</t>
  </si>
  <si>
    <t>Relevance-aware Algorithmic Recourse</t>
  </si>
  <si>
    <t>SIG: Efficient Self-Interpretable Graph Neural Network for Continuous-time Dynamic Graphs</t>
  </si>
  <si>
    <t>Robust Entropy Search for Safe Efficient Bayesian Optimization</t>
  </si>
  <si>
    <t>Statistical Context Detection for Deep Lifelong Reinforcement Learning</t>
  </si>
  <si>
    <t>CiliaGraph: Enabling Expression-enhanced Hyper-Dimensional Computation in Ultra-Lightweight and One-Shot Graph Classification on Edge</t>
  </si>
  <si>
    <t>DiveR-CT: Diversity-enhanced Red Teaming with Relaxing Constraints</t>
  </si>
  <si>
    <t>Inverse Concave-Utility Reinforcement Learning is Inverse Game Theory</t>
  </si>
  <si>
    <t>Towards Standardizing AI Bias Exploration</t>
  </si>
  <si>
    <t>Efficient Exploration in Average-Reward Constrained Reinforcement Learning: Achieving Near-Optimal Regret With Posterior Sampling</t>
  </si>
  <si>
    <t>Trust the Model Where It Trusts Itself -- Model-Based Actor-Critic with Uncertainty-Aware Rollout Adaption</t>
  </si>
  <si>
    <t>On Dissipativity of Cross-Entropy Loss in Training ResNets</t>
  </si>
  <si>
    <t>FedMAP: Unlocking Potential in Personalized Federated Learning through Bi-Level MAP Optimization</t>
  </si>
  <si>
    <t>Robust Optimization in Protein Fitness Landscapes Using Reinforcement Learning in Latent Space</t>
  </si>
  <si>
    <t>Optimizing Vehicular Networks with Variational Quantum Circuits-based Reinforcement Learning</t>
  </si>
  <si>
    <t>Federated Learning under Partially Class-Disjoint Data via Manifold Reshaping</t>
  </si>
  <si>
    <t>GLANCE: Global Actions in a Nutshell for Counterfactual Explainability</t>
  </si>
  <si>
    <t>Causal Action Influence Aware Counterfactual Data Augmentation</t>
  </si>
  <si>
    <t>Leveraging Time-Series Foundation Models in Smart Agriculture for Soil Moisture Forecasting</t>
  </si>
  <si>
    <t>A Causal Framework for Evaluating Deferring Systems</t>
  </si>
  <si>
    <t>Unit-Aware Genetic Programming for the Development of Empirical Equations</t>
  </si>
  <si>
    <t>Few-Shot Testing: Estimating Uncertainty of Memristive Deep Neural Networks Using One Bayesian Test Vector</t>
  </si>
  <si>
    <t>Locally Estimated Global Perturbations are Better than Local Perturbations for Federated Sharpness-aware Minimization</t>
  </si>
  <si>
    <t>Compressing Large Language Models using Low Rank and Low Precision Decomposition</t>
  </si>
  <si>
    <t>Tuning-Free Alignment of Diffusion Models with Direct Noise Optimization</t>
  </si>
  <si>
    <t>Federated Continual Learning Goes Online: Leveraging Uncertainty for Modality-Agnostic Class-Incremental Learning</t>
  </si>
  <si>
    <t>LSPI: Heterogeneous Graph Neural Network Classification Aggregation Algorithm Based on Size Neighbor Path Identification</t>
  </si>
  <si>
    <t>MAGIC: Modular Auto-encoder for Generalisable Model Inversion with Bias Corrections</t>
  </si>
  <si>
    <t>Federated Learning with Bilateral Curation for Partially Class-Disjoint Data</t>
  </si>
  <si>
    <t>Hierarchical Classification Auxiliary Network for Time Series Forecasting</t>
  </si>
  <si>
    <t>MANO: Exploiting Matrix Norm for Unsupervised Accuracy Estimation Under Distribution Shifts</t>
  </si>
  <si>
    <t>Spatiotemporal Forecasting Meets Efficiency: Causal Graph Process Neural Networks</t>
  </si>
  <si>
    <t>Continuous Product Graph Neural Networks</t>
  </si>
  <si>
    <t>Towards Data-Driven Electricity Management: Multi-Region Harmonized Data and Knowledge Graph</t>
  </si>
  <si>
    <t>Anomaly Detection by Context Contrasting</t>
  </si>
  <si>
    <t>MoNDE: Mixture of Near-Data Experts for Large-Scale Sparse Models</t>
  </si>
  <si>
    <t>Semiring Activation in Neural Networks</t>
  </si>
  <si>
    <t>On the Role of Attention Masks and LayerNorm in Transformers</t>
  </si>
  <si>
    <t>MOKD: Cross-domain Finetuning for Few-shot Classification via Maximizing Optimized Kernel Dependence</t>
  </si>
  <si>
    <t>Kernel Metric Learning for In-Sample Off-Policy Evaluation of Deterministic RL Policies</t>
  </si>
  <si>
    <t>Adaptive Discretization-based Non-Episodic Reinforcement Learning in Metric Spaces</t>
  </si>
  <si>
    <t>Confronting the Reproducibility Crisis: A Case Study in Validating Certified Robustness</t>
  </si>
  <si>
    <t>Provable Contrastive Continual Learning</t>
  </si>
  <si>
    <t>Learning to Continually Learn with the Bayesian Principle</t>
  </si>
  <si>
    <t>FDQN: A Flexible Deep Q-Network Framework for Game Automation</t>
  </si>
  <si>
    <t>Large Brain Model for Learning Generic Representations with Tremendous EEG Data in BCI</t>
  </si>
  <si>
    <t>A SARS-CoV-2 Interaction Dataset and VHH Sequence Corpus for Antibody Language Models</t>
  </si>
  <si>
    <t>Preferred-Action-Optimized Diffusion Policies for Offline Reinforcement Learning</t>
  </si>
  <si>
    <t>Can We Enhance the Quality of Mobile Crowdsensing Data Without Ground Truth?</t>
  </si>
  <si>
    <t>Conformal Depression Prediction</t>
  </si>
  <si>
    <t>To FP8 and Back Again: Quantifying the Effects of Reducing Precision on LLM Training Stability</t>
  </si>
  <si>
    <t>Efficient Preference-based Reinforcement Learning via Aligned Experience Estimation</t>
  </si>
  <si>
    <t>DeepHGNN: Study of Graph Neural Network based Forecasting Methods for Hierarchically Related Multivariate Time Series</t>
  </si>
  <si>
    <t>Spectral-Risk Safe Reinforcement Learning with Convergence Guarantees</t>
  </si>
  <si>
    <t>Adaptive and Parallel Split Federated Learning in Vehicular Edge Computing</t>
  </si>
  <si>
    <t>Deep Bayesian Filter for Bayes-faithful Data Assimilation</t>
  </si>
  <si>
    <t>Watermarking Counterfactual Explanations</t>
  </si>
  <si>
    <t>Adapting Differentially Private Synthetic Data to Relational Databases</t>
  </si>
  <si>
    <t>Zipper: A Multi-Tower Decoder Architecture for Fusing Modalities</t>
  </si>
  <si>
    <t>Fast Explainability via Feasible Concept Sets Generator</t>
  </si>
  <si>
    <t>CAVACHON: a hierarchical variational autoencoder to integrate multi-modal single-cell data</t>
  </si>
  <si>
    <t>Causal Contextual Bandits with Adaptive Context</t>
  </si>
  <si>
    <t>PureGen: Universal Data Purification for Train-Time Poison Defense via Generative Model Dynamics</t>
  </si>
  <si>
    <t>Hardware-Aware Parallel Prompt Decoding for Memory-Efficient Acceleration of LLM Inference</t>
  </si>
  <si>
    <t>A Theoretical Understanding of Self-Correction through In-context Alignment</t>
  </si>
  <si>
    <t>When and How Does In-Distribution Label Help Out-of-Distribution Detection?</t>
  </si>
  <si>
    <t>Lazy Safety Alignment for Large Language Models against Harmful Fine-tuning</t>
  </si>
  <si>
    <t>Multi-Armed Bandits with Network Interference</t>
  </si>
  <si>
    <t>DTR-Bench: An in silico Environment and Benchmark Platform for Reinforcement Learning Based Dynamic Treatment Regime</t>
  </si>
  <si>
    <t>Low-rank finetuning for LLMs: A fairness perspective</t>
  </si>
  <si>
    <t>Counterfactual Explanations for Multivariate Time-Series without Training Datasets</t>
  </si>
  <si>
    <t>Reinforcement Learning in Dynamic Treatment Regimes Needs Critical Reexamination</t>
  </si>
  <si>
    <t>Scalable Surrogate Verification of Image-based Neural Network Control Systems using Composition and Unrolling</t>
  </si>
  <si>
    <t>SGD method for entropy error function with smoothing l0 regularization for neural networks</t>
  </si>
  <si>
    <t>Learning from Uncertain Data: From Possible Worlds to Possible Models</t>
  </si>
  <si>
    <t>Data-Driven Simulator for Mechanical Circulatory Support with Domain Adversarial Neural Process</t>
  </si>
  <si>
    <t>Offline-Boosted Actor-Critic: Adaptively Blending Optimal Historical Behaviors in Deep Off-Policy RL</t>
  </si>
  <si>
    <t>LSTM-COX Model: A Concise and Efficient Deep Learning Approach for Handling Recurrent Events</t>
  </si>
  <si>
    <t>Atlas3D: Physically Constrained Self-Supporting Text-to-3D for Simulation and Fabrication</t>
  </si>
  <si>
    <t>Understanding Transformer Reasoning Capabilities via Graph Algorithms</t>
  </si>
  <si>
    <t>Injecting Hierarchical Biological Priors into Graph Neural Networks for Flow Cytometry Prediction</t>
  </si>
  <si>
    <t>The Unified Balance Theory of Second-Moment Exponential Scaling Optimizers in Visual Tasks</t>
  </si>
  <si>
    <t>Asymmetrical estimator for training grey-box deep photonic neural networks</t>
  </si>
  <si>
    <t>Improving Linear System Solvers for Hyperparameter Optimisation in Iterative Gaussian Processes</t>
  </si>
  <si>
    <t>X-VILA: Cross-Modality Alignment for Large Language Model</t>
  </si>
  <si>
    <t>MAP-Neo: Highly Capable and Transparent Bilingual Large Language Model Series</t>
  </si>
  <si>
    <t>Are Large Language Models Chameleons?</t>
  </si>
  <si>
    <t>Matryoshka Query Transformer for Large Vision-Language Models</t>
  </si>
  <si>
    <t>Neural Isometries: Taming Transformations for Equivariant ML</t>
  </si>
  <si>
    <t>A Recipe for Charge Density Prediction</t>
  </si>
  <si>
    <t>Weak-to-Strong Search: Align Large Language Models via Searching over Small Language Models</t>
  </si>
  <si>
    <t>Faster Cascades via Speculative Decoding</t>
  </si>
  <si>
    <t>ConceptPrune: Concept Editing in Diffusion Models via Skilled Neuron Pruning</t>
  </si>
  <si>
    <t>Exploring the impact of traffic signal control and connected and automated vehicles on intersections safety: A deep reinforcement learning approach</t>
  </si>
  <si>
    <t>Valid Conformal Prediction for Dynamic GNNs</t>
  </si>
  <si>
    <t>Domain adaptation in small-scale and heterogeneous biological datasets</t>
  </si>
  <si>
    <t>LoByITFL: Low Communication Secure and Private Federated Learning</t>
  </si>
  <si>
    <t>HawkVision: Low-Latency Modeless Edge AI Serving</t>
  </si>
  <si>
    <t>Matrix Manifold Neural Networks++</t>
  </si>
  <si>
    <t>MetaToken: Detecting Hallucination in Image Descriptions by Meta Classification</t>
  </si>
  <si>
    <t>Model-independent cosmological inference post DESI DR1 BAO measurements</t>
  </si>
  <si>
    <t>I Bet You Did Not Mean That: Testing Semantic Importance via Betting</t>
  </si>
  <si>
    <t>Voice Jailbreak Attacks Against GPT-4o</t>
  </si>
  <si>
    <t>Cephalo: Multi-Modal Vision-Language Models for Bio-Inspired Materials Analysis and Design</t>
  </si>
  <si>
    <t>xTern: Energy-Efficient Ternary Neural Network Inference on RISC-V-Based Edge Systems</t>
  </si>
  <si>
    <t>Multiscale Spatio-Temporal Enhanced Short-term Load Forecasting of Electric Vehicle Charging Stations</t>
  </si>
  <si>
    <t>State Space Models are Comparable to Transformers in Estimating Functions with Dynamic Smoothness</t>
  </si>
  <si>
    <t>Large Language Models for Code Summarization</t>
  </si>
  <si>
    <t>Physics-Aware Neural Implicit Solvers for multiscale, parametric PDEs with applications in heterogeneous media</t>
  </si>
  <si>
    <t>Distributed Management of Fluctuating Energy Resources in Dynamic Networked Systems</t>
  </si>
  <si>
    <t>Kernel Semi-Implicit Variational Inference</t>
  </si>
  <si>
    <t>UniIF: Unified Molecule Inverse Folding</t>
  </si>
  <si>
    <t>Are You Sure? Rank Them Again: Repeated Ranking For Better Preference Datasets</t>
  </si>
  <si>
    <t>Learning to Recover from Plan Execution Errors during Robot Manipulation: A Neuro-symbolic Approach</t>
  </si>
  <si>
    <t>WTTFNet: A Weather-Time-Trajectory Fusion Network for Pedestrian Trajectory Prediction in Urban Complex</t>
  </si>
  <si>
    <t>Predicting Many Properties of Crystals by a Single Deep Learning Model</t>
  </si>
  <si>
    <t>Verifiably Robust Conformal Prediction</t>
  </si>
  <si>
    <t>Content-Agnostic Moderation for Stance-Neutral Recommendation</t>
  </si>
  <si>
    <t>HLOB -- Information Persistence and Structure in Limit Order Books</t>
  </si>
  <si>
    <t>A Mallows-like Criterion for Anomaly Detection with Random Forest Implementation</t>
  </si>
  <si>
    <t>EntProp: High Entropy Propagation for Improving Accuracy and Robustness</t>
  </si>
  <si>
    <t>Deep Positive-Unlabeled Anomaly Detection for Contaminated Unlabeled Data</t>
  </si>
  <si>
    <t>Computing low-thrust transfers in the asteroid belt, a comparison between astrodynamical manipulations and a machine learning approach</t>
  </si>
  <si>
    <t>Language Generation with Strictly Proper Scoring Rules</t>
  </si>
  <si>
    <t>Proactive Load-Shaping Strategies with Privacy-Cost Trade-offs in Residential Households based on Deep Reinforcement Learning</t>
  </si>
  <si>
    <t>Privacy Preserving Data Imputation via Multi-party Computation for Medical Applications</t>
  </si>
  <si>
    <t>DFAMiner: Mining minimal separating DFAs from labelled samples</t>
  </si>
  <si>
    <t>Domain-Inspired Sharpness-Aware Minimization Under Domain Shifts</t>
  </si>
  <si>
    <t>Simulation, Modelling and Classification of Wiki Contributors: Spotting The Good, The Bad, and The Ugly</t>
  </si>
  <si>
    <t>Data-driven Machinery Fault Detection: A Comprehensive Review</t>
  </si>
  <si>
    <t>Do Finetti: On Causal Effects for Exchangeable Data</t>
  </si>
  <si>
    <t>Evaluating Zero-Shot GPT-4V Performance on 3D Visual Question Answering Benchmarks</t>
  </si>
  <si>
    <t>Flow Priors for Linear Inverse Problems via Iterative Corrupted Trajectory Matching</t>
  </si>
  <si>
    <t>Federated Q-Learning with Reference-Advantage Decomposition: Almost Optimal Regret and Logarithmic Communication Cost</t>
  </si>
  <si>
    <t>Quantitative Certification of Bias in Large Language Models</t>
  </si>
  <si>
    <t>SPABA: A Single-Loop and Probabilistic Stochastic Bilevel Algorithm Achieving Optimal Sample Complexity</t>
  </si>
  <si>
    <t>LMO-DP: Optimizing the Randomization Mechanism for Differentially Private Fine-Tuning (Large) Language Models</t>
  </si>
  <si>
    <t>RNAFlow: RNA Structure &amp; Sequence Design via Inverse Folding-Based Flow Matching</t>
  </si>
  <si>
    <t>GIST: Greedy Independent Set Thresholding for Diverse Data Summarization</t>
  </si>
  <si>
    <t>STIQ: Safeguarding Training and Inferencing of Quantum Neural Networks from Untrusted Cloud</t>
  </si>
  <si>
    <t>Gemini &amp; Physical World: Large Language Models Can Estimate the Intensity of Earthquake Shaking from Multi-Modal Social Media Posts</t>
  </si>
  <si>
    <t>Adapting Differential Molecular Representation with Hierarchical Prompts for Multi-label Property Prediction</t>
  </si>
  <si>
    <t>Advancing Household Robotics: Deep Interactive Reinforcement Learning for Efficient Training and Enhanced Performance</t>
  </si>
  <si>
    <t>Rejection via Learning Density Ratios</t>
  </si>
  <si>
    <t>Can GPT Redefine Medical Understanding? Evaluating GPT on Biomedical Machine Reading Comprehension</t>
  </si>
  <si>
    <t>Navigable Graphs for High-Dimensional Nearest Neighbor Search: Constructions and Limits</t>
  </si>
  <si>
    <t>Understanding Intrinsic Socioeconomic Biases in Large Language Models</t>
  </si>
  <si>
    <t>Improving Speech Decoding from ECoG with Self-Supervised Pretraining</t>
  </si>
  <si>
    <t>Biclustering a dataset using photonic quantum computing</t>
  </si>
  <si>
    <t>Augmented Physics: A Machine Learning-Powered Tool for Creating Interactive Physics Simulations from Static Diagrams</t>
  </si>
  <si>
    <t>GLOCON Database: Design Decisions and User Manual (v1.0)</t>
  </si>
  <si>
    <t>From Conformal Predictions to Confidence Regions</t>
  </si>
  <si>
    <t>A Margin-based Multiclass Generalization Bound via Geometric Complexity</t>
  </si>
  <si>
    <t>Artificial Intelligence in Industry 4.0: A Review of Integration Challenges for Industrial Systems</t>
  </si>
  <si>
    <t>Single-loop Stochastic Algorithms for Difference of Max-Structured Weakly Convex Functions</t>
  </si>
  <si>
    <t>Its Not a Modality Gap: Characterizing and Addressing the Contrastive Gap</t>
  </si>
  <si>
    <t>Warm-starting Push-Relabel</t>
  </si>
  <si>
    <t>Potential Field Based Deep Metric Learning</t>
  </si>
  <si>
    <t>The Computational Complexity of Formal Reasoning for Encoder-Only Transformers</t>
  </si>
  <si>
    <t>Automatic detection of cognitive impairment in elderly people using an entertainment chatbot with Natural Language Processing capabilities</t>
  </si>
  <si>
    <t>Learning diverse attacks on large language models for robust red-teaming and safety tuning</t>
  </si>
  <si>
    <t>Augmented Conversation with Embedded Speech-Driven On-the-Fly Referencing in AR</t>
  </si>
  <si>
    <t>SoundCTM: Uniting Score-based and Consistency Models for Text-to-Sound Generation</t>
  </si>
  <si>
    <t>Large Margin Discriminative Loss for Classification</t>
  </si>
  <si>
    <t>Predicting Ground State Properties: Constant Sample Complexity and Deep Learning Algorithms</t>
  </si>
  <si>
    <t>Symbolic Regression for Beyond the Standard Model Physics</t>
  </si>
  <si>
    <t>Why Algorithms Remain Unjust: Power Structures Surrounding Algorithmic Activity</t>
  </si>
  <si>
    <t>Probing the Information Theoretical Roots of Spatial Dependence Measures</t>
  </si>
  <si>
    <t>Adaptive Multiscale Retinal Diagnosis: A Hybrid Trio-Model Approach for Comprehensive Fundus Multi-Disease Detection Leveraging Transfer Learning and Siamese Networks</t>
  </si>
  <si>
    <t>Discovering deposition process regimes: leveraging unsupervised learning for process insights, surrogate modeling, and sensitivity analysis</t>
  </si>
  <si>
    <t>Parallel Sampling of Diffusion Models - Shih et al (Stanford), 10/16/2023.</t>
  </si>
  <si>
    <t>DDIM</t>
  </si>
  <si>
    <t>DPM-Solver</t>
  </si>
  <si>
    <t>Sampling</t>
  </si>
  <si>
    <t>classifier-free guidance</t>
  </si>
  <si>
    <t>Denoising Diffusion Probabilistic Models</t>
  </si>
  <si>
    <t>latent-variable model</t>
  </si>
  <si>
    <t>discrete-time forward diffusion process</t>
  </si>
  <si>
    <t>q(x_0) is data distribution</t>
  </si>
  <si>
    <t>alpha in a scalar function</t>
  </si>
  <si>
    <t>{x_t : t&lt;= T} are latent variables</t>
  </si>
  <si>
    <t>q(x_t | x_0) = N(x_t; sqrt(alpha(t)x_0), (1 - alpha(t))I)</t>
  </si>
  <si>
    <t>1000 step discretization of the SDE</t>
  </si>
  <si>
    <t>Recurrent neural networks: vanishing and exploding gradients are not the end of the story</t>
  </si>
  <si>
    <t>Neural Network Verification with Branch-and-Bound for General Nonlinearities</t>
  </si>
  <si>
    <t>Graph External Attention Enhanced Transformer</t>
  </si>
  <si>
    <t>Transformers are SSMs: Generalized Models and Efficient Algorithms Through Structured State Space Duality</t>
  </si>
  <si>
    <t>Exploratory Preference Optimization: Harnessing Implicit Q*-Approximation for Sample-Efficient RLHF</t>
  </si>
  <si>
    <t>An Attention-Based Multi-Context Convolutional Encoder-Decoder Neural Network for Work Zone Traffic Impact Prediction</t>
  </si>
  <si>
    <t>Target Networks and Over-parameterization Stabilize Off-policy Bootstrapping with Function Approximation</t>
  </si>
  <si>
    <t>Comparing information content of representation spaces for disentanglement with VAE ensembles</t>
  </si>
  <si>
    <t>A-PETE: Adaptive Prototype Explanations of Tree Ensembles</t>
  </si>
  <si>
    <t>Beyond Conventional Parametric Modeling: Data-Driven Framework for Estimation and Prediction of Time Activity Curves in Dynamic PET Imaging</t>
  </si>
  <si>
    <t>Improved Techniques for Optimization-Based Jailbreaking on Large Language Models</t>
  </si>
  <si>
    <t>G-Transformer for Conditional Average Potential Outcome Estimation over Time</t>
  </si>
  <si>
    <t>Explaining Predictions by Characteristic Rules</t>
  </si>
  <si>
    <t>Communication-Efficient Distributed Deep Learning via Federated Dynamic Averaging</t>
  </si>
  <si>
    <t>Uncertainty Quantification for Bird's Eye View Semantic Segmentation: Methods and Benchmarks</t>
  </si>
  <si>
    <t>Bayesian Design Principles for Offline-to-Online Reinforcement Learning</t>
  </si>
  <si>
    <t>LCQ: Low-Rank Codebook based Quantization for Large Language Models</t>
  </si>
  <si>
    <t>Amortizing intractable inference in diffusion models for vision, language, and control</t>
  </si>
  <si>
    <t>Aligning Multiclass Neural Network Classifier Criterion with Task Performance via Fβ-Score</t>
  </si>
  <si>
    <t>Effective Interplay between Sparsity and Quantization: From Theory to Practice</t>
  </si>
  <si>
    <t>Concentration Bounds for Optimized Certainty Equivalent Risk Estimation</t>
  </si>
  <si>
    <t>Fast yet Safe: Early-Exiting with Risk Control</t>
  </si>
  <si>
    <t>VENI, VINDy, VICI: a variational reduced-order modeling framework with uncertainty quantification</t>
  </si>
  <si>
    <t>Sheaf HyperNetworks for Personalized Federated Learning</t>
  </si>
  <si>
    <t>Flow matching achieves minimax optimal convergence</t>
  </si>
  <si>
    <t>Enhancing Efficiency of Safe Reinforcement Learning via Sample Manipulation</t>
  </si>
  <si>
    <t>einspace: Searching for Neural Architectures from Fundamental Operations</t>
  </si>
  <si>
    <t>Outliers and Calibration Sets have Diminishing Effect on Quantization of Modern LLMs</t>
  </si>
  <si>
    <t>Online Convex Optimisation: The Optimal Switching Regret for all Segmentations Simultaneously</t>
  </si>
  <si>
    <t>Pursuing Overall Welfare in Federated Learning through Sequential Decision Making</t>
  </si>
  <si>
    <t>Shape Constraints in Symbolic Regression using Penalized Least Squares</t>
  </si>
  <si>
    <t>Model Interpretation and Explainability: Towards Creating Transparency in Prediction Models</t>
  </si>
  <si>
    <t>Share Your Secrets for Privacy! Confidential Forecasting with Vertical Federated Learning</t>
  </si>
  <si>
    <t>Improving Generalization and Convergence by Enhancing Implicit Regularization</t>
  </si>
  <si>
    <t>Reinforcement Learning for Sociohydrology</t>
  </si>
  <si>
    <t>Intersectional Unfairness Discovery</t>
  </si>
  <si>
    <t>Information Theoretic Text-to-Image Alignment</t>
  </si>
  <si>
    <t>Federated Random Forest for Partially Overlapping Clinical Data</t>
  </si>
  <si>
    <t>Learning on Large Graphs using Intersecting Communities</t>
  </si>
  <si>
    <t>In-Context Decision Transformer: Reinforcement Learning via Hierarchical Chain-of-Thought</t>
  </si>
  <si>
    <t>Unleashing the Potential of Diffusion Models for Incomplete Data Imputation</t>
  </si>
  <si>
    <t>Enhancing Counterfactual Image Generation Using Mahalanobis Distance with Distribution Preferences in Feature Space</t>
  </si>
  <si>
    <t>No-Regret Learning for Fair Multi-Agent Social Welfare Optimization</t>
  </si>
  <si>
    <t>Provably Efficient Interactive-Grounded Learning with Personalized Reward</t>
  </si>
  <si>
    <t>Sign is Not a Remedy: Multiset-to-Multiset Message Passing for Learning on Heterophilic Graphs</t>
  </si>
  <si>
    <t>Weak Robust Compatibility Between Learning Algorithms and Counterfactual Explanation Generation Algorithms</t>
  </si>
  <si>
    <t>Position Coupling: Leveraging Task Structure for Improved Length Generalization of Transformers</t>
  </si>
  <si>
    <t>Stochastic Optimal Control for Diffusion Bridges in Function Spaces</t>
  </si>
  <si>
    <t>Heterophilous Distribution Propagation for Graph Neural Networks</t>
  </si>
  <si>
    <t>Principal-Agent Multitasking: the Uniformity of Optimal Contracts and its Efficient Learning via Instrumental Regression</t>
  </si>
  <si>
    <t>Prune at the Clients, Not the Server: Accelerated Sparse Training in Federated Learning</t>
  </si>
  <si>
    <t>Superfast Selection for Decision Tree Algorithms</t>
  </si>
  <si>
    <t>"Forgetting" in Machine Learning and Beyond: A Survey</t>
  </si>
  <si>
    <t>Searching for internal symbols underlying deep learning</t>
  </si>
  <si>
    <t>Advancing Financial Risk Prediction Through Optimized LSTM Model Performance and Comparative Analysis</t>
  </si>
  <si>
    <t>Masked Language Modeling Becomes Conditional Density Estimation for Tabular Data Synthesis</t>
  </si>
  <si>
    <t>Deep Learning without Weight Symmetry</t>
  </si>
  <si>
    <t>LInK: Learning Joint Representations of Design and Performance Spaces through Contrastive Learning for Mechanism Synthesis</t>
  </si>
  <si>
    <t>Class-Based Time Series Data Augmentation to Mitigate Extreme Class Imbalance for Solar Flare Prediction</t>
  </si>
  <si>
    <t>Selective Knowledge Sharing for Personalized Federated Learning Under Capacity Heterogeneity</t>
  </si>
  <si>
    <t>Enhancing Generative Molecular Design via Uncertainty-guided Fine-tuning of Variational Autoencoders</t>
  </si>
  <si>
    <t>Generative AI for Deep Reinforcement Learning: Framework, Analysis, and Use Cases</t>
  </si>
  <si>
    <t>Can Machine Learning Assist in Diagnosis of Primary Immune Thrombocytopenia? A feasibility study</t>
  </si>
  <si>
    <t>Certifying Global Robustness for Deep Neural Networks</t>
  </si>
  <si>
    <t>Diffusion Actor-Critic: Formulating Constrained Policy Iteration as Diffusion Noise Regression for Offline Reinforcement Learning</t>
  </si>
  <si>
    <t>Uncertainty Quantification for Deep Learning</t>
  </si>
  <si>
    <t>Towards a General GNN Framework for Combinatorial Optimization</t>
  </si>
  <si>
    <t>Fully Unconstrained Online Learning</t>
  </si>
  <si>
    <t>Perplexed by Perplexity: Perplexity-Based Data Pruning With Small Reference Models</t>
  </si>
  <si>
    <t>On the Connection Between Non-negative Matrix Factorization and Latent Dirichlet Allocation</t>
  </si>
  <si>
    <t>SleeperNets: Universal Backdoor Poisoning Attacks Against Reinforcement Learning Agents</t>
  </si>
  <si>
    <t>WaveCastNet: An AI-enabled Wavefield Forecasting Framework for Earthquake Early Warning</t>
  </si>
  <si>
    <t>Mitigating the Impact of Labeling Errors on Training via Rockafellian Relaxation</t>
  </si>
  <si>
    <t>Aquatic Navigation: A Challenging Benchmark for Deep Reinforcement Learning</t>
  </si>
  <si>
    <t>Q-learning as a monotone scheme</t>
  </si>
  <si>
    <t>Deep Modeling of Non-Gaussian Aleatoric Uncertainty</t>
  </si>
  <si>
    <t>FCOM: A Federated Collaborative Online Monitoring Framework via Representation Learning</t>
  </si>
  <si>
    <t>Optimizing cnn-Bigru performance: Mish activation and comparative analysis with Relu</t>
  </si>
  <si>
    <t>Policy Trees for Prediction: Interpretable and Adaptive Model Selection for Machine Learning</t>
  </si>
  <si>
    <t>Leveraging Structure Between Environments: Phylogenetic Regularization Incentivizes Disentangled Representations</t>
  </si>
  <si>
    <t>Performance of NPG in Countable State-Space Average-Cost RL</t>
  </si>
  <si>
    <t>Scaling Laws for the Value of Individual Data Points in Machine Learning</t>
  </si>
  <si>
    <t>Understanding Encoder-Decoder Structures in Machine Learning Using Information Measures</t>
  </si>
  <si>
    <t>GraphAny: A Foundation Model for Node Classification on Any Graph</t>
  </si>
  <si>
    <t>Knockout: A simple way to handle missing inputs</t>
  </si>
  <si>
    <t>Enhancing Performance for Highly Imbalanced Medical Data via Data Regularization in a Federated Learning Setting</t>
  </si>
  <si>
    <t>Exploring the Practicality of Federated Learning: A Survey Towards the Communication Perspective</t>
  </si>
  <si>
    <t>Deep Learning for Computing Convergence Rates of Markov Chains</t>
  </si>
  <si>
    <t>Sharpness-Aware Minimization Enhances Feature Quality via Balanced Learning</t>
  </si>
  <si>
    <t>Medication Recommendation via Dual Molecular Modalities and Multi-Substructure Distillation</t>
  </si>
  <si>
    <t>Quantitative Convergences of Lie Group Momentum Optimizers</t>
  </si>
  <si>
    <t>Explainable Data-driven Modeling of Adsorption Energy in Heterogeneous Catalysis</t>
  </si>
  <si>
    <t>The Impact of Ontology on the Prediction of Cardiovascular Disease Compared to Machine Learning Algorithms</t>
  </si>
  <si>
    <t>Enhancing Antibiotic Stewardship using a Natural Language Approach for Better Feature Representation</t>
  </si>
  <si>
    <t>Back to the Basics on Predicting Transfer Performance</t>
  </si>
  <si>
    <t>ADR-BC: Adversarial Density Weighted Regression Behavior Cloning</t>
  </si>
  <si>
    <t>Linear Function Approximation as a Computationally Efficient Method to Solve Classical Reinforcement Learning Challenges</t>
  </si>
  <si>
    <t>Generalization Beyond Data Imbalance: A Controlled Study on CLIP for Transferable Insights</t>
  </si>
  <si>
    <t>Spectrum-Aware Parameter Efficient Fine-Tuning for Diffusion Models</t>
  </si>
  <si>
    <t>Grammar-Aligned Decoding</t>
  </si>
  <si>
    <t>Fusion-PSRO: Nash Policy Fusion for Policy Space Response Oracles</t>
  </si>
  <si>
    <t>Information limits and Thouless-Anderson-Palmer equations for spiked matrix models with structured noise</t>
  </si>
  <si>
    <t>Hard Cases Detection in Motion Prediction by Vision-Language Foundation Models</t>
  </si>
  <si>
    <t>Locking Machine Learning Models into Hardware</t>
  </si>
  <si>
    <t>Early Stopping Criteria for Training Generative Adversarial Networks in Biomedical Imaging</t>
  </si>
  <si>
    <t>Neural Gaussian Scale-Space Fields</t>
  </si>
  <si>
    <t>ACE: A Model Poisoning Attack on Contribution Evaluation Methods in Federated Learning</t>
  </si>
  <si>
    <t>SaySelf: Teaching LLMs to Express Confidence with Self-Reflective Rationales</t>
  </si>
  <si>
    <t>PUAL: A Classifier on Trifurcate Positive-Unlabeled Data</t>
  </si>
  <si>
    <t>Learning to Estimate System Specifications in Linear Temporal Logic using Transformers and Mamba</t>
  </si>
  <si>
    <t>On the Condition Monitoring of Bolted Joints through Acoustic Emission and Deep Transfer Learning: Generalization, Ordinal Loss and Super-Convergence</t>
  </si>
  <si>
    <t>Waveform Design for Over-the-Air Computing</t>
  </si>
  <si>
    <t>SLIM: a Scalable Light-weight Root Cause Analysis for Imbalanced Data in Microservice</t>
  </si>
  <si>
    <t>Solving partial differential equations with sampled neural networks</t>
  </si>
  <si>
    <t>Self-Augmented Preference Optimization: Off-Policy Paradigms for Language Model Alignment</t>
  </si>
  <si>
    <t>Rethinking Open-World Semi-Supervised Learning: Distribution Mismatch and Inductive Inference</t>
  </si>
  <si>
    <t>Analysis of clinical, dosimetric and radiomic features for predicting local failure after stereotactic radiotherapy of brain metastases in malignant melanoma</t>
  </si>
  <si>
    <t>Optimally Improving Cooperative Learning in a Social Setting</t>
  </si>
  <si>
    <t>Rough Transformers: Lightweight Continuous-Time Sequence Modelling with Path Signatures</t>
  </si>
  <si>
    <t>Ovis: Structural Embedding Alignment for Multimodal Large Language Model</t>
  </si>
  <si>
    <t>GS-Phong: Meta-Learned 3D Gaussians for Relightable Novel View Synthesis</t>
  </si>
  <si>
    <t>Improved Generation of Adversarial Examples Against Safety-aligned LLMs</t>
  </si>
  <si>
    <t>Black-Box Detection of Language Model Watermarks</t>
  </si>
  <si>
    <t>Federated Learning with Blockchain-Enhanced Machine Unlearning: A Trustworthy Approach</t>
  </si>
  <si>
    <t>Towards Black-Box Membership Inference Attack for Diffusion Models</t>
  </si>
  <si>
    <t>Avoiding Pitfalls for Privacy Accounting of Subsampled Mechanisms under Composition</t>
  </si>
  <si>
    <t>Expanded Gating Ranges Improve Activation Functions</t>
  </si>
  <si>
    <t>OpenTensor: Reproducing Faster Matrix Multiplication Discovering Algorithms</t>
  </si>
  <si>
    <t>Trajectory Forecasting through Low-Rank Adaptation of Discrete Latent Codes</t>
  </si>
  <si>
    <t>Maximum Temperature Prediction Using Remote Sensing Data Via Convolutional Neural Network</t>
  </si>
  <si>
    <t>Cyclic image generation using chaotic dynamics</t>
  </si>
  <si>
    <t>Conditioning GAN Without Training Dataset</t>
  </si>
  <si>
    <t>Adv-KD: Adversarial Knowledge Distillation for Faster Diffusion Sampling</t>
  </si>
  <si>
    <t>Improving Paratope and Epitope Prediction by Multi-Modal Contrastive Learning and Interaction Informativeness Estimation</t>
  </si>
  <si>
    <t>Reward-based Input Construction for Cross-document Relation Extraction</t>
  </si>
  <si>
    <t>Shotluck Holmes: A Family of Efficient Small-Scale Large Language Vision Models For Video Captioning and Summarization</t>
  </si>
  <si>
    <t>Bi-Directional Transformers vs. word2vec: Discovering Vulnerabilities in Lifted Compiled Code</t>
  </si>
  <si>
    <t>Vision-Language Meets the Skeleton: Progressively Distillation with Cross-Modal Knowledge for 3D Action Representation Learning</t>
  </si>
  <si>
    <t>Generalized Semi-Supervised Learning via Self-Supervised Feature Adaptation</t>
  </si>
  <si>
    <t>Weak-Form Inference for Hybrid Dynamical Systems in Ecology</t>
  </si>
  <si>
    <t>The Point of View of a Sentiment: Towards Clinician Bias Detection in Psychiatric Notes</t>
  </si>
  <si>
    <t>HOPE: A Reinforcement Learning-based Hybrid Policy Path Planner for Diverse Parking Scenarios</t>
  </si>
  <si>
    <t>EM-Assist: Safe Automated ExtractMethod Refactoring with LLMs</t>
  </si>
  <si>
    <t>How Multilingual Are Large Language Models Fine-Tuned for Translation?</t>
  </si>
  <si>
    <t>SPOT: Text Source Prediction from Originality Score Thresholding</t>
  </si>
  <si>
    <t>ShelfHelp: Empowering Humans to Perform Vision-Independent Manipulation Tasks with a Socially Assistive Robotic Cane</t>
  </si>
  <si>
    <t>Hybrid Reinforcement Learning Framework for Mixed-Variable Problems</t>
  </si>
  <si>
    <t>Transfer Q Star: Principled Decoding for LLM Alignment</t>
  </si>
  <si>
    <t>Slight Corruption in Pre-training Data Makes Better Diffusion Models</t>
  </si>
  <si>
    <t>Phantom: General Trigger Attacks on Retrieval Augmented Language Generation</t>
  </si>
  <si>
    <t>Extending the Massive Text Embedding Benchmark to French</t>
  </si>
  <si>
    <t>ENTIRe-ID: An Extensive and Diverse Dataset for Person Re-Identification</t>
  </si>
  <si>
    <t>Statistical Properties of Robust Satisficing</t>
  </si>
  <si>
    <t>Is My Data in Your Retrieval Database? Membership Inference Attacks Against Retrieval Augmented Generation</t>
  </si>
  <si>
    <t>Algorithmic Fairness in Performative Policy Learning: Escaping the Impossibility of Group Fairness</t>
  </si>
  <si>
    <t>Jailbreaking Large Language Models Against Moderation Guardrails via Cipher Characters</t>
  </si>
  <si>
    <t>Audio2Rig: Artist-oriented deep learning tool for facial animation</t>
  </si>
  <si>
    <t>Convolutional L2LFlows: Generating Accurate Showers in Highly Granular Calorimeters Using Convolutional Normalizing Flows</t>
  </si>
  <si>
    <t>Private Mean Estimation with Person-Level Differential Privacy</t>
  </si>
  <si>
    <t>XPrompt:Explaining Large Language Model's Generation via Joint Prompt Attribution</t>
  </si>
  <si>
    <t>Fast leave-one-cluster-out cross-validation by clustered Network Information Criteria (NICc)</t>
  </si>
  <si>
    <t>Recurrent neural network wave functions for Rydberg atom arrays on kagome lattice</t>
  </si>
  <si>
    <t>Enhancing Adversarial Robustness in SNNs with Sparse Gradients</t>
  </si>
  <si>
    <t>Literature Filtering for Systematic Reviews with Transformers</t>
  </si>
  <si>
    <t>Personalized Adapter for Large Meteorology Model on Devices: Towards Weather Foundation Models</t>
  </si>
  <si>
    <t>Small Language Models for Application Interactions: A Case Study</t>
  </si>
  <si>
    <t>From Zero to Hero: Cold-Start Anomaly Detection</t>
  </si>
  <si>
    <t>CoSy: Evaluating Textual Explanations of Neurons</t>
  </si>
  <si>
    <t>Sequence-Augmented SE(3)-Flow Matching For Conditional Protein Backbone Generation</t>
  </si>
  <si>
    <t>Large Language Models Can Self-Improve At Web Agent Tasks</t>
  </si>
  <si>
    <t>Flexible SE(2) graph neural networks with applications to PDE surrogates</t>
  </si>
  <si>
    <t>Length independent generalization bounds for deep SSM architectures with stability constraints</t>
  </si>
  <si>
    <t>Reconstruction Attacks on Machine Unlearning: Simple Models are Vulnerable</t>
  </si>
  <si>
    <t>ETHER: Efficient Finetuning of Large-Scale Models with Hyperplane Reflections</t>
  </si>
  <si>
    <t>Grokfast: Accelerated Grokking by Amplifying Slow Gradients</t>
  </si>
  <si>
    <t>The Empirical Impact of Neural Parameter Symmetries, or Lack Thereof</t>
  </si>
  <si>
    <t>Unified Explanations in Machine Learning Models: A Perturbation Approach</t>
  </si>
  <si>
    <t>Occam Gradient Descent</t>
  </si>
  <si>
    <t>Transformers and Slot Encoding for Sample Efficient Physical World Modelling</t>
  </si>
  <si>
    <t>Tropical Expressivity of Neural Networks</t>
  </si>
  <si>
    <t>Near Optimal Decentralized Optimization with Compression and Momentum Tracking</t>
  </si>
  <si>
    <t>Soft Partitioning of Latent Space for Semantic Channel Equalization</t>
  </si>
  <si>
    <t>Segment, Shuffle, and Stitch: A Simple Mechanism for Improving Time-Series Representations</t>
  </si>
  <si>
    <t>Threshold-Independent Fair Matching through Score Calibration</t>
  </si>
  <si>
    <t>Iterative Learning Control of Fast, Nonlinear, Oscillatory Dynamics (Preprint)</t>
  </si>
  <si>
    <t>CycleFormer : TSP Solver Based on Language Modeling</t>
  </si>
  <si>
    <t>subMFL: Compatiple subModel Generation for Federated Learning in Device Heterogenous Environment</t>
  </si>
  <si>
    <t>A Simple and Adaptive Learning Rate for FTRL in Online Learning with Minimax Regret of Θ(T2/3) and its Application to Best-of-Both-Worlds</t>
  </si>
  <si>
    <t>A Random Forest-based Prediction Model for Turning Points in Antagonistic event-group Competitions</t>
  </si>
  <si>
    <t>FlexiDrop: Theoretical Insights and Practical Advances in Random Dropout Method on GNNs</t>
  </si>
  <si>
    <t>Domain Adaptation with Cauchy-Schwarz Divergence</t>
  </si>
  <si>
    <t>Kernel Language Entropy: Fine-grained Uncertainty Quantification for LLMs from Semantic Similarities</t>
  </si>
  <si>
    <t>Collective Variable Free Transition Path Sampling with Generative Flow Network</t>
  </si>
  <si>
    <t>MM-Lego: Modular Biomedical Multimodal Models with Minimal Fine-Tuning</t>
  </si>
  <si>
    <t>Learning Latent Graph Structures and their Uncertainty</t>
  </si>
  <si>
    <t>BAN: Detecting Backdoors Activated by Adversarial Neuron Noise</t>
  </si>
  <si>
    <t>Unraveling the Impact of Heterophilic Structures on Graph Positive-Unlabeled Learning</t>
  </si>
  <si>
    <t>Learning Discriminative Dynamics with Label Corruption for Noisy Label Detection</t>
  </si>
  <si>
    <t>Adaptive Advantage-Guided Policy Regularization for Offline Reinforcement Learning</t>
  </si>
  <si>
    <t>Urban Air Pollution Forecasting: a Machine Learning Approach leveraging Satellite Observations and Meteorological Forecasts</t>
  </si>
  <si>
    <t>Similarity is Not All You Need: Endowing Retrieval Augmented Generation with Multi Layered Thoughts</t>
  </si>
  <si>
    <t>Parrot: Efficient Serving of LLM-based Applications with Semantic Variable</t>
  </si>
  <si>
    <t>Fourier Controller Networks for Real-Time Decision-Making in Embodied Learning</t>
  </si>
  <si>
    <t>From Words to Actions: Unveiling the Theoretical Underpinnings of LLM-Driven Autonomous Systems</t>
  </si>
  <si>
    <t>Learning from Random Demonstrations: Offline Reinforcement Learning with Importance-Sampled Diffusion Models</t>
  </si>
  <si>
    <t>On Vessel Location Forecasting and the Effect of Federated Learning</t>
  </si>
  <si>
    <t>Out-of-distribution Reject Option Method for Dataset Shift Problem in Early Disease Onset Prediction</t>
  </si>
  <si>
    <t>The Merit of River Network Topology for Neural Flood Forecasting</t>
  </si>
  <si>
    <t>Joint Selective State Space Model and Detrending for Robust Time Series Anomaly Detection</t>
  </si>
  <si>
    <t>Approximate Global Convergence of Independent Learning in Multi-Agent Systems</t>
  </si>
  <si>
    <t>MetaCURL: Non-stationary Concave Utility Reinforcement Learning</t>
  </si>
  <si>
    <t>Preference Alignment with Flow Matching</t>
  </si>
  <si>
    <t>Exploring Key Factors for Long-Term Vessel Incident Risk Prediction</t>
  </si>
  <si>
    <t>Estimating before Debiasing: A Bayesian Approach to Detaching Prior Bias in Federated Semi-Supervised Learning</t>
  </si>
  <si>
    <t>Recurrent Deep Kernel Learning of Dynamical Systems</t>
  </si>
  <si>
    <t>Dynamic feature selection in medical predictive monitoring by reinforcement learning</t>
  </si>
  <si>
    <t>Understanding and mitigating difficulties in posterior predictive evaluation</t>
  </si>
  <si>
    <t>Understanding Memory-Regret Trade-Off for Streaming Stochastic Multi-Armed Bandits</t>
  </si>
  <si>
    <t>Improving SMOTE via Fusing Conditional VAE for Data-adaptive Noise Filtering</t>
  </si>
  <si>
    <t>Universal Online Convex Optimization with 1 Projection per Round</t>
  </si>
  <si>
    <t>Towards a Better Evaluation of Out-of-Domain Generalization</t>
  </si>
  <si>
    <t>Diffusion Policies creating a Trust Region for Offline Reinforcement Learning</t>
  </si>
  <si>
    <t>Efficient Trajectory Inference in Wasserstein Space Using Consecutive Averaging</t>
  </si>
  <si>
    <t>Bridging Model-Based Optimization and Generative Modeling via Conservative Fine-Tuning of Diffusion Models</t>
  </si>
  <si>
    <t>Reconciling Model Multiplicity for Downstream Decision Making</t>
  </si>
  <si>
    <t>MGCP: A Multi-Grained Correlation based Prediction Network for Multivariate Time Series</t>
  </si>
  <si>
    <t>SysCaps: Language Interfaces for Simulation Surrogates of Complex Systems</t>
  </si>
  <si>
    <t>Few for Many: Tchebycheff Set Scalarization for Many-Objective Optimization</t>
  </si>
  <si>
    <t>Towards Deeper Understanding of PPR-based Embedding Approaches: A Topological Perspective</t>
  </si>
  <si>
    <t>FTS: A Framework to Find a Faithful TimeSieve</t>
  </si>
  <si>
    <t>Do spectral cues matter in contrast-based graph self-supervised learning?</t>
  </si>
  <si>
    <t>SVFT: Parameter-Efficient Fine-Tuning with Singular Vectors</t>
  </si>
  <si>
    <t>Clustering Mixtures of Discrete Distributions: A Note on Mitra's Algorithm</t>
  </si>
  <si>
    <t>Weights Augmentation: it has never ever ever ever let her model down</t>
  </si>
  <si>
    <t>Why Larger Language Models Do In-context Learning Differently?</t>
  </si>
  <si>
    <t>Stress-Testing Capability Elicitation With Password-Locked Models</t>
  </si>
  <si>
    <t>RLeXplore: Accelerating Research in Intrinsically-Motivated Reinforcement Learning</t>
  </si>
  <si>
    <t>Contrasting Multiple Representations with the Multi-Marginal Matching Gap</t>
  </si>
  <si>
    <t>Preference Learning Algorithms Do Not Learn Preference Rankings</t>
  </si>
  <si>
    <t>CLIPLoss and Norm-Based Data Selection Methods for Multimodal Contrastive Learning</t>
  </si>
  <si>
    <t>The Data Minimization Principle in Machine Learning</t>
  </si>
  <si>
    <t>Momentum for the Win: Collaborative Federated Reinforcement Learning across Heterogeneous Environments</t>
  </si>
  <si>
    <t>Decentralized Optimization in Time-Varying Networks with Arbitrary Delays</t>
  </si>
  <si>
    <t>Crowdsourcing with Difficulty: A Bayesian Rating Model for Heterogeneous Items</t>
  </si>
  <si>
    <t>Posterior Sampling via Autoregressive Generation</t>
  </si>
  <si>
    <t>Clustering-Based Validation Splits for Domain Generalisation</t>
  </si>
  <si>
    <t>Deep Grokking: Would Deep Neural Networks Generalize Better?</t>
  </si>
  <si>
    <t>On the Convergence of Multi-objective Optimization under Generalized Smoothness</t>
  </si>
  <si>
    <t>Using Contrastive Learning with Generative Similarity to Learn Spaces that Capture Human Inductive Biases</t>
  </si>
  <si>
    <t>Safety through Permissibility: Shield Construction for Fast and Safe Reinforcement Learning</t>
  </si>
  <si>
    <t>PureEBM: Universal Poison Purification via Mid-Run Dynamics of Energy-Based Models</t>
  </si>
  <si>
    <t>Unique3D: High-Quality and Efficient 3D Mesh Generation from a Single Image</t>
  </si>
  <si>
    <t>Don't drop your samples! Coherence-aware training benefits Conditional diffusion</t>
  </si>
  <si>
    <t>Vision-based Manipulation from Single Human Video with Open-World Object Graphs</t>
  </si>
  <si>
    <t>Improving the Training of Rectified Flows</t>
  </si>
  <si>
    <t>CausalQuest: Collecting Natural Causal Questions for AI Agents</t>
  </si>
  <si>
    <t>Group Robust Preference Optimization in Reward-free RLHF</t>
  </si>
  <si>
    <t>DITTO-2: Distilled Diffusion Inference-Time T-Optimization for Music Generation</t>
  </si>
  <si>
    <t>ROAST: Review-level Opinion Aspect Sentiment Target Joint Detection</t>
  </si>
  <si>
    <t>Entropy annealing for policy mirror descent in continuous time and space</t>
  </si>
  <si>
    <t>KerasCV and KerasNLP: Vision and Language Power-Ups</t>
  </si>
  <si>
    <t>Retrieval Augmented Structured Generation: Business Document Information Extraction As Tool Use</t>
  </si>
  <si>
    <t>Training-efficient density quantum machine learning</t>
  </si>
  <si>
    <t>Disentangling and Mitigating the Impact of Task Similarity for Continual Learning</t>
  </si>
  <si>
    <t>Feature Fusion for Improved Classification: Combining Dempster-Shafer Theory and Multiple CNN Architectures</t>
  </si>
  <si>
    <t>Boost Your Own Human Image Generation Model via Direct Preference Optimization with AI Feedback</t>
  </si>
  <si>
    <t>PostDoc: Generating Poster from a Long Multimodal Document Using Deep Submodular Optimization</t>
  </si>
  <si>
    <t>Non-intrusive data-driven model order reduction for circuits based on Hammerstein architectures</t>
  </si>
  <si>
    <t>Iterative Feature Boosting for Explainable Speech Emotion Recognition</t>
  </si>
  <si>
    <t>Randomized Exploration for Reinforcement Learning with Multinomial Logistic Function Approximation</t>
  </si>
  <si>
    <t>GNN-RAG: Graph Neural Retrieval for Large Language Model Reasoning</t>
  </si>
  <si>
    <t>SPAM: Stochastic Proximal Point Method with Momentum Variance Reduction for Non-convex Cross-Device Federated Learning</t>
  </si>
  <si>
    <t>A Geometric Unification of Distributionally Robust Covariance Estimators: Shrinking the Spectrum by Inflating the Ambiguity Set</t>
  </si>
  <si>
    <t>Low-dimensional approximations of the conditional law of Volterra processes: a non-positive curvature approach</t>
  </si>
  <si>
    <t>Visual Attention Analysis in Online Learning</t>
  </si>
  <si>
    <t>Analysis of a multi-target linear shrinkage covariance estimator</t>
  </si>
  <si>
    <t>Student Answer Forecasting: Transformer-Driven Answer Choice Prediction for Language Learning</t>
  </si>
  <si>
    <t>A Staged Approach using Machine Learning and Uncertainty Quantification to Predict the Risk of Hip Fracture</t>
  </si>
  <si>
    <t>Would I Lie To You? Inference Time Alignment of Language Models using Direct Preference Heads</t>
  </si>
  <si>
    <t>Hardware-Efficient EMG Decoding for Next-Generation Hand Prostheses</t>
  </si>
  <si>
    <t>Task-Agnostic Machine Learning-Assisted Inference</t>
  </si>
  <si>
    <t>Safe Multi-agent Reinforcement Learning with Natural Language Constraints</t>
  </si>
  <si>
    <t>Symmetries in Overparametrized Neural Networks: A Mean-Field View</t>
  </si>
  <si>
    <t>Video-Language Critic: Transferable Reward Functions for Language-Conditioned Robotics</t>
  </si>
  <si>
    <t>Targeted Sequential Indirect Experiment Design</t>
  </si>
  <si>
    <t>Consistent Submodular Maximization</t>
  </si>
  <si>
    <t>GasTrace: Detecting Sandwich Attack Malicious Accounts in Ethereum</t>
  </si>
  <si>
    <t>Improved Out-of-Scope Intent Classification with Dual Encoding and Threshold-based Re-Classification</t>
  </si>
  <si>
    <t>GenKubeSec: LLM-Based Kubernetes Misconfiguration Detection, Localization, Reasoning, and Remediation</t>
  </si>
  <si>
    <t>Exploring Diffusion Models' Corruption Stage in Few-Shot Fine-tuning and Mitigating with Bayesian Neural Networks</t>
  </si>
  <si>
    <t>Robust Kernel Hypothesis Testing under Data Corruption</t>
  </si>
  <si>
    <t>Deep Joint Semantic Coding and Beamforming for Near-Space Airship-Borne Massive MIMO Network</t>
  </si>
  <si>
    <t>Federated Learning with Multi-resolution Model Broadcast</t>
  </si>
  <si>
    <t>Is In-Context Learning Sufficient for Instruction Following in LLMs?</t>
  </si>
  <si>
    <t>Complexity of Deciding Injectivity and Surjectivity of ReLU Neural Networks</t>
  </si>
  <si>
    <t>From Symbolic Tasks to Code Generation: Diversification Yields Better Task Performers</t>
  </si>
  <si>
    <t>PixelsDB: Serverless and Natural-Language-Aided Data Analytics with Flexible Service Levels and Prices</t>
  </si>
  <si>
    <t>Instruction-Guided Visual Masking</t>
  </si>
  <si>
    <t>Automatic Graph Topology-Aware Transformer</t>
  </si>
  <si>
    <t>Identifiability of a statistical model with two latent vectors: Importance of the dimensionality relation and application to graph embedding</t>
  </si>
  <si>
    <t>Two Optimizers Are Better Than One: LLM Catalyst for Enhancing Gradient-Based Optimization</t>
  </si>
  <si>
    <t>Research on Foundation Model for Spatial Data Intelligence: China's 2024 White Paper on Strategic Development of Spatial Data Intelligence</t>
  </si>
  <si>
    <t>SpecDec++: Boosting Speculative Decoding via Adaptive Candidate Lengths</t>
  </si>
  <si>
    <t>Enhancing Sufficient Dimension Reduction via Hellinger Correlation</t>
  </si>
  <si>
    <t>Bilevel reinforcement learning via the development of hyper-gradient without lower-level convexity</t>
  </si>
  <si>
    <t>Breaking Indistinguishability with Transfer Learning: A First Look at SPECK32/64 Lightweight Block Ciphers</t>
  </si>
  <si>
    <t>Bayesian Online Natural Gradient (BONG)</t>
  </si>
  <si>
    <t>CRIS: Collaborative Refinement Integrated with Segmentation for Polyp Segmentation</t>
  </si>
  <si>
    <t>A novel fault localization with data refinement for hydroelectric units</t>
  </si>
  <si>
    <t>Detecting Hallucinations in Large Language Model Generation: A Token Probability Approach</t>
  </si>
  <si>
    <t>EgoSurgery-Phase: A Dataset of Surgical Phase Recognition from Egocentric Open Surgery Videos</t>
  </si>
  <si>
    <t>Easy Problems That LLMs Get Wrong</t>
  </si>
  <si>
    <t>Factor Augmented Tensor-on-Tensor Neural Networks</t>
  </si>
  <si>
    <t>SAM-E: Leveraging Visual Foundation Model with Sequence Imitation for Embodied Manipulation</t>
  </si>
  <si>
    <t>Dr-LLaVA: Visual Instruction Tuning with Symbolic Clinical Grounding</t>
  </si>
  <si>
    <t>Selective Explanations</t>
  </si>
  <si>
    <t>Convergence Bounds for Sequential Monte Carlo on Multimodal Distributions using Soft Decomposition</t>
  </si>
  <si>
    <t>One-Shot Safety Alignment for Large Language Models via Optimal Dualization</t>
  </si>
  <si>
    <t>Anatomical Region Recognition and Real-time Bone Tracking Methods by Dynamically Decoding A-Mode Ultrasound Signals</t>
  </si>
  <si>
    <t>CheXpert Plus: Hundreds of Thousands of Aligned Radiology Texts, Images and Patients</t>
  </si>
  <si>
    <t>Real-Time Dynamic Robot-Assisted Hand-Object Interaction via Motion Primitives</t>
  </si>
  <si>
    <t>Exploring the Potential of Hybrid Machine-Learning/Physics-Based Modeling for Atmospheric/Oceanic Prediction Beyond the Medium Range</t>
  </si>
  <si>
    <t>Enabling Visual Recognition at Radio Frequency</t>
  </si>
  <si>
    <t>Gaussian Flow Bridges for Audio Domain Transfer with Unpaired Data</t>
  </si>
  <si>
    <t>Online Nonparametric Supervised Learning for Massive Data</t>
  </si>
  <si>
    <t>Participation in the age of foundation models</t>
  </si>
  <si>
    <t>Stochastic Optimization Algorithms for Instrumental Variable Regression with Streaming Data</t>
  </si>
  <si>
    <t>Gaitor: Learning a Unified Representation Across Gaits for Real-World Quadruped Locomotion</t>
  </si>
  <si>
    <t>Neural Scaling Laws From Large-N Field Theory: Solvable Model Beyond the Ridgeless Limit</t>
  </si>
  <si>
    <t>Ground state phases of the two-dimension electron gas with a unified variational approach</t>
  </si>
  <si>
    <t>Approximate Thompson Sampling for Learning Linear Quadratic Regulators with O(T−−√) Regret</t>
  </si>
  <si>
    <t>Network Analytics for Anti-Money Laundering -- A Systematic Literature Review and Experimental Evaluation</t>
  </si>
  <si>
    <t>NeuralODEs for VLEO simulations: Introducing thermoNET for Thermosphere Modeling</t>
  </si>
  <si>
    <t>Improving global awareness of linkset predictions using Cross-Attentive Modulation tokens</t>
  </si>
  <si>
    <t>Optimal Multiclass U-Calibration Error and Beyond</t>
  </si>
  <si>
    <t>Multi-modal Mood Reader: Pre-trained Model Empowers Cross-Subject Emotion Recognition</t>
  </si>
  <si>
    <t>Medformer: A Multi-Granularity Patching Transformer for Medical Time-Series Classification</t>
  </si>
  <si>
    <t>Modally Reduced Representation Learning of Multi-Lead ECG Signals through Simultaneous Alignment and Reconstruction</t>
  </si>
  <si>
    <t>An LSTM Feature Imitation Network for Hand Movement Recognition from sEMG Signals</t>
  </si>
  <si>
    <t>Resonate-and-Fire Spiking Neurons for Target Detection and Hand Gesture Recognition: A Hybrid Approach</t>
  </si>
  <si>
    <t>Beyond Isolated Frames: Enhancing Sensor-Based Human Activity Recognition through Intra- and Inter-Frame Attention</t>
  </si>
  <si>
    <t>NERULA: A Dual-Pathway Self-Supervised Learning Framework for Electrocardiogram Signal Analysis</t>
  </si>
  <si>
    <t>Near-Field Spot Beamfocusing: A Correlation-Aware Transfer Learning Approach</t>
  </si>
  <si>
    <t>Subject-Adaptive Transfer Learning Using Resting State EEG Signals for Cross-Subject EEG Motor Imagery Classification</t>
  </si>
  <si>
    <t>Review of Deep Representation Learning Techniques for Brain-Computer Interfaces and Recommendations</t>
  </si>
  <si>
    <t>Sonos Voice Control Bias Assessment Dataset: A Methodology for Demographic Bias Assessment in Voice Assistants</t>
  </si>
  <si>
    <t>Obtaining physical layer data of latest generation networks for investigating adversary attacks</t>
  </si>
  <si>
    <t>2406 - Machine Learning</t>
  </si>
  <si>
    <t>Learning to grok: Emergence of in-context learning and skill composition in modular arithmetic tasks</t>
  </si>
  <si>
    <t>Robust and highly scalable estimation of directional couplings from time-shifted signals</t>
  </si>
  <si>
    <t>To Believe or Not to Believe Your LLM</t>
  </si>
  <si>
    <t>Loki: Low-Rank Keys for Efficient Sparse Attention</t>
  </si>
  <si>
    <t>Uncertainty of Joint Neural Contextual Bandit</t>
  </si>
  <si>
    <t>Fairness-Optimized Synthetic EHR Generation for Arbitrary Downstream Predictive Tasks</t>
  </si>
  <si>
    <t>Demystifying the Compression of Mixture-of-Experts Through a Unified Framework</t>
  </si>
  <si>
    <t>Kolmogorov-Arnold Networks for Time Series: Bridging Predictive Power and Interpretability</t>
  </si>
  <si>
    <t>Ai-Sampler: Adversarial Learning of Markov kernels with involutive maps</t>
  </si>
  <si>
    <t>A Temporal Kolmogorov-Arnold Transformer for Time Series Forecasting</t>
  </si>
  <si>
    <t>Applying Fine-Tuned LLMs for Reducing Data Needs in Load Profile Analysis</t>
  </si>
  <si>
    <t>Landscape-Aware Growing: The Power of a Little LAG</t>
  </si>
  <si>
    <t>An Empirical Study into Clustering of Unseen Datasets with Self-Supervised Encoders</t>
  </si>
  <si>
    <t>Meta-Learners for Partially-Identified Treatment Effects Across Multiple Environments</t>
  </si>
  <si>
    <t>Offline Bayesian Aleatoric and Epistemic Uncertainty Quantification and Posterior Value Optimisation in Finite-State MDPs</t>
  </si>
  <si>
    <t>Harnessing Neural Unit Dynamics for Effective and Scalable Class-Incremental Learning</t>
  </si>
  <si>
    <t>Reducing Bias in Federated Class-Incremental Learning with Hierarchical Generative Prototypes</t>
  </si>
  <si>
    <t>A Generalized Apprenticeship Learning Framework for Modeling Heterogeneous Student Pedagogical Strategies</t>
  </si>
  <si>
    <t>Contextual Dynamic Pricing: Algorithms, Optimality, and Local Differential Privacy Constraints</t>
  </si>
  <si>
    <t>Improved Modelling of Federated Datasets using Mixtures-of-Dirichlet-Multinomials</t>
  </si>
  <si>
    <t>GrootVL: Tree Topology is All You Need in State Space Model</t>
  </si>
  <si>
    <t>Finding NeMo: Localizing Neurons Responsible For Memorization in Diffusion Models</t>
  </si>
  <si>
    <t>Temporal Graph Rewiring with Expander Graphs</t>
  </si>
  <si>
    <t>Using Self-supervised Learning Can Improve Model Fairness</t>
  </si>
  <si>
    <t>Language Models Do Hard Arithmetic Tasks Easily and Hardly Do Easy Arithmetic Tasks</t>
  </si>
  <si>
    <t>Label-wise Aleatoric and Epistemic Uncertainty Quantification</t>
  </si>
  <si>
    <t>System-Aware Neural ODE Processes for Few-Shot Bayesian Optimization</t>
  </si>
  <si>
    <t>AMOSL: Adaptive Modality-wise Structure Learning in Multi-view Graph Neural Networks For Enhanced Unified Representation</t>
  </si>
  <si>
    <t>Incorporating Navigation Context into Inland Vessel Trajectory Prediction: A Gaussian Mixture Model and Transformer Approach</t>
  </si>
  <si>
    <t>Cluster-Aware Similarity Diffusion for Instance Retrieval</t>
  </si>
  <si>
    <t>Polynomial-Augmented Neural Networks (PANNs) with Weak Orthogonality Constraints for Enhanced Function and PDE Approximation</t>
  </si>
  <si>
    <t>Extended Mind Transformers</t>
  </si>
  <si>
    <t>A Survey of Transformer Enabled Time Series Synthesis</t>
  </si>
  <si>
    <t>PeFAD: A Parameter-Efficient Federated Framework for Time Series Anomaly Detection</t>
  </si>
  <si>
    <t>Generative Conditional Distributions by Neural (Entropic) Optimal Transport</t>
  </si>
  <si>
    <t>Disentangled Representation via Variational AutoEncoder for Continuous Treatment Effect Estimation</t>
  </si>
  <si>
    <t>Effects of Exponential Gaussian Distribution on (Double Sampling) Randomized Smoothing</t>
  </si>
  <si>
    <t>Learning-Rate-Free Stochastic Optimization over Riemannian Manifolds</t>
  </si>
  <si>
    <t>How to Explore with Belief: State Entropy Maximization in POMDPs</t>
  </si>
  <si>
    <t>Smaller Batches, Bigger Gains? Investigating the Impact of Batch Sizes on Reinforcement Learning Based Real-World Production Scheduling</t>
  </si>
  <si>
    <t>An Axiomatic Approach to Loss Aggregation and an Adapted Aggregating Algorithm</t>
  </si>
  <si>
    <t>A Study of Optimizations for Fine-tuning Large Language Models</t>
  </si>
  <si>
    <t>Test-Time Regret Minimization in Meta Reinforcement Learning</t>
  </si>
  <si>
    <t>Analyzing the Benefits of Prototypes for Semi-Supervised Category Learning</t>
  </si>
  <si>
    <t>Reinforcement Learning with Lookahead Information</t>
  </si>
  <si>
    <t>SLTrain: a sparse plus low-rank approach for parameter and memory efficient pretraining</t>
  </si>
  <si>
    <t>On the Limitations of Fractal Dimension as a Measure of Generalization</t>
  </si>
  <si>
    <t>DNCs Require More Planning Steps</t>
  </si>
  <si>
    <t>Fast and Scalable Multi-Kernel Encoder Classifier</t>
  </si>
  <si>
    <t>Rectifying Reinforcement Learning for Reward Matching</t>
  </si>
  <si>
    <t>On The Statistical Representation Properties Of The Perturb-Softmax And The Perturb-Argmax Probability Distributions</t>
  </si>
  <si>
    <t>One-Shot Federated Learning with Bayesian Pseudocoresets</t>
  </si>
  <si>
    <t>AROMA: Preserving Spatial Structure for Latent PDE Modeling with Local Neural Fields</t>
  </si>
  <si>
    <t>Branches: A Fast Dynamic Programming and Branch &amp; Bound Algorithm for Optimal Decision Trees</t>
  </si>
  <si>
    <t>SaVeR: Optimal Data Collection Strategy for Safe Policy Evaluation in Tabular MDP</t>
  </si>
  <si>
    <t>Activation Bottleneck: Sigmoidal Neural Networks Cannot Forecast a Straight Line</t>
  </si>
  <si>
    <t>CondTSF: One-line Plugin of Dataset Condensation for Time Series Forecasting</t>
  </si>
  <si>
    <t>Iteration Head: A Mechanistic Study of Chain-of-Thought</t>
  </si>
  <si>
    <t>Kernel vs. Kernel: Exploring How the Data Structure Affects Neural Collapse</t>
  </si>
  <si>
    <t>ReLU-KAN: New Kolmogorov-Arnold Networks that Only Need Matrix Addition, Dot Multiplication, and ReLU</t>
  </si>
  <si>
    <t>Preference Optimization for Molecule Synthesis with Conditional Residual Energy-based Models</t>
  </si>
  <si>
    <t>Advancing Generalized Transfer Attack with Initialization Derived Bilevel Optimization and Dynamic Sequence Truncation</t>
  </si>
  <si>
    <t>Alice in Wonderland: Simple Tasks Showing Complete Reasoning Breakdown in State-Of-the-Art Large Language Models</t>
  </si>
  <si>
    <t>Graph Adversarial Diffusion Convolution</t>
  </si>
  <si>
    <t>CAP: A Context-Aware Neural Predictor for NAS</t>
  </si>
  <si>
    <t>PETRA: Parallel End-to-end Training with Reversible Architectures</t>
  </si>
  <si>
    <t>DFA-GNN: Forward Learning of Graph Neural Networks by Direct Feedback Alignment</t>
  </si>
  <si>
    <t>A Unifying Framework for Action-Conditional Self-Predictive Reinforcement Learning</t>
  </si>
  <si>
    <t>Inference Attacks in Machine Learning as a Service: A Taxonomy, Review, and Promising Directions</t>
  </si>
  <si>
    <t>On the Mode-Seeking Properties of Langevin Dynamics</t>
  </si>
  <si>
    <t>Verifying the Generalization of Deep Learning to Out-of-Distribution Domains</t>
  </si>
  <si>
    <t>Bayesian Mesh Optimization for Graph Neural Networks to Enhance Engineering Performance Prediction</t>
  </si>
  <si>
    <t>Mamba as Decision Maker: Exploring Multi-scale Sequence Modeling in Offline Reinforcement Learning</t>
  </si>
  <si>
    <t>Parameterizing Federated Continual Learning for Reproducible Research</t>
  </si>
  <si>
    <t>What Improves the Generalization of Graph Transformers? A Theoretical Dive into the Self-attention and Positional Encoding</t>
  </si>
  <si>
    <t>Can Dense Connectivity Benefit Outlier Detection? An Odyssey with NAS</t>
  </si>
  <si>
    <t>Multiway Multislice PHATE: Visualizing Hidden Dynamics of RNNs through Training</t>
  </si>
  <si>
    <t>Certifiably Byzantine-Robust Federated Conformal Prediction</t>
  </si>
  <si>
    <t>A Comparative Study of Sampling Methods with Cross-Validation in the FedHome Framework</t>
  </si>
  <si>
    <t>Generating Synthetic Net Load Data with Physics-informed Diffusion Model</t>
  </si>
  <si>
    <t>A Global Geometric Analysis of Maximal Coding Rate Reduction</t>
  </si>
  <si>
    <t>PDHG-Unrolled Learning-to-Optimize Method for Large-Scale Linear Programming</t>
  </si>
  <si>
    <t>Bifurcated Generative Flow Networks</t>
  </si>
  <si>
    <t>Cross-Domain Graph Data Scaling: A Showcase with Diffusion Models</t>
  </si>
  <si>
    <t>Explicitly Encoding Structural Symmetry is Key to Length Generalization in Arithmetic Tasks</t>
  </si>
  <si>
    <t>Understanding Stochastic Natural Gradient Variational Inference</t>
  </si>
  <si>
    <t>Neural Green's Operators for Parametric Partial Differential Equations</t>
  </si>
  <si>
    <t>Multi-Agent Reinforcement Learning Meets Leaf Sequencing in Radiotherapy</t>
  </si>
  <si>
    <t>Learning the Target Network in Function Space</t>
  </si>
  <si>
    <t>CAFO: Feature-Centric Explanation on Time Series Classification</t>
  </si>
  <si>
    <t>EMOE: Expansive Matching of Experts for Robust Uncertainty Based Rejection</t>
  </si>
  <si>
    <t>Causal Discovery with Fewer Conditional Independence Tests</t>
  </si>
  <si>
    <t>In-Context Learning of Physical Properties: Few-Shot Adaptation to Out-of-Distribution Molecular Graphs</t>
  </si>
  <si>
    <t>TabMDA: Tabular Manifold Data Augmentation for Any Classifier using Transformers with In-context Subsetting</t>
  </si>
  <si>
    <t>Online Control in Population Dynamics</t>
  </si>
  <si>
    <t>Towards the Transferability of Rewards Recovered via Regularized Inverse Reinforcement Learning</t>
  </si>
  <si>
    <t>AI-based Classification of Customer Support Tickets: State of the Art and Implementation with AutoML</t>
  </si>
  <si>
    <t>DEFT: Efficient Finetuning of Conditional Diffusion Models by Learning the Generalised h-transform</t>
  </si>
  <si>
    <t>How Does Gradient Descent Learn Features -- A Local Analysis for Regularized Two-Layer Neural Networks</t>
  </si>
  <si>
    <t>Non-Asymptotic Analysis for Single-Loop (Natural) Actor-Critic with Compatible Function Approximation</t>
  </si>
  <si>
    <t>Position: Cracking the Code of Cascading Disparity Towards Marginalized Communities</t>
  </si>
  <si>
    <t>Sparser, Better, Deeper, Stronger: Improving Sparse Training with Exact Orthogonal Initialization</t>
  </si>
  <si>
    <t>Optimizing the Optimal Weighted Average: Efficient Distributed Sparse Classification</t>
  </si>
  <si>
    <t>Learning-to-Cache: Accelerating Diffusion Transformer via Layer Caching</t>
  </si>
  <si>
    <t>Federated Learning-based Collaborative Wideband Spectrum Sensing and Scheduling for UAVs in UTM Systems</t>
  </si>
  <si>
    <t>A Diffusion Model Framework for Unsupervised Neural Combinatorial Optimization</t>
  </si>
  <si>
    <t>Self-Improving Robust Preference Optimization</t>
  </si>
  <si>
    <t>CoLa-DCE -- Concept-guided Latent Diffusion Counterfactual Explanations</t>
  </si>
  <si>
    <t>An Analysis under a Unified Fomulation of Learning Algorithms with Output Constraints</t>
  </si>
  <si>
    <t>iKAN: Global Incremental Learning with KAN for Human Activity Recognition Across Heterogeneous Datasets</t>
  </si>
  <si>
    <t>FNP: Fourier Neural Processes for Arbitrary-Resolution Data Assimilation</t>
  </si>
  <si>
    <t>TimeCMA: Towards LLM-Empowered Time Series Forecasting via Cross-Modality Alignment</t>
  </si>
  <si>
    <t>Parrot: Multilingual Visual Instruction Tuning</t>
  </si>
  <si>
    <t>TopViewRS: Vision-Language Models as Top-View Spatial Reasoners</t>
  </si>
  <si>
    <t>Mitigate Position Bias in Large Language Models via Scaling a Single Dimension</t>
  </si>
  <si>
    <t>Enhancing predictive imaging biomarker discovery through treatment effect analysis</t>
  </si>
  <si>
    <t>ReLUs Are Sufficient for Learning Implicit Neural Representations</t>
  </si>
  <si>
    <t>RoboCasa: Large-Scale Simulation of Everyday Tasks for Generalist Robots</t>
  </si>
  <si>
    <t>Guiding a Diffusion Model with a Bad Version of Itself</t>
  </si>
  <si>
    <t>Dropout MPC: An Ensemble Neural MPC Approach for Systems with Learned Dynamics</t>
  </si>
  <si>
    <t>Inpainting Pathology in Lumbar Spine MRI with Latent Diffusion</t>
  </si>
  <si>
    <t>Meta-Designing Quantum Experiments with Language Models</t>
  </si>
  <si>
    <t>Machine learning Hubbard parameters with equivariant neural networks</t>
  </si>
  <si>
    <t>Coresets for Multiple ℓp Regression</t>
  </si>
  <si>
    <t>Reweighted Solutions for Weighted Low Rank Approximation</t>
  </si>
  <si>
    <t>Contextual Optimization under Covariate Shift: A Robust Approach by Intersecting Wasserstein Balls</t>
  </si>
  <si>
    <t>IterMask2: Iterative Unsupervised Anomaly Segmentation via Spatial and Frequency Masking for Brain Lesions in MRI</t>
  </si>
  <si>
    <t>Representing Piecewise-Linear Functions by Functions with Minimal Arity</t>
  </si>
  <si>
    <t>Multiple Choice Questions and Large Languages Models: A Case Study with Fictional Medical Data</t>
  </si>
  <si>
    <t>Learning to Edit Visual Programs with Self-Supervision</t>
  </si>
  <si>
    <t>The complexity of approximate (coarse) correlated equilibrium for incomplete information games</t>
  </si>
  <si>
    <t>FedDr+: Stabilizing Dot-regression with Global Feature Distillation for Federated Learning</t>
  </si>
  <si>
    <t>Flash Diffusion: Accelerating Any Conditional Diffusion Model for Few Steps Image Generation</t>
  </si>
  <si>
    <t>Progressive Confident Masking Attention Network for Audio-Visual Segmentation</t>
  </si>
  <si>
    <t>Towards Neural Architecture Search for Transfer Learning in 6G Networks</t>
  </si>
  <si>
    <t>On Affine Homotopy between Language Encoders</t>
  </si>
  <si>
    <t>Continual Unsupervised Out-of-Distribution Detection</t>
  </si>
  <si>
    <t>An Independence-promoting Loss for Music Generation with Language Models</t>
  </si>
  <si>
    <t>Neural Thermodynamic Integration: Free Energies from Energy-based Diffusion Models</t>
  </si>
  <si>
    <t>Node-Level Topological Representation Learning on Point Clouds</t>
  </si>
  <si>
    <t>Solving Partial Differential Equations in Different Domains by Operator Learning method Based on Boundary Integral Equations</t>
  </si>
  <si>
    <t>Composite Quantile Regression With XGBoost Using the Novel Arctan Pinball Loss</t>
  </si>
  <si>
    <t>Towards Supervised Performance on Speaker Verification with Self-Supervised Learning by Leveraging Large-Scale ASR Models</t>
  </si>
  <si>
    <t>A KL-based Analysis Framework with Applications to Non-Descent Optimization Methods</t>
  </si>
  <si>
    <t>Graph Neural Networks Do Not Always Oversmooth</t>
  </si>
  <si>
    <t>MidiCaps -- A large-scale MIDI dataset with text captions</t>
  </si>
  <si>
    <t>Description Boosting for Zero-Shot Entity and Relation Classification</t>
  </si>
  <si>
    <t>Riemannian coordinate descent algorithms on matrix manifolds</t>
  </si>
  <si>
    <t>SMCL: Saliency Masked Contrastive Learning for Long-tailed Recognition</t>
  </si>
  <si>
    <t>The Deep Latent Space Particle Filter for Real-Time Data Assimilation with Uncertainty Quantification</t>
  </si>
  <si>
    <t>On the Recoverability of Causal Relations from Temporally Aggregated I.I.D. Data</t>
  </si>
  <si>
    <t>Learning the Hodgkin-Huxley Model with Operator Learning Techniques</t>
  </si>
  <si>
    <t>Radar Spectra-Language Model for Automotive Scene Parsing</t>
  </si>
  <si>
    <t>Online Learning and Information Exponents: On The Importance of Batch size, and Time/Complexity Tradeoffs</t>
  </si>
  <si>
    <t>Almost linear time differentially private release of synthetic graphs</t>
  </si>
  <si>
    <t>Learning Hamiltonian neural Koopman operator and simultaneously sustaining and discovering conservation law</t>
  </si>
  <si>
    <t>Optimality of Matrix Mechanism on ℓpp-metric</t>
  </si>
  <si>
    <t>SimulTron: On-Device Simultaneous Speech to Speech Translation</t>
  </si>
  <si>
    <t>CityLight: A Universal Model Towards Real-world City-scale Traffic Signal Control Coordination</t>
  </si>
  <si>
    <t>MaskSR: Masked Language Model for Full-band Speech Restoration</t>
  </si>
  <si>
    <t>FightLadder: A Benchmark for Competitive Multi-Agent Reinforcement Learning</t>
  </si>
  <si>
    <t>LongSSM: On the Length Extension of State-space Models in Language Modelling</t>
  </si>
  <si>
    <t>Tabular and Deep Learning for the Whittle Index</t>
  </si>
  <si>
    <t>Causal Effect Identification in LiNGAM Models with Latent Confounders</t>
  </si>
  <si>
    <t>QROA: A Black-Box Query-Response Optimization Attack on LLMs</t>
  </si>
  <si>
    <t>MetaMixer Is All You Need</t>
  </si>
  <si>
    <t>Adaptive and Optimal Second-order Optimistic Methods for Minimax Optimization</t>
  </si>
  <si>
    <t>Understanding Auditory Evoked Brain Signal via Physics-informed Embedding Network with Multi-Task Transformer</t>
  </si>
  <si>
    <t>DrEureka: Language Model Guided Sim-To-Real Transfer</t>
  </si>
  <si>
    <t>Adaptive Variance Reduction for Stochastic Optimization under Weaker Assumptions</t>
  </si>
  <si>
    <t>Data-Driven Approaches for Thrust Prediction in Underwater Flapping Fin Propulsion Systems</t>
  </si>
  <si>
    <t>Process-Driven Autoformalization in Lean 4</t>
  </si>
  <si>
    <t>Speeding up Policy Simulation in Supply Chain RL</t>
  </si>
  <si>
    <t>Orthogonal Causal Calibration</t>
  </si>
  <si>
    <t>GRAM: Generative Retrieval Augmented Matching of Data Schemas in the Context of Data Security</t>
  </si>
  <si>
    <t>CR-UTP: Certified Robustness against Universal Text Perturbations</t>
  </si>
  <si>
    <t>Non-uniformity is All You Need: Efficient and Timely Encrypted Traffic Classification With ECHO</t>
  </si>
  <si>
    <t>FacAID: A Transformer Model for Neuro-Symbolic Facade Reconstruction</t>
  </si>
  <si>
    <t>Diffusion Boosted Trees</t>
  </si>
  <si>
    <t>Fearless Stochasticity in Expectation Propagation</t>
  </si>
  <si>
    <t>Multi-agent assignment via state augmented reinforcement learning</t>
  </si>
  <si>
    <t>Efficient Data Distribution Estimation for Accelerated Federated Learning</t>
  </si>
  <si>
    <t>Model for Peanuts: Hijacking ML Models without Training Access is Possible</t>
  </si>
  <si>
    <t>Demystifying Platform Requirements for Diverse LLM Inference Use Cases</t>
  </si>
  <si>
    <t>An efficient solution to Hidden Markov Models on trees with coupled branches</t>
  </si>
  <si>
    <t>TinySV: Speaker Verification in TinyML with On-device Learning</t>
  </si>
  <si>
    <t>An efficient Wasserstein-distance approach for reconstructing jump-diffusion processes using parameterized neural networks</t>
  </si>
  <si>
    <t>Distributional bias compromises leave-one-out cross-validation</t>
  </si>
  <si>
    <t>FusionDTI: Fine-grained Binding Discovery with Token-level Fusion for Drug-Target Interaction</t>
  </si>
  <si>
    <t>TAGMol: Target-Aware Gradient-guided Molecule Generation</t>
  </si>
  <si>
    <t>On Overcoming Miscalibrated Conversational Priors in LLM-based Chatbots</t>
  </si>
  <si>
    <t>An LLM-based Recommender System Environment</t>
  </si>
  <si>
    <t>Equivariant amortized inference of poses for cryo-EM</t>
  </si>
  <si>
    <t>GenBench: A Benchmarking Suite for Systematic Evaluation of Genomic Foundation Models</t>
  </si>
  <si>
    <t>Unveiling Hidden Factors: Explainable AI for Feature Boosting in Speech Emotion Recognition</t>
  </si>
  <si>
    <t>Sifting through the Noise: A Survey of Diffusion Probabilistic Models and Their Applications to Biomolecules</t>
  </si>
  <si>
    <t>LightCPPgen: An Explainable Machine Learning Pipeline for Rational Design of Cell Penetrating Peptides</t>
  </si>
  <si>
    <t>System-2 Recommenders: Disentangling Utility and Engagement in Recommendation Systems via Temporal Point-Processes</t>
  </si>
  <si>
    <t>Judgement Citation Retrieval using Contextual Similarity</t>
  </si>
  <si>
    <t>Privacy-preserving recommender system using the data collaboration analysis for distributed datasets</t>
  </si>
  <si>
    <t>Backpropogation-Free Multi-modal On-Device Model Adaptation via Cloud-Device Collaboration</t>
  </si>
  <si>
    <t>Markov Chain Monte Carlo with Gaussian Process Emulation for a 1D Hemodynamics Model of CTEPH</t>
  </si>
  <si>
    <t>Quantum consistent neural/tensor networks for photonic circuits with strongly/weakly entangled states</t>
  </si>
  <si>
    <t>Schr\"{o}dinger Bridge with Quadratic State Cost is Exactly Solvable</t>
  </si>
  <si>
    <t>EditWorld: Simulating World Dynamics for Instruction-Following Image Editing</t>
  </si>
  <si>
    <t>RealCompo: Balancing Realism and Compositionality Improves Text-to-Image Diffusion Models</t>
  </si>
  <si>
    <t>Mastering Text-to-Image Diffusion: Recaptioning, Planning, and Generating with Multimodal LLMs</t>
  </si>
  <si>
    <t>Differentially Private Densest Subgraph Detection</t>
  </si>
  <si>
    <t>nn2poly: An R Package for Converting Neural Networks into Interpretable Polynomials</t>
  </si>
  <si>
    <t>Neural network learns low-dimensional polynomials with SGD near the information-theoretic limit</t>
  </si>
  <si>
    <t>An Equivalence Between Static and Dynamic Regret Minimization</t>
  </si>
  <si>
    <t>Unlocking Guidance for Discrete State-Space Diffusion and Flow Models</t>
  </si>
  <si>
    <t>Single Trajectory Conformal Prediction</t>
  </si>
  <si>
    <t>A New View on Planning in Online Reinforcement Learning</t>
  </si>
  <si>
    <t>Physics-informed deep learning and compressive collocation for high-dimensional diffusion-reaction equations: practical existence theory and numerics</t>
  </si>
  <si>
    <t>How to Count Coughs: An Event-Based Framework for Evaluating Automatic Cough Detection Algorithm Performance</t>
  </si>
  <si>
    <t>Physics-Informed Neural Networks for Dynamic Process Operations with Limited Physical Knowledge and Data</t>
  </si>
  <si>
    <t>MOSEAC: Streamlined Variable Time Step Reinforcement Learning</t>
  </si>
  <si>
    <t>Learning from Streaming Data when Users Choose</t>
  </si>
  <si>
    <t>Finding Optimally Robust Data Mixtures via Concave Maximization</t>
  </si>
  <si>
    <t>Inverse design of photonic surfaces on Inconel via multi-fidelity machine learning ensemble framework and high throughput femtosecond laser processing</t>
  </si>
  <si>
    <t>Understanding Preference Fine-Tuning Through the Lens of Coverage</t>
  </si>
  <si>
    <t>1461</t>
  </si>
  <si>
    <t>Hardness of Learning Neural Networks under the Manifold Hypothesis</t>
  </si>
  <si>
    <t>Differentially Private Tabular Data Synthesis using Large Language Models</t>
  </si>
  <si>
    <t>Asynchronous Multi-Server Federated Learning for Geo-Distributed Clients</t>
  </si>
  <si>
    <t>Grokking Modular Polynomials</t>
  </si>
  <si>
    <t>Solving Poisson Equations using Neural Walk-on-Spheres</t>
  </si>
  <si>
    <t>Highway Value Iteration Networks</t>
  </si>
  <si>
    <t>QJL: 1-Bit Quantized JL Transform for KV Cache Quantization with Zero Overhead</t>
  </si>
  <si>
    <t>Does your data spark joy? Performance gains from domain upsampling at the end of training</t>
  </si>
  <si>
    <t>Solving Differential Equations using Physics-Informed Deep Equilibrium Models</t>
  </si>
  <si>
    <t>Node-wise Filtering in Graph Neural Networks: A Mixture of Experts Approach</t>
  </si>
  <si>
    <t>3458</t>
  </si>
  <si>
    <t>Distributional Adversarial Loss</t>
  </si>
  <si>
    <t>Pre-trained Large Language Models Use Fourier Features to Compute Addition</t>
  </si>
  <si>
    <t>3437</t>
  </si>
  <si>
    <t>Transfer Learning for Latent Variable Network Models</t>
  </si>
  <si>
    <t>3434</t>
  </si>
  <si>
    <t>Unified PAC-Bayesian Study of Pessimism for Offline Policy Learning with Regularized Importance Sampling</t>
  </si>
  <si>
    <t>HelloFresh: LLM Evaluations on Streams of Real-World Human Editorial Actions across X Community Notes and Wikipedia edits</t>
  </si>
  <si>
    <t>Robust Knowledge Distillation Based on Feature Variance Against Backdoored Teacher Model</t>
  </si>
  <si>
    <t>Physics and geometry informed neural operator network with application to acoustic scattering</t>
  </si>
  <si>
    <t>LncRNA-disease association prediction method based on heterogeneous information completion and convolutional neural network</t>
  </si>
  <si>
    <t>Amalgam: A Framework for Obfuscated Neural Network Training on the Cloud</t>
  </si>
  <si>
    <t>ST-DPGAN: A Privacy-preserving Framework for Spatiotemporal Data Generation</t>
  </si>
  <si>
    <t>Structure-based Drug Design Benchmark: Do 3D Methods Really Dominate?</t>
  </si>
  <si>
    <t>Mixed-Precision Over-The-Air Federated Learning via Approximated Computing</t>
  </si>
  <si>
    <t>Methods for Class-Imbalanced Learning with Support Vector Machines: A Review and an Empirical Evaluation</t>
  </si>
  <si>
    <t>Noisy Data Visualization using Functional Data Analysis</t>
  </si>
  <si>
    <t>Author, Content or Sharers? Estimating Spread Dynamics with Bayesian Mixture Hawkes</t>
  </si>
  <si>
    <t>Learning Long Range Dependencies on Graphs via Random Walks</t>
  </si>
  <si>
    <t>What Matters in Hierarchical Search for Combinatorial Reasoning Problems?</t>
  </si>
  <si>
    <t>Cooperative learning of Pl@ntNet's Artificial Intelligence algorithm: how does it work and how can we improve it?</t>
  </si>
  <si>
    <t>Cartesia</t>
  </si>
  <si>
    <t>Verbalized Machine Learning: Revisiting Machine Learning with Language Models</t>
  </si>
  <si>
    <t>On the Expressive Power of Spectral Invariant Graph Neural Networks</t>
  </si>
  <si>
    <t>Simplified and Generalized Masked Diffusion for Discrete Data</t>
  </si>
  <si>
    <t>The Brain's Bitter Lesson: Scaling Speech Decoding With Self-Supervised Learning</t>
  </si>
  <si>
    <t>Causal Estimation of Memorisation Profiles</t>
  </si>
  <si>
    <t>ATraDiff: Accelerating Online Reinforcement Learning with Imaginary Trajectories</t>
  </si>
  <si>
    <t>Chimera: Effectively Modeling Multivariate Time Series with 2-Dimensional State Space Models</t>
  </si>
  <si>
    <t>Adaptive Sampling of k-Space in Magnetic Resonance for Rapid Pathology Prediction</t>
  </si>
  <si>
    <t>Regularized KL-Divergence for Well-Defined Function-Space Variational Inference in Bayesian neural networks</t>
  </si>
  <si>
    <t>Improving Alignment and Robustness with Short Circuiting</t>
  </si>
  <si>
    <t>Approximation-Aware Bayesian Optimization</t>
  </si>
  <si>
    <t>Semantically Diverse Language Generation for Uncertainty Estimation in Language Models</t>
  </si>
  <si>
    <t>Representational Alignment Supports Effective Machine Teaching</t>
  </si>
  <si>
    <t>NoisyGL: A Comprehensive Benchmark for Graph Neural Networks under Label Noise</t>
  </si>
  <si>
    <t>Stratified Prediction-Powered Inference for Hybrid Language Model Evaluation</t>
  </si>
  <si>
    <t>What is Dataset Distillation Learning?</t>
  </si>
  <si>
    <t>xMIL: Insightful Explanations for Multiple Instance Learning in Histopathology</t>
  </si>
  <si>
    <t>Generative AI-in-the-loop: Integrating LLMs and GPTs into the Next Generation Networks</t>
  </si>
  <si>
    <t>Self-Play with Adversarial Critic: Provable and Scalable Offline Alignment for Language Models</t>
  </si>
  <si>
    <t>Open-Endedness is Essential for Artificial Superhuman Intelligence</t>
  </si>
  <si>
    <t>Simulating, Fast and Slow: Learning Policies for Black-Box Optimization</t>
  </si>
  <si>
    <t>Data Measurements for Decentralized Data Markets</t>
  </si>
  <si>
    <t>Hypernetworks for Personalizing ASR to Atypical Speech</t>
  </si>
  <si>
    <t>Solving Inverse Problems in Protein Space Using Diffusion-Based Priors</t>
  </si>
  <si>
    <t>The CLRS-Text Algorithmic Reasoning Language Benchmark</t>
  </si>
  <si>
    <t>R-CONV: An Analytical Approach for Efficient Data Reconstruction via Convolutional Gradients</t>
  </si>
  <si>
    <t>Multi-Agent Imitation Learning: Value is Easy, Regret is Hard</t>
  </si>
  <si>
    <t>Aligning Agents like Large Language Models</t>
  </si>
  <si>
    <t>Towards Principled Superhuman AI for Multiplayer Symmetric Games</t>
  </si>
  <si>
    <t>Element-wise Multiplication Based Physics-informed Neural Networks</t>
  </si>
  <si>
    <t>Repurposing Language Models into Embedding Models: Finding the Compute-Optimal Recipe</t>
  </si>
  <si>
    <t>Learned Feature Importance Scores for Automated Feature Engineering</t>
  </si>
  <si>
    <t>Fast Redescription Mining Using Locality-Sensitive Hashing</t>
  </si>
  <si>
    <t>Optimal Batched Linear Bandits</t>
  </si>
  <si>
    <t>Compressible Dynamics in Deep Overparameterized Low-Rank Learning &amp; Adaptation</t>
  </si>
  <si>
    <t>From Tissue Plane to Organ World: A Benchmark Dataset for Multimodal Biomedical Image Registration using Deep Co-Attention Networks</t>
  </si>
  <si>
    <t>Multistep Distillation of Diffusion Models via Moment Matching</t>
  </si>
  <si>
    <t>Enhancing Weather Predictions: Super-Resolution via Deep Diffusion Models</t>
  </si>
  <si>
    <t>Scaling and evaluating sparse autoencoders</t>
  </si>
  <si>
    <t>Interpretable Lightweight Transformer via Unrolling of Learned Graph Smoothness Priors</t>
  </si>
  <si>
    <t>On Limitation of Transformer for Learning HMMs</t>
  </si>
  <si>
    <t>Deterministic Uncertainty Propagation for Improved Model-Based Offline Reinforcement Learning</t>
  </si>
  <si>
    <t>Bootstrapping Expectiles in Reinforcement Learning</t>
  </si>
  <si>
    <t>Batch-in-Batch: a new adversarial training framework for initial perturbation and sample selection</t>
  </si>
  <si>
    <t>Reassessing How to Compare and Improve the Calibration of Machine Learning Models</t>
  </si>
  <si>
    <t>Bisimulation Metrics are Optimal Transport Distances, and Can be Computed Efficiently</t>
  </si>
  <si>
    <t>Leveraging SPD Matrices on Riemannian Manifolds in Quantum Classical Hybrid Models for Structural Health Monitoring</t>
  </si>
  <si>
    <t>Multivector Neurons: Better and Faster O(n)-Equivariant Clifford Graph Neural Networks</t>
  </si>
  <si>
    <t>Energy-based Epistemic Uncertainty for Graph Neural Networks</t>
  </si>
  <si>
    <t>Linear Opinion Pooling for Uncertainty Quantification on Graphs</t>
  </si>
  <si>
    <t>Road Network Representation Learning with the Third Law of Geography</t>
  </si>
  <si>
    <t>Spatio-temporal Early Prediction based on Multi-objective Reinforcement Learning</t>
  </si>
  <si>
    <t>Unveiling the Dynamics of Information Interplay in Supervised Learning</t>
  </si>
  <si>
    <t>Position: Embracing Negative Results in Machine Learning</t>
  </si>
  <si>
    <t>Weight-based Decomposition: A Case for Bilinear MLPs</t>
  </si>
  <si>
    <t>Breeding Programs Optimization with Reinforcement Learning</t>
  </si>
  <si>
    <t>Provably Neural Active Learning Succeeds via Prioritizing Perplexing Samples</t>
  </si>
  <si>
    <t>A Probabilistic Approach to Learning the Degree of Equivariance in Steerable CNNs</t>
  </si>
  <si>
    <t>Latent Neural Operator for Solving Forward and Inverse PDE Problems</t>
  </si>
  <si>
    <t>Towards Physically Consistent Deep Learning For Climate Model Parameterizations</t>
  </si>
  <si>
    <t>Vectorized Conditional Neural Fields: A Framework for Solving Time-dependent Parametric Partial Differential Equations</t>
  </si>
  <si>
    <t>Neuro-Symbolic Temporal Point Processes</t>
  </si>
  <si>
    <t>Transductive Off-policy Proximal Policy Optimization</t>
  </si>
  <si>
    <t>Exploring Pessimism and Optimism Dynamics in Deep Reinforcement Learning</t>
  </si>
  <si>
    <t>BiomedBench: A benchmark suite of TinyML biomedical applications for low-power wearables</t>
  </si>
  <si>
    <t>Memorization in deep learning: A survey</t>
  </si>
  <si>
    <t>Decay Pruning Method: Smooth Pruning With a Self-Rectifying Procedure</t>
  </si>
  <si>
    <t>Quantum Implicit Neural Representations</t>
  </si>
  <si>
    <t>PairNet: Training with Observed Pairs to Estimate Individual Treatment Effect</t>
  </si>
  <si>
    <t>Behavior-Targeted Attack on Reinforcement Learning with Limited Access to Victim's Policy</t>
  </si>
  <si>
    <t>MuJo: Multimodal Joint Feature Space Learning for Human Activity Recognition</t>
  </si>
  <si>
    <t>A Noise-robust Multi-head Attention Mechanism for Formation Resistivity Prediction: Frequency Aware LSTM</t>
  </si>
  <si>
    <t>Open Problem: Active Representation Learning</t>
  </si>
  <si>
    <t>Exploiting Global Graph Homophily for Generalized Defense in Graph Neural Networks</t>
  </si>
  <si>
    <t>Predictability Analysis of Regression Problems via Conditional Entropy Estimations</t>
  </si>
  <si>
    <t>Subspace Clustering in Wavelet Packets Domain</t>
  </si>
  <si>
    <t>How to Scale Inverse RL to Large State Spaces? A Provably Efficient Approach</t>
  </si>
  <si>
    <t>Cross-variable Linear Integrated ENhanced Transformer for Photovoltaic power forecasting</t>
  </si>
  <si>
    <t>3794</t>
  </si>
  <si>
    <t>Infusing Self-Consistency into Density Functional Theory Hamiltonian Prediction via Deep Equilibrium Models</t>
  </si>
  <si>
    <t>Low-Rank Similarity Mining for Multimodal Dataset Distillation</t>
  </si>
  <si>
    <t>Speed of Light Exact Greedy Decoding for RNN-T Speech Recognition Models on GPU</t>
  </si>
  <si>
    <t>Enhancing Graph U-Nets for Mesh-Agnostic Spatio-Temporal Flow Prediction</t>
  </si>
  <si>
    <t>Empirical Guidelines for Deploying LLMs onto Resource-constrained Edge Devices</t>
  </si>
  <si>
    <t>DeepRacer on Physical Track: Parameters Exploration and Performance Evaluation</t>
  </si>
  <si>
    <t>Enhancing In-Context Learning Performance with just SVD-Based Weight Pruning: A Theoretical Perspective</t>
  </si>
  <si>
    <t>Adaptive Multi-Scale Decomposition Framework for Time Series Forecasting</t>
  </si>
  <si>
    <t>Your Absorbing Discrete Diffusion Secretly Models the Conditional Distributions of Clean Data</t>
  </si>
  <si>
    <t>Credit Card Fraud Detection Using Advanced Transformer Model</t>
  </si>
  <si>
    <t>Quality-Diversity with Limited Resources</t>
  </si>
  <si>
    <t>FastGAS: Fast Graph-based Annotation Selection for In-Context Learning</t>
  </si>
  <si>
    <t>Enhancing Sign Language Detection through Mediapipe and Convolutional Neural Networks (CNN)</t>
  </si>
  <si>
    <t>Efficient Graph Encoder Embedding for Large Sparse Graphs in Python</t>
  </si>
  <si>
    <t>Offline Multi-Objective Optimization</t>
  </si>
  <si>
    <t>TwinS: Revisiting Non-Stationarity in Multivariate Time Series Forecasting</t>
  </si>
  <si>
    <t>What Should Embeddings Embed? Autoregressive Models Represent Latent Generating Distributions</t>
  </si>
  <si>
    <t>Excluding the Irrelevant: Focusing Reinforcement Learning through Continuous Action Masking</t>
  </si>
  <si>
    <t>BindGPT: A Scalable Framework for 3D Molecular Design via Language Modeling and Reinforcement Learning</t>
  </si>
  <si>
    <t>Bayesian Power Steering: An Effective Approach for Domain Adaptation of Diffusion Models</t>
  </si>
  <si>
    <t>A Universal Class of Sharpness-Aware Minimization Algorithms</t>
  </si>
  <si>
    <t>Meta-learning for Positive-unlabeled Classification</t>
  </si>
  <si>
    <t>Reflective Policy Optimization</t>
  </si>
  <si>
    <t>PANDA: Expanded Width-Aware Message Passing Beyond Rewiring</t>
  </si>
  <si>
    <t>Towards Dynamic Trend Filtering through Trend Point Detection with Reinforcement Learning</t>
  </si>
  <si>
    <t>The Missing Curve Detectors of InceptionV1: Applying Sparse Autoencoders to InceptionV1 Early Vision</t>
  </si>
  <si>
    <t>Inductive Generalization in Reinforcement Learning from Specifications</t>
  </si>
  <si>
    <t>Decision-focused Graph Neural Networks for Combinatorial Optimization</t>
  </si>
  <si>
    <t>Discovering Bias in Latent Space: An Unsupervised Debiasing Approach</t>
  </si>
  <si>
    <t>Private Online Learning via Lazy Algorithms</t>
  </si>
  <si>
    <t>Symmetry Discovery Beyond Affine Transformations</t>
  </si>
  <si>
    <t>Advancing Anomaly Detection: Non-Semantic Financial Data Encoding with LLMs</t>
  </si>
  <si>
    <t>FedPylot: Navigating Federated Learning for Real-Time Object Detection in Internet of Vehicles</t>
  </si>
  <si>
    <t>Alignment Calibration: Machine Unlearning for Contrastive Learning under Auditing</t>
  </si>
  <si>
    <t>A Comparison of Recent Algorithms for Symbolic Regression to Genetic Programming</t>
  </si>
  <si>
    <t>Reconciling Heterogeneous Effects in Causal Inference</t>
  </si>
  <si>
    <t>A Geometric View of Data Complexity: Efficient Local Intrinsic Dimension Estimation with Diffusion Models</t>
  </si>
  <si>
    <t>Noise-Aware Algorithm for Heterogeneous Differentially Private Federated Learning</t>
  </si>
  <si>
    <t>MagiNet: Mask-Aware Graph Imputation Network for Incomplete Traffic Data</t>
  </si>
  <si>
    <t>Mutual Information Guided Backdoor Mitigation for Pre-trained Encoders</t>
  </si>
  <si>
    <t>Robust Prediction Model for Multidimensional and Unbalanced Datasets</t>
  </si>
  <si>
    <t>Fuzzy Convolution Neural Networks for Tabular Data Classification</t>
  </si>
  <si>
    <t>Dynamic and Adaptive Feature Generation with LLM</t>
  </si>
  <si>
    <t>Coarse-To-Fine Tensor Trains for Compact Visual Representations</t>
  </si>
  <si>
    <t>PaCE: Parsimonious Concept Engineering for Large Language Models</t>
  </si>
  <si>
    <t>VidMuse: A Simple Video-to-Music Generation Framework with Long-Short-Term Modeling</t>
  </si>
  <si>
    <t>ReFiNe: Recursive Field Networks for Cross-modal Multi-scene Representation</t>
  </si>
  <si>
    <t>Vision-LSTM: xLSTM as Generic Vision Backbone</t>
  </si>
  <si>
    <t>Transformers need glasses! Information over-squashing in language tasks</t>
  </si>
  <si>
    <t>Online learning of quantum processes</t>
  </si>
  <si>
    <t>Online learning of a panoply of quantum objects</t>
  </si>
  <si>
    <t>What Do Language Models Learn in Context? The Structured Task Hypothesis</t>
  </si>
  <si>
    <t>mCSQA: Multilingual Commonsense Reasoning Dataset with Unified Creation Strategy by Language Models and Humans</t>
  </si>
  <si>
    <t>Shield Synthesis for LTL Modulo Theories</t>
  </si>
  <si>
    <t>Essentially Sharp Estimates on the Entropy Regularization Error in Discrete Discounted Markov Decision Processes</t>
  </si>
  <si>
    <t>Pointer-Guided Pre-Training: Infusing Large Language Models with Paragraph-Level Contextual Awareness</t>
  </si>
  <si>
    <t>Improving Physics-Augmented Continuum Neural Radiance Field-Based Geometry-Agnostic System Identification with Lagrangian Particle Optimization</t>
  </si>
  <si>
    <t>Redundancy-aware Action Spaces for Robot Learning</t>
  </si>
  <si>
    <t>Do Language Models Understand Morality? Towards a Robust Detection of Moral Content</t>
  </si>
  <si>
    <t>Stochastic Polyak Step-sizes and Momentum: Convergence Guarantees and Practical Performance</t>
  </si>
  <si>
    <t>Legal Judgment Reimagined: PredEx and the Rise of Intelligent AI Interpretation in Indian Courts</t>
  </si>
  <si>
    <t>A Large-Scale Neutral Comparison Study of Survival Models on Low-Dimensional Data</t>
  </si>
  <si>
    <t>Dynamic angular synchronization under smoothness constraints</t>
  </si>
  <si>
    <t>Slicing Mutual Information Generalization Bounds for Neural Networks</t>
  </si>
  <si>
    <t>Shaping History: Advanced Machine Learning Techniques for the Analysis and Dating of Cuneiform Tablets over Three Millennia</t>
  </si>
  <si>
    <t>Pre-trained Transformer Uncovers Meaningful Patterns in Human Mobility Data</t>
  </si>
  <si>
    <t>4012</t>
  </si>
  <si>
    <t>Variational inference, Mixture of Gaussians, Bayesian Machine Learning</t>
  </si>
  <si>
    <t>HackAtari: Atari Learning Environments for Robust and Continual Reinforcement Learning</t>
  </si>
  <si>
    <t>Mini Honor of Kings: A Lightweight Environment for Multi-Agent Reinforcement Learning</t>
  </si>
  <si>
    <t>Statistical Multicriteria Benchmarking via the GSD-Front</t>
  </si>
  <si>
    <t>GenSafe: A Generalizable Safety Enhancer for Safe Reinforcement Learning Algorithms Based on Reduced Order Markov Decision Process Model</t>
  </si>
  <si>
    <t>Data-Centric Label Smoothing for Explainable Glaucoma Screening from Eye Fundus Images</t>
  </si>
  <si>
    <t>Polyp and Surgical Instrument Segmentation with Double Encoder-Decoder Networks</t>
  </si>
  <si>
    <t>Data-driven discovery of self-similarity using neural networks</t>
  </si>
  <si>
    <t>Polyhedral Conic Classifier for CTR Prediction</t>
  </si>
  <si>
    <t>Why the Metric Backbone Preserves Community Structure</t>
  </si>
  <si>
    <t>A Survey on Intelligent Internet of Things: Applications, Security, Privacy, and Future Directions</t>
  </si>
  <si>
    <t>Amortized Equation Discovery in Hybrid Dynamical Systems</t>
  </si>
  <si>
    <t>Spherinator and HiPSter: Representation Learning for Unbiased Knowledge Discovery from Simulations</t>
  </si>
  <si>
    <t>Projection-Free Variance Reduction Methods for Stochastic Constrained Multi-Level Compositional Optimization</t>
  </si>
  <si>
    <t>Privacy Preserving Semi-Decentralized Mean Estimation over Intermittently-Connected Networks</t>
  </si>
  <si>
    <t>RoboCoder: Robotic Learning from Basic Skills to General Tasks with Large Language Models</t>
  </si>
  <si>
    <t>Instance Segmentation and Teeth Classification in Panoramic X-rays</t>
  </si>
  <si>
    <t>ReDistill: Residual Encoded Distillation for Peak Memory Reduction</t>
  </si>
  <si>
    <t>Phase-Amplitude Reduction-Based Imitation Learning</t>
  </si>
  <si>
    <t>A Survey on Medical Large Language Models: Technology, Application, Trustworthiness, and Future Directions</t>
  </si>
  <si>
    <t>Synthesizing Conversations from Unlabeled Documents using Automatic Response Segmentation</t>
  </si>
  <si>
    <t>Discrete error dynamics of mini-batch gradient descent for least squares regression</t>
  </si>
  <si>
    <t>On the Effects of Data Scale on Computer Control Agents</t>
  </si>
  <si>
    <t>A Hybrid Deep Learning Classification of Perimetric Glaucoma Using Peripapillary Nerve Fiber Layer Reflectance and Other OCT Parameters from Three Anatomy Regions</t>
  </si>
  <si>
    <t>Equivalence Set Restricted Latent Class Models (ESRLCM)</t>
  </si>
  <si>
    <t>Ensembling Portfolio Strategies for Long-Term Investments: A Distribution-Free Preference Framework for Decision-Making and Algorithms</t>
  </si>
  <si>
    <t>Is Free Self-Alignment Possible?</t>
  </si>
  <si>
    <t>Style Mixture of Experts for Expressive Text-To-Speech Synthesis</t>
  </si>
  <si>
    <t>Synthetic Programming Elicitation and Repair for Text-to-Code in Very Low-Resource Programming Languages</t>
  </si>
  <si>
    <t>Active ML for 6G: Towards Efficient Data Generation, Acquisition, and Annotation</t>
  </si>
  <si>
    <t>Synthetic Oversampling: Theory and A Practical Approach Using LLMs to Address Data Imbalance</t>
  </si>
  <si>
    <t>BEACON: A Bayesian Optimization Strategy for Novelty Search in Expensive Black-Box Systems</t>
  </si>
  <si>
    <t>Hi5: 2D Hand Pose Estimation with Zero Human Annotation</t>
  </si>
  <si>
    <t>Why is "Problems" Predictive of Positive Sentiment? A Case Study of Explaining Unintuitive Features in Sentiment Classification</t>
  </si>
  <si>
    <t>BVE + EKF: A viewpoint estimator for the estimation of the object's position in the 3D task space using Extended Kalman Filters</t>
  </si>
  <si>
    <t>CountCLIP -- [Re] Teaching CLIP to Count to Ten</t>
  </si>
  <si>
    <t>A Simple Learning-Augmented Algorithm for Online Packing with Concave Objectives</t>
  </si>
  <si>
    <t>GFN: A graph feedforward network for resolution-invariant reduced operator learning in multifidelity applications</t>
  </si>
  <si>
    <t>Neural empirical interpolation method for nonlinear model reduction</t>
  </si>
  <si>
    <t>Robust Communication and Computation using Deep Learning via Joint Uncertainty Injection</t>
  </si>
  <si>
    <t>VideoPhy: Evaluating Physical Commonsense for Video Generation</t>
  </si>
  <si>
    <t>Buffered Asynchronous Secure Aggregation for Cross-Device Federated Learning</t>
  </si>
  <si>
    <t>A New Branch-and-Bound Pruning Framework for ℓ0-Regularized Problems</t>
  </si>
  <si>
    <t>Position: Rethinking Post-Hoc Search-Based Neural Approaches for Solving Large-Scale Traveling Salesman Problems</t>
  </si>
  <si>
    <t>Llumnix: Dynamic Scheduling for Large Language Model Serving</t>
  </si>
  <si>
    <t>Graphon Mean Field Games with a Representative Player: Analysis and Learning Algorithm</t>
  </si>
  <si>
    <t>Information-driven Affordance Discovery for Efficient Robotic Manipulation</t>
  </si>
  <si>
    <t>Position: A Call to Action for a Human-Centered AutoML Paradigm</t>
  </si>
  <si>
    <t>Normalizing Flows for Conformal Regression</t>
  </si>
  <si>
    <t>Feature Contamination: Neural Networks Learn Uncorrelated Features and Fail to Generalize</t>
  </si>
  <si>
    <t>Tackling GenAI Copyright Issues: Originality Estimation and Genericization</t>
  </si>
  <si>
    <t>Identifying latent state transition in non-linear dynamical systems</t>
  </si>
  <si>
    <t>Reparameterization invariance in approximate Bayesian inference</t>
  </si>
  <si>
    <t>UDQL: Bridging The Gap between MSE Loss and The Optimal Value Function in Offline Reinforcement Learning</t>
  </si>
  <si>
    <t>Reproducibility study of FairAC</t>
  </si>
  <si>
    <t>Embarrassingly Parallel GFlowNets</t>
  </si>
  <si>
    <t>FusionBench: A Comprehensive Benchmark of Deep Model Fusion</t>
  </si>
  <si>
    <t>Using GNN property predictors as molecule generators</t>
  </si>
  <si>
    <t>Revisiting Scalable Hessian Diagonal Approximations for Applications in Reinforcement Learning</t>
  </si>
  <si>
    <t>Deep Generative Models for Proton Zero Degree Calorimeter Simulations in ALICE, CERN</t>
  </si>
  <si>
    <t>On the Maximal Local Disparity of Fairness-Aware Classifiers</t>
  </si>
  <si>
    <t>Generating Explanations for Cellular Neural Networks</t>
  </si>
  <si>
    <t>Near-field Beamforming for Extremely Large-scale MIMO Based on Unsupervised Deep Learning</t>
  </si>
  <si>
    <t>Variational Pseudo Marginal Methods for Jet Reconstruction in Particle Physics</t>
  </si>
  <si>
    <t>Fine-Grained Causal Dynamics Learning with Quantization for Improving Robustness in Reinforcement Learning</t>
  </si>
  <si>
    <t>Choice of PEFT Technique in Continual Learning: Prompt Tuning is Not All You Need</t>
  </si>
  <si>
    <t>Inferring the time-varying coupling of dynamical systems with temporal convolutional autoencoders</t>
  </si>
  <si>
    <t>Challenges and Considerations in the Evaluation of Bayesian Causal Discovery</t>
  </si>
  <si>
    <t>Initialization-enhanced Physics-Informed Neural Network with Domain Decomposition (IDPINN)</t>
  </si>
  <si>
    <t>Topological Neural Networks go Persistent, Equivariant, and Continuous</t>
  </si>
  <si>
    <t>Ethical considerations of use of hold-out sets in clinical prediction model management</t>
  </si>
  <si>
    <t>Detecting Model Misspecification in Amortized Bayesian Inference with Neural Networks: An Extended Investigation</t>
  </si>
  <si>
    <t>Sample-specific Masks for Visual Reprogramming-based Prompting</t>
  </si>
  <si>
    <t>Aligning Transformers with Weisfeiler-Leman</t>
  </si>
  <si>
    <t>E(n) Equivariant Message Passing Cellular Networks</t>
  </si>
  <si>
    <t>On the Power of Randomization in Fair Classification and Representation</t>
  </si>
  <si>
    <t>Continual Traffic Forecasting via Mixture of Experts</t>
  </si>
  <si>
    <t>Computational Limits of Low-Rank Adaptation (LoRA) for Transformer-Based Models</t>
  </si>
  <si>
    <t>MESS: Modern Electronic Structure Simulations</t>
  </si>
  <si>
    <t>DEER: A Delay-Resilient Framework for Reinforcement Learning with Variable Delays</t>
  </si>
  <si>
    <t>Graph Convolutional Branch and Bound</t>
  </si>
  <si>
    <t>Enhancing the Resilience of Graph Neural Networks to Topological Perturbations in Sparse Graphs</t>
  </si>
  <si>
    <t>Exploring User Retrieval Integration towards Large Language Models for Cross-Domain Sequential Recommendation</t>
  </si>
  <si>
    <t>Learning Solutions of Stochastic Optimization Problems with Bayesian Neural Networks</t>
  </si>
  <si>
    <t>Towards Federated Domain Unlearning: Verification Methodologies and Challenges</t>
  </si>
  <si>
    <t>Local to Global: Learning Dynamics and Effect of Initialization for Transformers</t>
  </si>
  <si>
    <t>How Truncating Weights Improves Reasoning in Language Models</t>
  </si>
  <si>
    <t>Decision Boundary-aware Knowledge Consolidation Generates Better Instance-Incremental Learner</t>
  </si>
  <si>
    <t>Path-Specific Causal Reasoning for Fairness-aware Cognitive Diagnosis</t>
  </si>
  <si>
    <t>Predicting unobserved climate time series data at distant areas via spatial correlation using reservoir computing</t>
  </si>
  <si>
    <t>Efficient Exploration of the Rashomon Set of Rule Set Models</t>
  </si>
  <si>
    <t>BWS: Best Window Selection Based on Sample Scores for Data Pruning across Broad Ranges</t>
  </si>
  <si>
    <t>Are Your Models Still Fair? Fairness Attacks on Graph Neural Networks via Node Injections</t>
  </si>
  <si>
    <t>Population Transformer: Learning Population-level Representations of Intracranial Activity</t>
  </si>
  <si>
    <t>Optimal Multi-Fidelity Best-Arm Identification</t>
  </si>
  <si>
    <t>Analyzing the Influence of Training Samples on Explanations</t>
  </si>
  <si>
    <t>Residual Connections and Normalization Can Provably Prevent Oversmoothing in GNNs</t>
  </si>
  <si>
    <t>Quantifying Task Priority for Multi-Task Optimization</t>
  </si>
  <si>
    <t>Local vs. Global Interpretability: A Computational Complexity Perspective</t>
  </si>
  <si>
    <t>Tensor Polynomial Additive Model</t>
  </si>
  <si>
    <t>Efficient User Sequence Learning for Online Services via Compressed Graph Neural Networks</t>
  </si>
  <si>
    <t>Filtered not Mixed: Stochastic Filtering-Based Online Gating for Mixture of Large Language Models</t>
  </si>
  <si>
    <t>PrE-Text: Training Language Models on Private Federated Data in the Age of LLMs</t>
  </si>
  <si>
    <t>GraphAlign: Pretraining One Graph Neural Network on Multiple Graphs via Feature Alignment</t>
  </si>
  <si>
    <t>Pruner-Zero: Evolving Symbolic Pruning Metric from scratch for Large Language Models</t>
  </si>
  <si>
    <t>A comprehensive and FAIR comparison between MLP and KAN representations for differential equations and operator networks</t>
  </si>
  <si>
    <t>Zeroth-Order Fine-Tuning of LLMs with Extreme Sparsity</t>
  </si>
  <si>
    <t>Scaling Laws for Reward Model Overoptimization in Direct Alignment Algorithms</t>
  </si>
  <si>
    <t>Nonlinear Transformations Against Unlearnable Datasets</t>
  </si>
  <si>
    <t>FedStaleWeight: Buffered Asynchronous Federated Learning with Fair Aggregation via Staleness Reweighting</t>
  </si>
  <si>
    <t>Leveraging KANs For Enhanced Deep Koopman Operator Discovery</t>
  </si>
  <si>
    <t>Combinatorial Optimization with Automated Graph Neural Networks</t>
  </si>
  <si>
    <t>Oscillations enhance time-series prediction in reservoir computing with feedback</t>
  </si>
  <si>
    <t>Exact Conversion of In-Context Learning to Model Weights in Linearized-Attention Transformers</t>
  </si>
  <si>
    <t>Conditional Idempotent Generative Networks</t>
  </si>
  <si>
    <t>Stochastic Diffusion: A Diffusion Probabilistic Model for Stochastic Time Series Forecasting</t>
  </si>
  <si>
    <t>Randomized Geometric Algebra Methods for Convex Neural Networks</t>
  </si>
  <si>
    <t>Auditing Privacy Mechanisms via Label Inference Attacks</t>
  </si>
  <si>
    <t>Building Socially-Equitable Public Models</t>
  </si>
  <si>
    <t>MS-IMAP -- A Multi-Scale Graph Embedding Approach for Interpretable Manifold Learning</t>
  </si>
  <si>
    <t>Diagnostic Digital Twin for Anomaly Detection in Floating Offshore Wind Energy</t>
  </si>
  <si>
    <t>Cyclic Sparse Training: Is it Enough?</t>
  </si>
  <si>
    <t>Hyperbolic Benchmarking Unveils Network Topology-Feature Relationship in GNN Performance</t>
  </si>
  <si>
    <t>Improved context-sensitive transformer model for inland vessel trajectory prediction</t>
  </si>
  <si>
    <t>Short-term Inland Vessel Trajectory Prediction with Encoder-Decoder Models</t>
  </si>
  <si>
    <t>Spatial and social situation-aware transformer-based trajectory prediction of autonomous systems</t>
  </si>
  <si>
    <t>Adaptive Preference Scaling for Reinforcement Learning with Human Feedback</t>
  </si>
  <si>
    <t>Measuring Stochastic Data Complexity with Boltzmann Influence Functions</t>
  </si>
  <si>
    <t>Long Range Propagation on Continuous-Time Dynamic Graphs</t>
  </si>
  <si>
    <t>Synthetic Data Outliers: Navigating Identity Disclosure</t>
  </si>
  <si>
    <t>GEFL: Extended Filtration Learning for Graph Classification</t>
  </si>
  <si>
    <t>Temporal Graph Learning Recurrent Neural Network for Traffic Forecasting</t>
  </si>
  <si>
    <t>Optimal Rates for DP-SCO with a Single Epoch and Large Batches</t>
  </si>
  <si>
    <t>Self-Trained Model for ECG Complex Delineation</t>
  </si>
  <si>
    <t>Operational Latent Spaces</t>
  </si>
  <si>
    <t>iQRL -- Implicitly Quantized Representations for Sample-efficient Reinforcement Learning</t>
  </si>
  <si>
    <t>RoutePlacer: An End-to-End Routability-Aware Placer with Graph Neural Network</t>
  </si>
  <si>
    <t>By Fair Means or Foul: Quantifying Collusion in a Market Simulation with Deep Reinforcement Learning</t>
  </si>
  <si>
    <t>Exploring Effects of Hyperdimensional Vectors for Tsetlin Machines</t>
  </si>
  <si>
    <t>E-ICL: Enhancing Fine-Grained Emotion Recognition through the Lens of Prototype Theory</t>
  </si>
  <si>
    <t>EchoMamba4Rec: Harmonizing Bidirectional State Space Models with Spectral Filtering for Advanced Sequential Recommendation</t>
  </si>
  <si>
    <t>Evidentially Calibrated Source-Free Time-Series Domain Adaptation with Temporal Imputation</t>
  </si>
  <si>
    <t>Progressive Inference: Explaining Decoder-Only Sequence Classification Models Using Intermediate Predictions</t>
  </si>
  <si>
    <t>Adaptive Layer Splitting for Wireless LLM Inference in Edge Computing: A Model-Based Reinforcement Learning Approach</t>
  </si>
  <si>
    <t>A hybrid numerical methodology coupling Reduced Order Modeling and Graph Neural Networks for non-parametric geometries: applications to structural dynamics problems</t>
  </si>
  <si>
    <t>Frequency Enhanced Pre-training for Cross-city Few-shot Traffic Forecasting</t>
  </si>
  <si>
    <t>LOLA: LLM-Assisted Online Learning Algorithm for Content Experiments</t>
  </si>
  <si>
    <t>Is Data Valuation Learnable and Interpretable?</t>
  </si>
  <si>
    <t>ACCO: Accumulate while you Communicate, Hiding Communications in Distributed LLM Training</t>
  </si>
  <si>
    <t>Less is More: Pseudo-Label Filtering for Continual Test-Time Adaptation</t>
  </si>
  <si>
    <t>Multimodal Deep Learning for Low-Resource Settings: A Vector Embedding Alignment Approach for Healthcare Applications</t>
  </si>
  <si>
    <t>D-FaST: Cognitive Signal Decoding with Disentangled Frequency-Spatial-Temporal Attention</t>
  </si>
  <si>
    <t>Gated recurrent neural network with TPE Bayesian optimization for enhancing stock index prediction accuracy</t>
  </si>
  <si>
    <t>Data Quality in Edge Machine Learning: A State-of-the-Art Survey</t>
  </si>
  <si>
    <t>Towards Learning Foundation Models for Heuristic Functions to Solve Pathfinding Problems</t>
  </si>
  <si>
    <t>CoNO: Complex Neural Operator for Continous Dynamical Physical Systems</t>
  </si>
  <si>
    <t>Slow and Steady Wins the Race: Maintaining Plasticity with Hare and Tortoise Networks</t>
  </si>
  <si>
    <t>Graph Neural Networks for Brain Graph Learning: A Survey</t>
  </si>
  <si>
    <t>LOLAMEME: Logic, Language, Memory, Mechanistic Framework</t>
  </si>
  <si>
    <t>Unveiling the Potential of AI for Nanomaterial Morphology Prediction</t>
  </si>
  <si>
    <t>Capturing Climatic Variability: Using Deep Learning for Stochastic Downscaling</t>
  </si>
  <si>
    <t>Contextual Counting: A Mechanistic Study of Transformers on a Quantitative Task</t>
  </si>
  <si>
    <t>Planetary Causal Inference: Implications for the Geography of Poverty</t>
  </si>
  <si>
    <t>Exploring the Potential of Polynomial Basis Functions in Kolmogorov-Arnold Networks: A Comparative Study of Different Groups of Polynomials</t>
  </si>
  <si>
    <t>Spatiotemporal Predictions of Toxic Urban Plumes Using Deep Learning</t>
  </si>
  <si>
    <t>Constrained or Unconstrained? Neural-Network-Based Equation Discovery from Data</t>
  </si>
  <si>
    <t>Pretrained Mobility Transformer: A Foundation Model for Human Mobility</t>
  </si>
  <si>
    <t>Wings: Learning Multimodal LLMs without Text-only Forgetting</t>
  </si>
  <si>
    <t>Convolutional Neural Networks and Vision Transformers for Fashion MNIST Classification: A Literature Review</t>
  </si>
  <si>
    <t>The PESQetarian: On the Relevance of Goodhart's Law for Speech Enhancement</t>
  </si>
  <si>
    <t>FILS: Self-Supervised Video Feature Prediction In Semantic Language Space</t>
  </si>
  <si>
    <t>Cycles of Thought: Measuring LLM Confidence through Stable Explanations</t>
  </si>
  <si>
    <t>Training of Physical Neural Networks</t>
  </si>
  <si>
    <t>Posterior and variational inference for deep neural networks with heavy-tailed weights</t>
  </si>
  <si>
    <t>SpikeLM: Towards General Spike-Driven Language Modeling via Elastic Bi-Spiking Mechanisms</t>
  </si>
  <si>
    <t>Multi-Microphone Speech Emotion Recognition using the Hierarchical Token-semantic Audio Transformer Architecture</t>
  </si>
  <si>
    <t>No-Regret Algorithms for Safe Bayesian Optimization with Monotonicity Constraints</t>
  </si>
  <si>
    <t>Feature learning in finite-width Bayesian deep linear networks with multiple outputs and convolutional layers</t>
  </si>
  <si>
    <t>Relaxed Quantile Regression: Prediction Intervals for Asymmetric Noise</t>
  </si>
  <si>
    <t>CommonPower: Supercharging Machine Learning for Smart Grids</t>
  </si>
  <si>
    <t>Defending Large Language Models Against Attacks With Residual Stream Activation Analysis</t>
  </si>
  <si>
    <t>Global Clipper: Enhancing Safety and Reliability of Transformer-based Object Detection Models</t>
  </si>
  <si>
    <t>Bayesian WeakS-to-Strong from Text Classification to Generation</t>
  </si>
  <si>
    <t>The Impossibility of Fair LLMs</t>
  </si>
  <si>
    <t>Graph Neural Network Explanations are Fragile</t>
  </si>
  <si>
    <t>High-Dimensional Kernel Methods under Covariate Shift: Data-Dependent Implicit Regularization</t>
  </si>
  <si>
    <t>A Combination Model Based on Sequential General Variational Mode Decomposition Method for Time Series Prediction</t>
  </si>
  <si>
    <t>Dynamic Spectral Clustering with Provable Approximation Guarantee</t>
  </si>
  <si>
    <t>Which Side Are You On? A Multi-task Dataset for End-to-End Argument Summarisation and Evaluation</t>
  </si>
  <si>
    <t>Tiny models from tiny data: Textual and null-text inversion for few-shot distillation</t>
  </si>
  <si>
    <t>A Combination Model for Time Series Prediction using LSTM via Extracting Dynamic Features Based on Spatial Smoothing and Sequential General Variational Mode Decomposition</t>
  </si>
  <si>
    <t>Floating Anchor Diffusion Model for Multi-motif Scaffolding</t>
  </si>
  <si>
    <t>RevRIR: Joint Reverberant Speech and Room Impulse Response Embedding using Contrastive Learning with Application to Room Shape Classification</t>
  </si>
  <si>
    <t>EgoSurgery-Tool: A Dataset of Surgical Tool and Hand Detection from Egocentric Open Surgery Videos</t>
  </si>
  <si>
    <t>HASS: Hardware-Aware Sparsity Search for Dataflow DNN Accelerator</t>
  </si>
  <si>
    <t>Lossless Image Compression Using Multi-level Dictionaries: Binary Images</t>
  </si>
  <si>
    <t>Task-Oriented Wireless Communications for Collaborative Perception in Intelligent Unmanned Systems</t>
  </si>
  <si>
    <t>From Tarzan to Tolkien: Controlling the Language Proficiency Level of LLMs for Content Generation</t>
  </si>
  <si>
    <t>BadAgent: Inserting and Activating Backdoor Attacks in LLM Agents</t>
  </si>
  <si>
    <t>Quantum Algorithms and Lower Bounds for Finite-Sum Optimization</t>
  </si>
  <si>
    <t>Which exceptional low-dimensional projections of a Gaussian point cloud can be found in polynomial time?</t>
  </si>
  <si>
    <t>Adversarial Moment-Matching Distillation of Large Language Models</t>
  </si>
  <si>
    <t>Achieving Near-Optimal Convergence for Distributed Minimax Optimization with Adaptive Stepsizes</t>
  </si>
  <si>
    <t>Exploring Data Efficiency in Zero-Shot Learning with Diffusion Models</t>
  </si>
  <si>
    <t>Multivariate Physics-Informed Convolutional Autoencoder for Anomaly Detection in Power Distribution Systems with High Penetration of DERs</t>
  </si>
  <si>
    <t>SYN2REAL: Leveraging Task Arithmetic for Mitigating Synthetic-Real Discrepancies in ASR Domain Adaptation</t>
  </si>
  <si>
    <t>Text Injection for Neural Contextual Biasing</t>
  </si>
  <si>
    <t>Visual-Text Cross Alignment: Refining the Similarity Score in Vision-Language Models</t>
  </si>
  <si>
    <t>A Bi-metric Framework for Fast Similarity Search</t>
  </si>
  <si>
    <t>Representation Learning For Efficient Deep Multi-Agent Reinforcement Learning</t>
  </si>
  <si>
    <t>HYDRA: Model Factorization Framework for Black-Box LLM Personalization</t>
  </si>
  <si>
    <t>Prediction-powered Generalization of Causal Inferences</t>
  </si>
  <si>
    <t>TSPDiffuser: Diffusion Models as Learned Samplers for Traveling Salesperson Path Planning Problems</t>
  </si>
  <si>
    <t>You Only Accept Samples Once: Fast, Self-Correcting Stochastic Variational Inference</t>
  </si>
  <si>
    <t>Efficient Minimum Bayes Risk Decoding using Low-Rank Matrix Completion Algorithms</t>
  </si>
  <si>
    <t>Exploring Robustness in Doctor-Patient Conversation Summarization: An Analysis of Out-of-Domain SOAP Notes</t>
  </si>
  <si>
    <t>ORACLE: Leveraging Mutual Information for Consistent Character Generation with LoRAs in Diffusion Models</t>
  </si>
  <si>
    <t>ACCORD: Closing the Commonsense Measurability Gap</t>
  </si>
  <si>
    <t>Private Stochastic Convex Optimization with Heavy Tails: Near-Optimality from Simple Reductions</t>
  </si>
  <si>
    <t>Disentangling Logic: The Role of Context in Large Language Model Reasoning Capabilities</t>
  </si>
  <si>
    <t>Event-horizon-scale Imaging of M87* under Different Assumptions via Deep Generative Image Priors</t>
  </si>
  <si>
    <t>LADI v2: Multi-label Dataset and Classifiers for Low-Altitude Disaster Imagery</t>
  </si>
  <si>
    <t>Precise asymptotics of reweighted least-squares algorithms for linear diagonal networks</t>
  </si>
  <si>
    <t>Discovering Dynamic Symbolic Policies with Genetic Programming</t>
  </si>
  <si>
    <t>Multi-layer Learnable Attention Mask for Multimodal Tasks</t>
  </si>
  <si>
    <t>Aligning Large Language Models via Fine-grained Supervision</t>
  </si>
  <si>
    <t>DPDR: Gradient Decomposition and Reconstruction for Differentially Private Deep Learning</t>
  </si>
  <si>
    <t>Tolerant Algorithms for Learning with Arbitrary Covariate Shift</t>
  </si>
  <si>
    <t>Window to Wall Ratio Detection using SegFormer</t>
  </si>
  <si>
    <t>Symmetric Kernels with Non-Symmetric Data: A Data-Agnostic Learnability Bound</t>
  </si>
  <si>
    <t>Block Transformer: Global-to-Local Language Modeling for Fast Inference</t>
  </si>
  <si>
    <t>kNN Classification of Malware Data Dependency Graph Features</t>
  </si>
  <si>
    <t>Pancreatic Tumor Segmentation as Anomaly Detection in CT Images Using Denoising Diffusion Models</t>
  </si>
  <si>
    <t>RepCNN: Micro-sized, Mighty Models for Wakeword Detection</t>
  </si>
  <si>
    <t>Keyword-Guided Adaptation of Automatic Speech Recognition</t>
  </si>
  <si>
    <t>Astral: training physics-informed neural networks with error majorants</t>
  </si>
  <si>
    <t>Edit Distance Robust Watermarks for Language Models</t>
  </si>
  <si>
    <t>Redefining DDoS Attack Detection Using A Dual-Space Prototypical Network-Based Approach</t>
  </si>
  <si>
    <t>SSNet: A Lightweight Multi-Party Computation Scheme for Practical Privacy-Preserving Machine Learning Service in the Cloud</t>
  </si>
  <si>
    <t>Replicability in High Dimensional Statistics</t>
  </si>
  <si>
    <t>Unelicitable Backdoors in Language Models via Cryptographic Transformer Circuits</t>
  </si>
  <si>
    <t>MoFormer: Multi-objective Antimicrobial Peptide Generation Based on Conditional Transformer Joint Multi-modal Fusion Descriptor</t>
  </si>
  <si>
    <t>PPINtonus: Early Detection of Parkinson's Disease Using Deep-Learning Tonal Analysis</t>
  </si>
  <si>
    <t>Know Your Neighborhood: General and Zero-Shot Capable Binary Function Search Powered by Call Graphlets</t>
  </si>
  <si>
    <t>A Novel Defense Against Poisoning Attacks on Federated Learning: LayerCAM Augmented with Autoencoder</t>
  </si>
  <si>
    <t>Distortion-free Watermarks are not Truly Distortion-free under Watermark Key Collisions</t>
  </si>
  <si>
    <t>Exploiting Chaotic Dynamics as Deep Neural Networks</t>
  </si>
  <si>
    <t>An Open-Source Framework for Efficient Numerically-Tailored Computations</t>
  </si>
  <si>
    <t>Are PPO-ed Language Models Hackable?</t>
  </si>
  <si>
    <t>Cross-Modal Safety Alignment: Is textual unlearning all you need?</t>
  </si>
  <si>
    <t>Selfsupervised learning for pathological speech detection</t>
  </si>
  <si>
    <t>Combining X-Vectors and Bayesian Batch Active Learning: Two-Stage Active Learning Pipeline for Speech Recognition</t>
  </si>
  <si>
    <t>Less Peaky and More Accurate CTC Forced Alignment by Label Priors</t>
  </si>
  <si>
    <t>Hear Me, See Me, Understand Me: Audio-Visual Autism Behavior Recognition</t>
  </si>
  <si>
    <t>Towards Practical Single-shot Motion Synthesis</t>
  </si>
  <si>
    <t>Asynchronous Byzantine Federated Learning</t>
  </si>
  <si>
    <t>Learning Analysis of Kernel Ridgeless Regression with Asymmetric Kernel Learning</t>
  </si>
  <si>
    <t>Universal In-Context Approximation By Prompting Fully Recurrent Models</t>
  </si>
  <si>
    <t>Value Improved Actor Critic Algorithms</t>
  </si>
  <si>
    <t>Mixup Augmentation with Multiple Interpolations</t>
  </si>
  <si>
    <t>Adapting Conformal Prediction to Distribution Shifts Without Labels</t>
  </si>
  <si>
    <t>CE-NAS: An End-to-End Carbon-Efficient Neural Architecture Search Framework</t>
  </si>
  <si>
    <t>Using Constraints to Discover Sparse and Alternative Subgroup Descriptions</t>
  </si>
  <si>
    <t>RL in Latent MDPs is Tractable: Online Guarantees via Off-Policy Evaluation</t>
  </si>
  <si>
    <t>Combinatorial Multivariant Multi-Armed Bandits with Applications to Episodic Reinforcement Learning and Beyond</t>
  </si>
  <si>
    <t>A Theory of Learnability for Offline Decision Making</t>
  </si>
  <si>
    <t>Learning to Play Atari in a World of Tokens</t>
  </si>
  <si>
    <t>BMRS: Bayesian Model Reduction for Structured Pruning</t>
  </si>
  <si>
    <t>The Intelligible and Effective Graph Neural Additive Networks</t>
  </si>
  <si>
    <t>Resource-constrained Fairness</t>
  </si>
  <si>
    <t>Continuous Geometry-Aware Graph Diffusion via Hyperbolic Neural PDE</t>
  </si>
  <si>
    <t>Expected Grad-CAM: Towards gradient faithfulness</t>
  </si>
  <si>
    <t>What makes unlearning hard and what to do about it</t>
  </si>
  <si>
    <t>On the Nonlinearity of Layer Normalization</t>
  </si>
  <si>
    <t>Equivariant Machine Learning on Graphs with Nonlinear Spectral Filters</t>
  </si>
  <si>
    <t>Achieving Tractable Minimax Optimal Regret in Average Reward MDPs</t>
  </si>
  <si>
    <t>AGALE: A Graph-Aware Continual Learning Evaluation Framework</t>
  </si>
  <si>
    <t>Sparsity-Agnostic Linear Bandits with Adaptive Adversaries</t>
  </si>
  <si>
    <t>MultiMax: Sparse and Multi-Modal Attention Learning</t>
  </si>
  <si>
    <t>Automatic Input Feature Relevance via Spectral Neural Networks</t>
  </si>
  <si>
    <t>Deep Reinforcement Learning Behavioral Mode Switching Using Optimal Control Based on a Latent Space Objective</t>
  </si>
  <si>
    <t>NeoRL: Efficient Exploration for Nonepisodic RL</t>
  </si>
  <si>
    <t>When to Sense and Control? A Time-adaptive Approach for Continuous-Time RL</t>
  </si>
  <si>
    <t>Conditional Gumbel-Softmax for constrained feature selection with application to node selection in wireless sensor networks</t>
  </si>
  <si>
    <t>Looking Backward: Retrospective Backward Synthesis for Goal-Conditioned GFlowNets</t>
  </si>
  <si>
    <t>SAVA: Scalable Learning-Agnostic Data Valuation</t>
  </si>
  <si>
    <t>Latent Logic Tree Extraction for Event Sequence Explanation from LLMs</t>
  </si>
  <si>
    <t>Accelerating Heterogeneous Federated Learning with Closed-form Classifiers</t>
  </si>
  <si>
    <t>Cohort Squeeze: Beyond a Single Communication Round per Cohort in Cross-Device Federated Learning</t>
  </si>
  <si>
    <t>1114</t>
  </si>
  <si>
    <t>Globally Interpretable Classifiers via Boolean Formulas with Dynamic Propositions</t>
  </si>
  <si>
    <t>Deep reinforcement learning for weakly coupled MDP's with continuous actions</t>
  </si>
  <si>
    <t>Learning Decision Trees and Forests with Algorithmic Recourse</t>
  </si>
  <si>
    <t>1086</t>
  </si>
  <si>
    <t>Effective Subset Selection Through The Lens of Neural Network Pruning</t>
  </si>
  <si>
    <t>Topology-Aware Dynamic Reweighting for Distribution Shifts on Graph</t>
  </si>
  <si>
    <t>Causal prompting model-based offline reinforcement learning</t>
  </si>
  <si>
    <t>Confidence-Based Task Prediction in Continual Disease Classification Using Probability Distribution</t>
  </si>
  <si>
    <t>LLM and GNN are Complementary: Distilling LLM for Multimodal Graph Learning</t>
  </si>
  <si>
    <t>Scalable Ensembling For Mitigating Reward Overoptimisation</t>
  </si>
  <si>
    <t>Attention-based Iterative Decomposition for Tensor Product Representation</t>
  </si>
  <si>
    <t>Seeing the Forest through the Trees: Data Leakage from Partial Transformer Gradients</t>
  </si>
  <si>
    <t>Constraint-Aware Diffusion Models for Trajectory Optimization</t>
  </si>
  <si>
    <t>Enhancing Fairness in Unsupervised Graph Anomaly Detection through Disentanglement</t>
  </si>
  <si>
    <t>Navigating Conflicting Views: Harnessing Trust for Learning</t>
  </si>
  <si>
    <t>State Space Models on Temporal Graphs: A First-Principles Study</t>
  </si>
  <si>
    <t>Faster Diffusion-based Sampling with Randomized Midpoints: Sequential and Parallel</t>
  </si>
  <si>
    <t>Pretrained Hybrids with MAD Skills</t>
  </si>
  <si>
    <t>889</t>
  </si>
  <si>
    <t>Reservoir History Matching of the Norne field with generative exotic priors and a coupled Mixture of Experts -- Physics Informed Neural Operator Forward Model</t>
  </si>
  <si>
    <t>Evidence of Learned Look-Ahead in a Chess-Playing Neural Network</t>
  </si>
  <si>
    <t>Dual Policy Reinforcement Learning for Real-time Rebalancing in Bike-sharing Systems</t>
  </si>
  <si>
    <t>LinkLogic: A New Method and Benchmark for Explainable Knowledge Graph Predictions</t>
  </si>
  <si>
    <t>Local Methods with Adaptivity via Scaling</t>
  </si>
  <si>
    <t>Learning-Based Verification of Stochastic Dynamical Systems with Neural Network Policies</t>
  </si>
  <si>
    <t>Invisible Backdoor Attacks on Diffusion Models</t>
  </si>
  <si>
    <t>Expected Possession Value of Control and Duel Actions for Soccer Player's Skills Estimation</t>
  </si>
  <si>
    <t>Envisioning Outlier Exposure by Large Language Models for Out-of-Distribution Detection</t>
  </si>
  <si>
    <t>Extrapolability Improvement of Machine Learning-Based Evapotranspiration Models via Domain-Adversarial Neural Networks</t>
  </si>
  <si>
    <t>Ensemble Deep Random Vector Functional Link Neural Network Based on Fuzzy Inference System</t>
  </si>
  <si>
    <t>MagR: Weight Magnitude Reduction for Enhancing Post-Training Quantization</t>
  </si>
  <si>
    <t>Differentiation of Multi-objective Data-driven Decision Pipeline</t>
  </si>
  <si>
    <t>Constrained Adaptive Attack: Effective Adversarial Attack Against Deep Neural Networks for Tabular Data</t>
  </si>
  <si>
    <t>Diffusion Tuning: Transferring Diffusion Models via Chain of Forgetting</t>
  </si>
  <si>
    <t>Scaling Tractable Probabilistic Circuits: A Systems Perspective</t>
  </si>
  <si>
    <t>IENE: Identifying and Extrapolating the Node Environment for Out-of-Distribution Generalization on Graphs</t>
  </si>
  <si>
    <t>Shared-unique Features and Task-aware Prioritized Sampling on Multi-task Reinforcement Learning</t>
  </si>
  <si>
    <t>Augmenting the FedProx Algorithm by Minimizing Convergence</t>
  </si>
  <si>
    <t>Global Rewards in Restless Multi-Armed Bandits</t>
  </si>
  <si>
    <t>GLADformer: A Mixed Perspective for Graph-level Anomaly Detection</t>
  </si>
  <si>
    <t>Learning Multimodal Behaviors from Scratch with Diffusion Policy Gradient</t>
  </si>
  <si>
    <t>Bridging Multicalibration and Out-of-distribution Generalization Beyond Covariate Shift</t>
  </si>
  <si>
    <t>Generalized Exponentiated Gradient Algorithms and Their Application to On-Line Portfolio Selection</t>
  </si>
  <si>
    <t>FuRL: Visual-Language Models as Fuzzy Rewards for Reinforcement Learning</t>
  </si>
  <si>
    <t>Improving GFlowNets for Text-to-Image Diffusion Alignment</t>
  </si>
  <si>
    <t>A Multi-Graph Convolutional Neural Network Model for Short-Term Prediction of Turning Movements at Signalized Intersections</t>
  </si>
  <si>
    <t>Efficient Monte Carlo Tree Search via On-the-Fly State-Conditioned Action Abstraction</t>
  </si>
  <si>
    <t>DISCRET: Synthesizing Faithful Explanations For Treatment Effect Estimation</t>
  </si>
  <si>
    <t>Robust Fair Clustering with Group Membership Uncertainty Sets</t>
  </si>
  <si>
    <t>Multi-variable Adversarial Time-Series Forecast Model</t>
  </si>
  <si>
    <t>Generalization Bound and New Algorithm for Clean-Label Backdoor Attack</t>
  </si>
  <si>
    <t>ContextFlow++: Generalist-Specialist Flow-based Generative Models with Mixed-Variable Context Encoding</t>
  </si>
  <si>
    <t>VOICE: Variance of Induced Contrastive Explanations to quantify Uncertainty in Neural Network Interpretability</t>
  </si>
  <si>
    <t>A Gaussian Process-based Streaming Algorithm for Prediction of Time Series With Regimes and Outliers</t>
  </si>
  <si>
    <t>Redefining Contributions: Shapley-Driven Federated Learning</t>
  </si>
  <si>
    <t>An Unsupervised Approach for Periodic Source Detection in Time Series</t>
  </si>
  <si>
    <t>Learning to Approximate Particle Smoothing Trajectories via Diffusion Generative Models</t>
  </si>
  <si>
    <t>Graph Neural Network Training Systems: A Performance Comparison of Full-Graph and Mini-Batch</t>
  </si>
  <si>
    <t>Strategic Linear Contextual Bandits</t>
  </si>
  <si>
    <t>LIDAO: Towards Limited Interventions for Debiasing (Large) Language Models</t>
  </si>
  <si>
    <t>Leveraging Knowlegde Graphs for Interpretable Feature Generation</t>
  </si>
  <si>
    <t>CONFINE: Conformal Prediction for Interpretable Neural Networks</t>
  </si>
  <si>
    <t>Causal Contrastive Learning for Counterfactual Regression Over Time</t>
  </si>
  <si>
    <t>On the Use of Anchoring for Training Vision Models</t>
  </si>
  <si>
    <t>Adaptive boosting with dynamic weight adjustment</t>
  </si>
  <si>
    <t>Learning Discrete Concepts in Latent Hierarchical Models</t>
  </si>
  <si>
    <t>Empirical influence functions to understand the logic of fine-tuning</t>
  </si>
  <si>
    <t>Conformal Transformation of Kernels: A Geometric Perspective on Text Classification</t>
  </si>
  <si>
    <t>Activation-Descent Regularization for Input Optimization of ReLU Networks</t>
  </si>
  <si>
    <t>Efficient Sign-Based Optimization: Accelerating Convergence via Variance Reduction</t>
  </si>
  <si>
    <t>Federated Model Heterogeneous Matryoshka Representation Learning</t>
  </si>
  <si>
    <t>Optimistic Rates for Learning from Label Proportions</t>
  </si>
  <si>
    <t>Exploring the limits of Hierarchical World Models in Reinforcement Learning</t>
  </si>
  <si>
    <t>Learning to Solve Multiresolution Matrix Factorization by Manifold Optimization and Evolutionary Metaheuristics</t>
  </si>
  <si>
    <t>Mix-of-Granularity: Optimize the Chunking Granularity for Retrieval-Augmented Generation</t>
  </si>
  <si>
    <t>Towards a Unified Framework of Clustering-based Anomaly Detection</t>
  </si>
  <si>
    <t>Stein Random Feature Regression</t>
  </si>
  <si>
    <t>SpaFL: Communication-Efficient Federated Learning with Sparse Models and Low computational Overhead</t>
  </si>
  <si>
    <t>InterpreTabNet: Distilling Predictive Signals from Tabular Data by Salient Feature Interpretation</t>
  </si>
  <si>
    <t>GATE: How to Keep Out Intrusive Neighbors</t>
  </si>
  <si>
    <t>Posterior Label Smoothing for Node Classification</t>
  </si>
  <si>
    <t>Dual-perspective Cross Contrastive Learning in Graph Transformers</t>
  </si>
  <si>
    <t>Stochastic Restarting to Overcome Overfitting in Neural Networks with Noisy Labels</t>
  </si>
  <si>
    <t>Learning Causal Abstractions of Linear Structural Causal Models</t>
  </si>
  <si>
    <t>Alternative Methods to SHAP Derived from Properties of Kernels: A Note on Theoretical Analysis</t>
  </si>
  <si>
    <t>Modeling Randomly Observed Spatiotemporal Dynamical Systems</t>
  </si>
  <si>
    <t>Benchmarking for Deep Uplift Modeling in Online Marketing</t>
  </si>
  <si>
    <t>A Structured Review of Literature on Uncertainty in Machine Learning &amp; Deep Learning</t>
  </si>
  <si>
    <t>Do's and Don'ts: Learning Desirable Skills with Instruction Videos</t>
  </si>
  <si>
    <t>KGLink: A column type annotation method that combines knowledge graph and pre-trained language model</t>
  </si>
  <si>
    <t>FedAST: Federated Asynchronous Simultaneous Training</t>
  </si>
  <si>
    <t>Coded Computing: A Learning-Theoretic Framework</t>
  </si>
  <si>
    <t>Multi-objective Neural Architecture Search by Learning Search Space Partitions</t>
  </si>
  <si>
    <t>Neural Optimal Transport with Lagrangian Costs</t>
  </si>
  <si>
    <t>Cross-Table Pretraining towards a Universal Function Space for Heterogeneous Tabular Data</t>
  </si>
  <si>
    <t>Non-destructive Degradation Pattern Decoupling for Ultra-early Battery Prototype Verification Using Physics-informed Machine Learning</t>
  </si>
  <si>
    <t xml:space="preserve">Contrastive Learning Via Equivariant Representation </t>
  </si>
  <si>
    <t>Privacy Challenges in Meta-Learning: An Investigation on Model-Agnostic Meta-Learning</t>
  </si>
  <si>
    <t>Exploring Vulnerabilities and Protections in Large Language Models: A Survey</t>
  </si>
  <si>
    <t>Learning to Stabilize Unknown LTI Systems on a Single Trajectory under Stochastic Noise</t>
  </si>
  <si>
    <t>Mamba State-Space Models Can Be Strong Downstream Learners</t>
  </si>
  <si>
    <t>Flexible and Efficient Surrogate Gradient Modeling with Forward Gradient Injection</t>
  </si>
  <si>
    <t>μLO: Compute-Efficient Meta-Generalization of Learned Optimizers</t>
  </si>
  <si>
    <t>Non-Federated Multi-Task Split Learning for Heterogeneous Sources</t>
  </si>
  <si>
    <t>Query2CAD: Generating CAD models using natural language queries</t>
  </si>
  <si>
    <t>Anomaly Detection in Dynamic Graphs: A Comprehensive Survey</t>
  </si>
  <si>
    <t>Streamflow Prediction with Uncertainty Quantification for Water Management: A Constrained Reasoning and Learning Approach</t>
  </si>
  <si>
    <t>QuanTA: Efficient High-Rank Fine-Tuning of LLMs with Quantum-Informed Tensor Adaptation</t>
  </si>
  <si>
    <t>How In-Context Learning Emerges from Training on Unstructured Data: On the Role of Co-Occurrence, Positional Information, and Noise Structures</t>
  </si>
  <si>
    <t>Reward Machines for Deep RL in Noisy and Uncertain Environments</t>
  </si>
  <si>
    <t>ADEP: A Novel Approach Based on Discriminator-Enhanced Encoder-Decoder Architecture for Accurate Prediction of Adverse Effects in Polypharmacy</t>
  </si>
  <si>
    <t>Scalable Bayesian Learning with posteriors</t>
  </si>
  <si>
    <t>From Structured to Unstructured:A Comparative Analysis of Computer Vision and Graph Models in solving Mesh-based PDEs</t>
  </si>
  <si>
    <t>An Efficient Multi Quantile Regression Network with Ad Hoc Prevention of Quantile Crossing</t>
  </si>
  <si>
    <t>Decision Mamba: Reinforcement Learning via Hybrid Selective Sequence Modeling</t>
  </si>
  <si>
    <t>Arbitrary Length Generalization for Addition</t>
  </si>
  <si>
    <t>A Novel Review of Stability Techniques for Improved Privacy-Preserving Machine Learning</t>
  </si>
  <si>
    <t>STAT: Shrinking Transformers After Training</t>
  </si>
  <si>
    <t>DiffUHaul: A Training-Free Method for Object Dragging in Images</t>
  </si>
  <si>
    <t>Text-guided Controllable Mesh Refinement for Interactive 3D Modeling</t>
  </si>
  <si>
    <t>Tilting the Odds at the Lottery: the Interplay of Overparameterisation and Curricula in Neural Networks</t>
  </si>
  <si>
    <t>Decomposing and Interpreting Image Representations via Text in ViTs Beyond CLIP</t>
  </si>
  <si>
    <t>Stochastic Bilevel Optimization with Lower-Level Contextual Markov Decision Processes</t>
  </si>
  <si>
    <t>Helix: Distributed Serving of Large Language Models via Max-Flow on Heterogeneous GPUs</t>
  </si>
  <si>
    <t>Long and Short Guidance in Score identity Distillation for One-Step Text-to-Image Generation</t>
  </si>
  <si>
    <t>Learning equivariant tensor functions with applications to sparse vector recovery</t>
  </si>
  <si>
    <t>Learning from Mistakes: a Weakly-supervised Method for Mitigating the Distribution Shift in Autonomous Vehicle Planning</t>
  </si>
  <si>
    <t>Beyond symmetrization: effective adjacency matrices and renormalization for (un)singed directed graphs</t>
  </si>
  <si>
    <t>The Geometry of Categorical and Hierarchical Concepts in Large Language Models</t>
  </si>
  <si>
    <t>Robust Classification by Coupling Data Mollification with Label Smoothing</t>
  </si>
  <si>
    <t>Online Optimization Perspective on First-Order and Zero-Order Decentralized Nonsmooth Nonconvex Stochastic Optimization</t>
  </si>
  <si>
    <t>Stochastic Newton Proximal Extragradient Method</t>
  </si>
  <si>
    <t>Understanding Token Probability Encoding in Output Embeddings</t>
  </si>
  <si>
    <t>Automatic Fused Multimodal Deep Learning for Plant Identification</t>
  </si>
  <si>
    <t>Enabling ASR for Low-Resource Languages: A Comprehensive Dataset Creation Approach</t>
  </si>
  <si>
    <t>Problematizing AI Omnipresence in Landscape Architecture</t>
  </si>
  <si>
    <t>Mixture of Rationale: Multi-Modal Reasoning Mixture for Visual Question Answering</t>
  </si>
  <si>
    <t>Efficient Computation Using Spatial-Photonic Ising Machines: Utilizing Low-Rank and Circulant Matrix Constraints</t>
  </si>
  <si>
    <t>From Feature Visualization to Visual Circuits: Effect of Adversarial Model Manipulation</t>
  </si>
  <si>
    <t>Sequence-to-Sequence Multi-Modal Speech In-Painting</t>
  </si>
  <si>
    <t>Scale-Free Image Keypoints Using Differentiable Persistent Homology</t>
  </si>
  <si>
    <t>Improved Few-Shot Jailbreaking Can Circumvent Aligned Language Models and Their Defenses</t>
  </si>
  <si>
    <t>Large Language Models as Recommender Systems: A Study of Popularity Bias</t>
  </si>
  <si>
    <t>fruit-SALAD: A Style Aligned Artwork Dataset to reveal similarity perception in image embeddings</t>
  </si>
  <si>
    <t>Lifting Factor Graphs with Some Unknown Factors</t>
  </si>
  <si>
    <t>DumpKV: Learning based lifetime aware garbage collection for key value separation in LSM-tree</t>
  </si>
  <si>
    <t>ControlSpeech: Towards Simultaneous Zero-shot Speaker Cloning and Zero-shot Language Style Control With Decoupled Codec</t>
  </si>
  <si>
    <t>Scaling Up Deep Clustering Methods Beyond ImageNet-1K</t>
  </si>
  <si>
    <t>S-CycleGAN: Semantic Segmentation Enhanced CT-Ultrasound Image-to-Image Translation for Robotic Ultrasonography</t>
  </si>
  <si>
    <t>Patch-Based Encoder-Decoder Architecture for Automatic Transmitted Light to Fluorescence Imaging Transition: Contribution to the LightMyCells Challenge</t>
  </si>
  <si>
    <t>Agnostic Learning of Mixed Linear Regressions with EM and AM Algorithms</t>
  </si>
  <si>
    <t>Synergizing Unsupervised and Supervised Learning: A Hybrid Approach for Accurate Natural Language Task Modeling</t>
  </si>
  <si>
    <t>No Vandalism: Privacy-Preserving and Byzantine-Robust Federated Learning</t>
  </si>
  <si>
    <t>Estimating Canopy Height at Scale</t>
  </si>
  <si>
    <t>Visual Car Brand Classification by Implementing a Synthetic Image Dataset Creation Pipeline</t>
  </si>
  <si>
    <t>Virtual avatar generation models as world navigators</t>
  </si>
  <si>
    <t>An Advanced Reinforcement Learning Framework for Online Scheduling of Deferrable Workloads in Cloud Computing</t>
  </si>
  <si>
    <t>Generalized Jersey Number Recognition Using Multi-task Learning With Orientation-guided Weight Refinement</t>
  </si>
  <si>
    <t>PRICE: A Pretrained Model for Cross-Database Cardinality Estimation</t>
  </si>
  <si>
    <t>Accent Conversion in Text-To-Speech Using Multi-Level VAE and Adversarial Training</t>
  </si>
  <si>
    <t>Distributional Refinement Network: Distributional Forecasting via Deep Learning</t>
  </si>
  <si>
    <t>Cold-start Recommendation by Personalized Embedding Region Elicitation</t>
  </si>
  <si>
    <t>Improving Segment Anything on the Fly: Auxiliary Online Learning and Adaptive Fusion for Medical Image Segmentation</t>
  </si>
  <si>
    <t>Demystifying SGD with Doubly Stochastic Gradients</t>
  </si>
  <si>
    <t>Assessing the Adversarial Security of Perceptual Hashing Algorithms</t>
  </si>
  <si>
    <t>DDA: Dimensionality Driven Augmentation Search for Contrastive Learning in Laparoscopic Surgery</t>
  </si>
  <si>
    <t>Robust Multi-Modal Speech In-Painting: A Sequence-to-Sequence Approach</t>
  </si>
  <si>
    <t>Quantum Equilibrium Propagation: Gradient-Descent Training of Quantum Systems</t>
  </si>
  <si>
    <t>Scaffold Splits Overestimate Virtual Screening Performance</t>
  </si>
  <si>
    <t>DistilDIRE: A Small, Fast, Cheap and Lightweight Diffusion Synthesized Deepfake Detection</t>
  </si>
  <si>
    <t>A Tutorial on Doubly Robust Learning for Causal Inference</t>
  </si>
  <si>
    <t>Diffusion-Inspired Quantum Noise Mitigation in Parameterized Quantum Circuits</t>
  </si>
  <si>
    <t>BoNBoN Alignment for Large Language Models and the Sweetness of Best-of-n Sampling</t>
  </si>
  <si>
    <t>Lasso Bandit with Compatibility Condition on Optimal Arm</t>
  </si>
  <si>
    <t>Covariance-Adaptive Sequential Black-box Optimization for Diffusion Targeted Generation</t>
  </si>
  <si>
    <t>Graph Neural Preconditioners for Iterative Solutions of Sparse Linear Systems</t>
  </si>
  <si>
    <t>Is In-Context Learning in Large Language Models Bayesian? A Martingale Perspective</t>
  </si>
  <si>
    <t>Bayesian Joint Additive Factor Models for Multiview Learning</t>
  </si>
  <si>
    <t>Evaluating Mathematical Reasoning of Large Language Models: A Focus on Error Identification and Correction</t>
  </si>
  <si>
    <t>Freeplane: Unlocking Free Lunch in Triplane-Based Sparse-View Reconstruction Models</t>
  </si>
  <si>
    <t>Learning to Play 7 Wonders Duel Without Human Supervision</t>
  </si>
  <si>
    <t>Full-Atom Peptide Design based on Multi-modal Flow Matching</t>
  </si>
  <si>
    <t>Logistic Variational Bayes Revisited</t>
  </si>
  <si>
    <t>An Optimized Toolbox for Advanced Image Processing with Tsetlin Machine Composites</t>
  </si>
  <si>
    <t>Discovering an interpretable mathematical expression for a full wind-turbine wake with artificial intelligence enhanced symbolic regression</t>
  </si>
  <si>
    <t>Improving Accuracy-robustness Trade-off via Pixel Reweighted Adversarial Training</t>
  </si>
  <si>
    <t>An Early Investigation into the Utility of Multimodal Large Language Models in Medical Imaging</t>
  </si>
  <si>
    <t>SimSAM: Zero-shot Medical Image Segmentation via Simulated Interaction</t>
  </si>
  <si>
    <t>On Non-asymptotic Theory of Recurrent Neural Networks in Temporal Point Processes</t>
  </si>
  <si>
    <t>Transforming Computer Security and Public Trust Through the Exploration of Fine-Tuning Large Language Models</t>
  </si>
  <si>
    <t>Making Recommender Systems More Knowledgeable: A Framework to Incorporate Side Information</t>
  </si>
  <si>
    <t>Breast Cancer Diagnosis: A Comprehensive Exploration of Explainable Artificial Intelligence (XAI) Techniques</t>
  </si>
  <si>
    <t>Learning to Play Air Hockey with Model-Based Deep Reinforcement Learning</t>
  </si>
  <si>
    <t>Non-geodesically-convex optimization in the Wasserstein space</t>
  </si>
  <si>
    <t>Diffusion-based Image Generation for In-distribution Data Augmentation in Surface Defect Detection</t>
  </si>
  <si>
    <t>SAM-VMNet: Deep Neural Networks For Coronary Angiography Vessel Segmentation</t>
  </si>
  <si>
    <t>DroneVis: Versatile Computer Vision Library for Drones</t>
  </si>
  <si>
    <t>Neural Polarization: Toward Electron Density for Molecules by Extending Equivariant Networks</t>
  </si>
  <si>
    <t>A Batch Sequential Halving Algorithm without Performance Degradation</t>
  </si>
  <si>
    <t>Multimodal Metadata Assignment for Cultural Heritage Artifacts</t>
  </si>
  <si>
    <t>Representation and De-interleaving of Mixtures of Hidden Markov Processes</t>
  </si>
  <si>
    <t>Arabic Handwritten Text for Person Biometric Identification: A Deep Learning Approach</t>
  </si>
  <si>
    <t>Understanding the Convergence in Balanced Resonate-and-Fire Neurons</t>
  </si>
  <si>
    <t>DeCoOp: Robust Prompt Tuning with Out-of-Distribution Detection</t>
  </si>
  <si>
    <t>Turnstile ℓp leverage score sampling with applications</t>
  </si>
  <si>
    <t>Whole Heart 3D+T Representation Learning Through Sparse 2D Cardiac MR Images</t>
  </si>
  <si>
    <t>Optimal bounds for ℓp sensitivity sampling via ℓ2 augmentation</t>
  </si>
  <si>
    <t>Combining Experimental and Historical Data for Policy Evaluation</t>
  </si>
  <si>
    <t>Flash3D: Feed-Forward Generalisable 3D Scene Reconstruction from a Single Image</t>
  </si>
  <si>
    <t>Learning 1D Causal Visual Representation with De-focus Attention Networks</t>
  </si>
  <si>
    <t>Interpreting the Second-Order Effects of Neurons in CLIP</t>
  </si>
  <si>
    <t>RoboMamba: Multimodal State Space Model for Efficient Robot Reasoning and Manipulation</t>
  </si>
  <si>
    <t>Physics3D: Learning Physical Properties of 3D Gaussians via Video Diffusion</t>
  </si>
  <si>
    <t>Coherent Zero-Shot Visual Instruction Generation</t>
  </si>
  <si>
    <t>DeepStack: Deeply Stacking Visual Tokens is Surprisingly Simple and Effective for LMMs</t>
  </si>
  <si>
    <t>BitsFusion: 1.99 bits Weight Quantization of Diffusion Model</t>
  </si>
  <si>
    <t>ShareGPT4Video: Improving Video Understanding and Generation with Better Captions</t>
  </si>
  <si>
    <t>SF-V: Single Forward Video Generation Model</t>
  </si>
  <si>
    <t>DIRECT-3D: Learning Direct Text-to-3D Generation on Massive Noisy 3D Data</t>
  </si>
  <si>
    <t>Omni6DPose: A Benchmark and Model for Universal 6D Object Pose Estimation and Tracking</t>
  </si>
  <si>
    <t>Step-aware Preference Optimization: Aligning Preference with Denoising Performance at Each Step</t>
  </si>
  <si>
    <t>ReNO: Enhancing One-step Text-to-Image Models through Reward-based Noise Optimization</t>
  </si>
  <si>
    <t>Neural Surface Reconstruction from Sparse Views Using Epipolar Geometry</t>
  </si>
  <si>
    <t>Text-to-Drive: Diverse Driving Behavior Synthesis via Large Language Models</t>
  </si>
  <si>
    <t>Everything to the Synthetic: Diffusion-driven Test-time Adaptation via Synthetic-Domain Alignment</t>
  </si>
  <si>
    <t>VISTA: Visualized Text Embedding For Universal Multi-Modal Retrieval</t>
  </si>
  <si>
    <t>What Languages are Easy to Language-Model? A Perspective from Learning Probabilistic Regular Languages</t>
  </si>
  <si>
    <t>SpectralZoom: Efficient Segmentation with an Adaptive Hyperspectral Camera</t>
  </si>
  <si>
    <t>ABEX: Data Augmentation for Low-Resource NLU via Expanding Abstract Descriptions</t>
  </si>
  <si>
    <t>Characterizing Similarities and Divergences in Conversational Tones in Humans and LLMs by Sampling with People</t>
  </si>
  <si>
    <t>VideoTetris: Towards Compositional Text-to-Video Generation</t>
  </si>
  <si>
    <t>ELFS: Enhancing Label-Free Coreset Selection via Clustering-based Pseudo-Labeling</t>
  </si>
  <si>
    <t>Buffer of Thoughts: Thought-Augmented Reasoning with Large Language Models</t>
  </si>
  <si>
    <t>Beyond Performance Plateaus: A Comprehensive Study on Scalability in Speech Enhancement</t>
  </si>
  <si>
    <t>MLVU: A Comprehensive Benchmark for Multi-Task Long Video Understanding</t>
  </si>
  <si>
    <t>GeoGen: Geometry-Aware Generative Modeling via Signed Distance Functions</t>
  </si>
  <si>
    <t>A Survey on 3D Human Avatar Modeling -- From Reconstruction to Generation</t>
  </si>
  <si>
    <t>Localized Gaussian Point Management</t>
  </si>
  <si>
    <t>Conv-INR: Convolutional Implicit Neural Representation for Multimodal Visual Signals</t>
  </si>
  <si>
    <t>Benchmark Data Contamination of Large Language Models: A Survey</t>
  </si>
  <si>
    <t>Understanding Information Storage and Transfer in Multi-modal Large Language Models</t>
  </si>
  <si>
    <t>Toward Artificial Open-Ended Evolution within Lenia using Quality-Diversity</t>
  </si>
  <si>
    <t>FairytaleQA Translated: Enabling Educational Question and Answer Generation in Less-Resourced Languages</t>
  </si>
  <si>
    <t>Quantifying Misalignment Between Agents</t>
  </si>
  <si>
    <t>M3LEO: A Multi-Modal, Multi-Label Earth Observation Dataset Integrating Interferometric SAR and RGB Data</t>
  </si>
  <si>
    <t>Matching Anything by Segmenting Anything</t>
  </si>
  <si>
    <t>BEADs: Bias Evaluation Across Domains</t>
  </si>
  <si>
    <t>Rethinking LLM and Linguistic Steganalysis: An Efficient Detection of Strongly Concealed Stego</t>
  </si>
  <si>
    <t>ValueBench: Towards Comprehensively Evaluating Value Orientations and Understanding of Large Language Models</t>
  </si>
  <si>
    <t>Sound Event Bounding Boxes</t>
  </si>
  <si>
    <t>Gaining Cross-Platform Parallelism for HAL's Molecular Dynamics Package using SYCL</t>
  </si>
  <si>
    <t>CDMamba: Remote Sensing Image Change Detection with Mamba</t>
  </si>
  <si>
    <t>Diffusion-based image inpainting with internal learning</t>
  </si>
  <si>
    <t>Legal Documents Drafting with Fine-Tuned Pre-Trained Large Language Model</t>
  </si>
  <si>
    <t>DICE: Detecting In-distribution Contamination in LLM's Fine-tuning Phase for Math Reasoning</t>
  </si>
  <si>
    <t>Encoding Semantic Priors into the Weights of Implicit Neural Representation</t>
  </si>
  <si>
    <t>Confabulation: The Surprising Value of Large Language Model Hallucinations</t>
  </si>
  <si>
    <t>MARLander: A Local Path Planning for Drone Swarms using Multiagent Deep Reinforcement Learning</t>
  </si>
  <si>
    <t>Sparse Multi-baseline SAR Cross-modal 3D Reconstruction of Vehicle Targets</t>
  </si>
  <si>
    <t>AgentGym: Evolving Large Language Model-based Agents across Diverse Environments</t>
  </si>
  <si>
    <t>Characterizing segregation in blast rock piles a deep-learning approach leveraging aerial image analysis</t>
  </si>
  <si>
    <t>Towards Understanding Task-agnostic Debiasing Through the Lenses of Intrinsic Bias and Forgetfulness</t>
  </si>
  <si>
    <t>Every Answer Matters: Evaluating Commonsense with Probabilistic Measures</t>
  </si>
  <si>
    <t>STraDa: A Singer Traits Dataset</t>
  </si>
  <si>
    <t>The 3D-PC: a benchmark for visual perspective taking in humans and machines</t>
  </si>
  <si>
    <t>LenslessFace: An End-to-End Optimized Lensless System for Privacy-Preserving Face Verification</t>
  </si>
  <si>
    <t>Are We Done with MMLU?</t>
  </si>
  <si>
    <t>Promoting Fairness and Diversity in Speech Datasets for Mental Health and Neurological Disorders Research</t>
  </si>
  <si>
    <t>Uncovering Limitations of Large Language Models in Information Seeking from Tables</t>
  </si>
  <si>
    <t>Intention and Face in Dialog</t>
  </si>
  <si>
    <t>How Far Can We Compress Instant-NGP-Based NeRF?</t>
  </si>
  <si>
    <t>Data-driven Explainable Controller for Soft Robots based on Recurrent Neural Networks</t>
  </si>
  <si>
    <t>A Survey of Language-Based Communication in Robotics</t>
  </si>
  <si>
    <t>Leveraging automatic strategy discovery to teach people how to select better projects</t>
  </si>
  <si>
    <t>Federated TrustChain: Blockchain-Enhanced LLM Training and Unlearning</t>
  </si>
  <si>
    <t>Ask LLMs Directly, "What shapes your bias?": Measuring Social Bias in Large Language Models</t>
  </si>
  <si>
    <t>Online Learning in Betting Markets: Profit versus Prediction</t>
  </si>
  <si>
    <t>Semmeldetector: Application of Machine Learning in Commercial Bakeries</t>
  </si>
  <si>
    <t>ActionReasoningBench: Reasoning about Actions with and without Ramification Constraints</t>
  </si>
  <si>
    <t>Zero-Painter: Training-Free Layout Control for Text-to-Image Synthesis</t>
  </si>
  <si>
    <t>Jailbreak Vision Language Models via Bi-Modal Adversarial Prompt</t>
  </si>
  <si>
    <t>Contrastive Sparse Autoencoders for Interpreting Planning of Chess-Playing Agents</t>
  </si>
  <si>
    <t>3rd Place Solution for PVUW Challenge 2024: Video Panoptic Segmentation</t>
  </si>
  <si>
    <t>AC4MPC: Actor-Critic Reinforcement Learning for Nonlinear Model Predictive Control</t>
  </si>
  <si>
    <t>Assessing LLMs for Zero-shot Abstractive Summarization Through the Lens of Relevance Paraphrasing</t>
  </si>
  <si>
    <t>On The Persona-based Summarization of Domain-Specific Documents</t>
  </si>
  <si>
    <t>LNQ Challenge 2023: Learning Mediastinal Lymph Node Segmentation with a Probabilistic Lymph Node Atlas</t>
  </si>
  <si>
    <t>A + B: A General Generator-Reader Framework for Optimizing LLMs to Unleash Synergy Potential</t>
  </si>
  <si>
    <t>LDM-RSIC: Exploring Distortion Prior with Latent Diffusion Models for Remote Sensing Image Compression</t>
  </si>
  <si>
    <t>Tox-BART: Leveraging Toxicity Attributes for Explanation Generation of Implicit Hate Speech</t>
  </si>
  <si>
    <t>UltraMedical: Building Specialized Generalists in Biomedicine</t>
  </si>
  <si>
    <t>Beyond Similarity: Personalized Federated Recommendation with Composite Aggregation</t>
  </si>
  <si>
    <t>Culturally Aware and Adapted NLP: A Taxonomy and a Survey of the State of the Art</t>
  </si>
  <si>
    <t>Knowledge Transfer, Knowledge Gaps, and Knowledge Silos in Citation Networks</t>
  </si>
  <si>
    <t>Frequency-based Matcher for Long-tailed Semantic Segmentation</t>
  </si>
  <si>
    <t>ArMeme: Propagandistic Content in Arabic Memes</t>
  </si>
  <si>
    <t>Exploring the Zero-Shot Capabilities of Vision-Language Models for Improving Gaze Following</t>
  </si>
  <si>
    <t>HeSum: a Novel Dataset for Abstractive Text Summarization in Hebrew</t>
  </si>
  <si>
    <t>How Good is Zero-Shot MT Evaluation for Low Resource Indian Languages?</t>
  </si>
  <si>
    <t>Spontaneous Speech-Based Suicide Risk Detection Using Whisper and Large Language Models</t>
  </si>
  <si>
    <t>Evaluating the IWSLT2023 Speech Translation Tasks: Human Annotations, Automatic Metrics, and Segmentation</t>
  </si>
  <si>
    <t>Decoder-only Streaming Transformer for Simultaneous Translation</t>
  </si>
  <si>
    <t>Bench2Drive: Towards Multi-Ability Benchmarking of Closed-Loop End-To-End Autonomous Driving</t>
  </si>
  <si>
    <t>BLSP-Emo: Towards Empathetic Large Speech-Language Models</t>
  </si>
  <si>
    <t>GOOSE: Goal-Conditioned Reinforcement Learning for Safety-Critical Scenario Generation</t>
  </si>
  <si>
    <t>Recovering document annotations for sentence-level bitext</t>
  </si>
  <si>
    <t>PALM: A Efficient Performance Simulator for Tiled Accelerators with Large-scale Model Training</t>
  </si>
  <si>
    <t>LLplace: The 3D Indoor Scene Layout Generation and Editing via Large Language Model</t>
  </si>
  <si>
    <t>Semantic Similarity Score for Measuring Visual Similarity at Semantic Level</t>
  </si>
  <si>
    <t>Performance of large language models in numerical vs. semantic medical knowledge: Benchmarking on evidence-based Q&amp;As</t>
  </si>
  <si>
    <t>Speculative Decoding via Early-exiting for Faster LLM Inference with Thompson Sampling Control Mechanism</t>
  </si>
  <si>
    <t>Lean Workbook: A large-scale Lean problem set formalized from natural language math problems</t>
  </si>
  <si>
    <t>POEM: Interactive Prompt Optimization for Enhancing Multimodal Reasoning of Large Language Models</t>
  </si>
  <si>
    <t>Malware Classification Based on Image Segmentation</t>
  </si>
  <si>
    <t>Chaos with Keywords: Exposing Large Language Models Sycophancy to Misleading Keywords and Evaluating Defense Strategies</t>
  </si>
  <si>
    <t>SilentCipher: Deep Audio Watermarking</t>
  </si>
  <si>
    <t>ReST-MCTS*: LLM Self-Training via Process Reward Guided Tree Search</t>
  </si>
  <si>
    <t>Improving Zero-Shot Chinese-English Code-Switching ASR with kNN-CTC and Gated Monolingual Datastores</t>
  </si>
  <si>
    <t>Touch100k: A Large-Scale Touch-Language-Vision Dataset for Touch-Centric Multimodal Representation</t>
  </si>
  <si>
    <t>AutoJailbreak: Exploring Jailbreak Attacks and Defenses through a Dependency Lens</t>
  </si>
  <si>
    <t>Light-PEFT: Lightening Parameter-Efficient Fine-Tuning via Early Pruning</t>
  </si>
  <si>
    <t>End-to-End Trainable Soft Retriever for Low-resource Relation Extraction</t>
  </si>
  <si>
    <t>XL-HeadTags: Leveraging Multimodal Retrieval Augmentation for the Multilingual Generation of News Headlines and Tags</t>
  </si>
  <si>
    <t>Optimizing Multi-User Semantic Communication via Transfer Learning and Knowledge Distillation</t>
  </si>
  <si>
    <t>Character-Level Chinese Dependency Parsing via Modeling Latent Intra-Word Structure</t>
  </si>
  <si>
    <t>CORTEX: Large-Scale Brain Simulator Utilizing Indegree Sub-Graph Decomposition on Fugaku Supercomputer</t>
  </si>
  <si>
    <t>VisLTR: Visualization-in-the-Loop Table Reasoning</t>
  </si>
  <si>
    <t>NAP^2: A Benchmark for Naturalness and Privacy-Preserving Text Rewriting by Learning from Human</t>
  </si>
  <si>
    <t>Efficient Knowledge Infusion via KG-LLM Alignment</t>
  </si>
  <si>
    <t>Evaluating Durability: Benchmark Insights into Multimodal Watermarking</t>
  </si>
  <si>
    <t>LLMEmbed: Rethinking Lightweight LLM's Genuine Function in Text Classification</t>
  </si>
  <si>
    <t>Gear-NeRF: Free-Viewpoint Rendering and Tracking with Motion-aware Spatio-Temporal Sampling</t>
  </si>
  <si>
    <t>JIGMARK: A Black-Box Approach for Enhancing Image Watermarks against Diffusion Model Edits</t>
  </si>
  <si>
    <t>Generalization-Enhanced Code Vulnerability Detection via Multi-Task Instruction Fine-Tuning</t>
  </si>
  <si>
    <t>Retrieval Augmented Generation in Prompt-based Text-to-Speech Synthesis with Context-Aware Contrastive Language-Audio Pretraining</t>
  </si>
  <si>
    <t>Pi-fusion: Physics-informed diffusion model for learning fluid dynamics</t>
  </si>
  <si>
    <t>Improving Audio Codec-based Zero-Shot Text-to-Speech Synthesis with Multi-Modal Context and Large Language Model</t>
  </si>
  <si>
    <t>DSNet: A Novel Way to Use Atrous Convolutions in Semantic Segmentation</t>
  </si>
  <si>
    <t>Recognizing Everything from All Modalities at Once: Grounded Multimodal Universal Information Extraction</t>
  </si>
  <si>
    <t>M-QALM: A Benchmark to Assess Clinical Reading Comprehension and Knowledge Recall in Large Language Models via Question Answering</t>
  </si>
  <si>
    <t>Superpoint Gaussian Splatting for Real-Time High-Fidelity Dynamic Scene Reconstruction</t>
  </si>
  <si>
    <t>Untrained Neural Nets for Snapshot Compressive Imaging: Theory and Algorithms</t>
  </si>
  <si>
    <t>Evaluating the World Model Implicit in a Generative Model</t>
  </si>
  <si>
    <t>Shadow and Light: Digitally Reconstructed Radiographs for Disease Classification</t>
  </si>
  <si>
    <t>Principles of Designing Robust Remote Face Anti-Spoofing Systems</t>
  </si>
  <si>
    <t>Linguistically Conditioned Semantic Textual Similarity</t>
  </si>
  <si>
    <t>3rd Place Solution for MOSE Track in CVPR 2024 PVUW workshop: Complex Video Object Segmentation</t>
  </si>
  <si>
    <t>What Makes Language Models Good-enough?</t>
  </si>
  <si>
    <t>Refactoring to Pythonic Idioms: A Hybrid Knowledge-Driven Approach Leveraging Large Language Models</t>
  </si>
  <si>
    <t>Degrees of Freedom Matter: Inferring Dynamics from Point Trajectories</t>
  </si>
  <si>
    <t>TACT: Advancing Complex Aggregative Reasoning with Information Extraction Tools</t>
  </si>
  <si>
    <t>Fantastyc: Blockchain-based Federated Learning Made Secure and Practical</t>
  </si>
  <si>
    <t>Knowledge-Infused Legal Wisdom: Navigating LLM Consultation through the Lens of Diagnostics and Positive-Unlabeled Reinforcement Learning</t>
  </si>
  <si>
    <t>Measuring Retrieval Complexity in Question Answering Systems</t>
  </si>
  <si>
    <t>Ranking Manipulation for Conversational Search Engines</t>
  </si>
  <si>
    <t>Understanding the Limitations of Diffusion Concept Algebra Through Food</t>
  </si>
  <si>
    <t>3D-GRAND: Towards Better Grounding and Less Hallucination for 3D-LLMs</t>
  </si>
  <si>
    <t>DVOS: Self-Supervised Dense-Pattern Video Object Segmentation</t>
  </si>
  <si>
    <t>An Empirical Study on Parameter-Efficient Fine-Tuning for MultiModal Large Language Models</t>
  </si>
  <si>
    <t>Differentiable Time-Varying Linear Prediction in the Context of End-to-End Analysis-by-Synthesis</t>
  </si>
  <si>
    <t>Towards Semantic Equivalence of Tokenization in Multimodal LLM</t>
  </si>
  <si>
    <t>Energy Propagation in Scattering Convolution Networks Can Be Arbitrarily Slow</t>
  </si>
  <si>
    <t>Contextual fusion enhances robustness to image blurring</t>
  </si>
  <si>
    <t>Compositional Curvature Bounds for Deep Neural Networks</t>
  </si>
  <si>
    <t>The Expanding Scope of the Stability Gap: Unveiling its Presence in Joint Incremental Learning of Homogeneous Tasks</t>
  </si>
  <si>
    <t>LLavaGuard: VLM-based Safeguards for Vision Dataset Curation and Safety Assessment</t>
  </si>
  <si>
    <t>Categorizing Sources of Information for Explanations in Conversational AI Systems for Older Adults Aging in Place</t>
  </si>
  <si>
    <t>Large Generative Graph Models</t>
  </si>
  <si>
    <t>Adapting Physics-Informed Neural Networks To Optimize ODEs in Mosquito Population Dynamics</t>
  </si>
  <si>
    <t>LINX: A Language Driven Generative System for Goal-Oriented Automated Data Exploration</t>
  </si>
  <si>
    <t>A Novel Time Series-to-Image Encoding Approach for Weather Phenomena Classification</t>
  </si>
  <si>
    <t>CheckEmbed: Effective Verification of LLM Solutions to Open-Ended Tasks</t>
  </si>
  <si>
    <t>ArtPrompt: ASCII Art-based Jailbreak Attacks against Aligned LLMs</t>
  </si>
  <si>
    <t>Towards a theory of out-of-distribution learning</t>
  </si>
  <si>
    <t>NeuralThink: Learning Algorithms For Consistent and Efficient Extrapolation Across General Tasks</t>
  </si>
  <si>
    <t>Deep Discriminative to Kernel Density Graph for In- and Out-of-distribution Calibrated Inference</t>
  </si>
  <si>
    <t>DepsRAG: Towards Managing Software Dependencies using Large Language Models</t>
  </si>
  <si>
    <t>Provably Better Explanations with Optimized Aggregation of Feature Attributions</t>
  </si>
  <si>
    <t>Optimizing Time Series Forecasting Architectures: A Hierarchical Neural Architecture Search Approach</t>
  </si>
  <si>
    <t>Corpus Poisoning via Approximate Greedy Gradient Descent</t>
  </si>
  <si>
    <t>Robust Reward Design for Markov Decision Processes</t>
  </si>
  <si>
    <t>DORY: Deliberative Prompt Recovery for LLM</t>
  </si>
  <si>
    <t>Multi-Head RAG: Solving Multi-Aspect Problems with LLMs</t>
  </si>
  <si>
    <t>CoNo: Consistency Noise Injection for Tuning-free Long Video Diffusion</t>
  </si>
  <si>
    <t>MedYOLO: A Medical Image Object Detection Framework</t>
  </si>
  <si>
    <t>I2EDL: Interactive Instruction Error Detection and Localization</t>
  </si>
  <si>
    <t>SUMIE: A Synthetic Benchmark for Incremental Entity Summarization</t>
  </si>
  <si>
    <t>The Influencer Next Door: How Misinformation Creators Use GenAI</t>
  </si>
  <si>
    <t>Diving Deep into the Motion Representation of Video-Text Models</t>
  </si>
  <si>
    <t>Hibou: A Family of Foundational Vision Transformers for Pathology</t>
  </si>
  <si>
    <t>Linearization Turns Neural Operators into Function-Valued Gaussian Processes</t>
  </si>
  <si>
    <t>Massively Multiagent Minigames for Training Generalist Agents</t>
  </si>
  <si>
    <t>Classification Metrics for Image Explanations: Towards Building Reliable XAI-Evaluations</t>
  </si>
  <si>
    <t>Pretraining Decision Transformers with Reward Prediction for In-Context Multi-task Structured Bandit Learning</t>
  </si>
  <si>
    <t>Are Large Language Models More Empathetic than Humans?</t>
  </si>
  <si>
    <t>GenHeld: Generating and Editing Handheld Objects</t>
  </si>
  <si>
    <t>Cross-Domain Synthetic-to-Real In-the-Wild Depth and Normal Estimation for 3D Scene Understanding</t>
  </si>
  <si>
    <t>Robustness Assessment of Mathematical Reasoning in the Presence of Missing and Contradictory Conditions</t>
  </si>
  <si>
    <t>Prototype Correlation Matching and Class-Relation Reasoning for Few-Shot Medical Image Segmentation</t>
  </si>
  <si>
    <t>Hints-In-Browser: Benchmarking Language Models for Programming Feedback Generation</t>
  </si>
  <si>
    <t>A Tensor Decomposition Perspective on Second-order RNNs</t>
  </si>
  <si>
    <t>AudioSetMix: Enhancing Audio-Language Datasets with LLM-Assisted Augmentations</t>
  </si>
  <si>
    <t>Branch-Solve-Merge Improves Large Language Model Evaluation and Generation</t>
  </si>
  <si>
    <t>Learning mirror maps in policy mirror descent</t>
  </si>
  <si>
    <t>Bootstrapping Referring Multi-Object Tracking</t>
  </si>
  <si>
    <t>VITON-DiT: Learning In-the-Wild Video Try-On from Human Dance Videos via Diffusion Transformers</t>
  </si>
  <si>
    <t>Efficient 3D Shape Generation via Diffusion Mamba with Bidirectional SSMs</t>
  </si>
  <si>
    <t>TimeSieve: Extracting Temporal Dynamics through Information Bottlenecks</t>
  </si>
  <si>
    <t>Scenarios and Approaches for Situated Natural Language Explanations</t>
  </si>
  <si>
    <t>Gradient Descent on Logistic Regression with Non-Separable Data and Large Step Sizes</t>
  </si>
  <si>
    <t>How Abilities in Large Language Models are Affected by Supervised Fine-tuning Data Composition</t>
  </si>
  <si>
    <t>Optimizing Automatic Differentiation with Deep Reinforcement Learning</t>
  </si>
  <si>
    <t>Higher-order modeling of face-to-face interactions</t>
  </si>
  <si>
    <t>GANetic Loss for Generative Adversarial Networks with a Focus on Medical Applications</t>
  </si>
  <si>
    <t>Chronicling Germany: An Annotated Historical Newspaper Dataset</t>
  </si>
  <si>
    <t>Scaling up Probabilistic PDE Simulators with Structured Volumetric Information</t>
  </si>
  <si>
    <t>CHIQ: Contextual History Enhancement for Improving Query Rewriting in Conversational Search</t>
  </si>
  <si>
    <t>A Novel Cross-Perturbation for Single Domain Generalization</t>
  </si>
  <si>
    <t>Clarifying Myths About the Relationship Between Shape Bias, Accuracy, and Robustness</t>
  </si>
  <si>
    <t>Designs for Enabling Collaboration in Human-Machine Teaming via Interactive and Explainable Systems</t>
  </si>
  <si>
    <t>Benchmarking Deep Jansen-Rit Parameter Inference: An in Silico Study</t>
  </si>
  <si>
    <t>AttnDreamBooth: Towards Text-Aligned Personalized Text-to-Image Generation</t>
  </si>
  <si>
    <t>Image Coding for Machines with Edge Information Learning Using Segment Anything</t>
  </si>
  <si>
    <t>On the Independence Assumption in Neurosymbolic Learning</t>
  </si>
  <si>
    <t>Towards Generating Executable Metamorphic Relations Using Large Language Models</t>
  </si>
  <si>
    <t>ADBA:Approximation Decision Boundary Approach for Black-Box Adversarial Attacks</t>
  </si>
  <si>
    <t>On the social bias of speech self-supervised models</t>
  </si>
  <si>
    <t>Development and Validation of a Deep-Learning Model for Differential Treatment Benefit Prediction for Adults with Major Depressive Disorder Deployed in the Artificial Intelligence in Depression Medication Enhancement (AIDME) Study</t>
  </si>
  <si>
    <t>Compositional Generalization with Grounded Language Models</t>
  </si>
  <si>
    <t>Language models emulate certain cognitive profiles: An investigation of how predictability measures interact with individual differences</t>
  </si>
  <si>
    <t>Spiking Neural Networks for event-based action recognition: A new task to understand their advantage</t>
  </si>
  <si>
    <t>MEFT: Memory-Efficient Fine-Tuning through Sparse Adapter</t>
  </si>
  <si>
    <t>CityCraft: A Real Crafter for 3D City Generation</t>
  </si>
  <si>
    <t>Semantic Segmentation on VSPW Dataset through Masked Video Consistency</t>
  </si>
  <si>
    <t>3DGStream: On-the-Fly Training of 3D Gaussians for Efficient Streaming of Photo-Realistic Free-Viewpoint Videos</t>
  </si>
  <si>
    <t>UniTST: Effectively Modeling Inter-Series and Intra-Series Dependencies for Multivariate Time Series Forecasting</t>
  </si>
  <si>
    <t>GNNavi: Navigating the Information Flow in Large Language Models by Graph Neural Network</t>
  </si>
  <si>
    <t>Dealing with unbounded gradients in stochastic saddle-point optimization</t>
  </si>
  <si>
    <t>Neural Laplace for learning Stochastic Differential Equations</t>
  </si>
  <si>
    <t>Learning Divergence Fields for Shift-Robust Graph Representations</t>
  </si>
  <si>
    <t>Espresso: Robust Concept Filtering in Text-to-Image Models</t>
  </si>
  <si>
    <t>Multiplane Prior Guided Few-Shot Aerial Scene Rendering</t>
  </si>
  <si>
    <t>Multi-style Neural Radiance Field with AdaIN</t>
  </si>
  <si>
    <t>Leveraging Generative AI for Extracting Process Models from Multimodal Documents</t>
  </si>
  <si>
    <t>Expansion of situations theory for exploring shared awareness in human-intelligent autonomous systems</t>
  </si>
  <si>
    <t>Quantifying Geospatial in the Common Crawl Corpus</t>
  </si>
  <si>
    <t>Diffusion posterior sampling for simulation-based inference in tall data settings</t>
  </si>
  <si>
    <t>AAdaM at SemEval-2024 Task 1: Augmentation and Adaptation for Multilingual Semantic Textual Relatedness</t>
  </si>
  <si>
    <t>BAMO at SemEval-2024 Task 9: BRAINTEASER: A Novel Task Defying Common Sense</t>
  </si>
  <si>
    <t>Beyond Implicit Bias: The Insignificance of SGD Noise in Online Learning</t>
  </si>
  <si>
    <t>BOtied: Multi-objective Bayesian optimization with tied multivariate ranks</t>
  </si>
  <si>
    <t>Harder or Different? Understanding Generalization of Audio Deepfake Detection</t>
  </si>
  <si>
    <t>Joint Spatial-Temporal Modeling and Contrastive Learning for Self-supervised Heart Rate Measurement</t>
  </si>
  <si>
    <t>TCMD: A Traditional Chinese Medicine QA Dataset for Evaluating Large Language Models</t>
  </si>
  <si>
    <t>CarbonSense: A Multimodal Dataset and Baseline for Carbon Flux Modelling</t>
  </si>
  <si>
    <t>SpanGNN: Towards Memory-Efficient Graph Neural Networks via Spanning Subgraph Training</t>
  </si>
  <si>
    <t>The Impact of Demonstrations on Multilingual In-Context Learning: A Multidimensional Analysis</t>
  </si>
  <si>
    <t>Optimal Recurrent Network Topologies for Dynamical Systems Reconstruction</t>
  </si>
  <si>
    <t>Leveraging Activations for Superpixel Explanations</t>
  </si>
  <si>
    <t>Faster Than Lies: Real-time Deepfake Detection using Binary Neural Networks</t>
  </si>
  <si>
    <t>MA-AVT: Modality Alignment for Parameter-Efficient Audio-Visual Transformers</t>
  </si>
  <si>
    <t>Protein pathways as a catalyst to directed evolution of the topology of artificial neural networks</t>
  </si>
  <si>
    <t>LLM-based speaker diarization correction: A generalizable approach</t>
  </si>
  <si>
    <t>Through the Thicket: A Study of Number-Oriented LLMs derived from Random Forest Models</t>
  </si>
  <si>
    <t>Sim-to-real Transfer of Deep Reinforcement Learning Agents for Online Coverage Path Planning</t>
  </si>
  <si>
    <t>FRAPPE: A Group Fairness Framework for Post-Processing Everything</t>
  </si>
  <si>
    <t>RepairLLaMA: Efficient Representations and Fine-Tuned Adapters for Program Repair</t>
  </si>
  <si>
    <t>Combinatorial Complex Score-based Diffusion Modelling through Stochastic Differential Equations</t>
  </si>
  <si>
    <t>Advances in Embodied Navigation Using Large Language Models: A Survey</t>
  </si>
  <si>
    <t>The ODE Method for Stochastic Approximation and Reinforcement Learning with Markovian Noise</t>
  </si>
  <si>
    <t>Online Adaptation for Enhancing Imitation Learning Policies</t>
  </si>
  <si>
    <t>Multi-target stain normalization for histology slides</t>
  </si>
  <si>
    <t>Transformers are Expressive, But Are They Expressive Enough for Regression?</t>
  </si>
  <si>
    <t>What Do Dialect Speakers Want? A Survey of Attitudes Towards Language Technology for German Dialects</t>
  </si>
  <si>
    <t>Exploiting Activation Sparsity with Dense to Dynamic-k Mixture-of-Experts Conversion</t>
  </si>
  <si>
    <t>PolyLUT-Add: FPGA-based LUT Inference with Wide Inputs</t>
  </si>
  <si>
    <t>CoMoFusion: Fast and High-quality Fusion of Infrared and Visible Image with Consistency Model</t>
  </si>
  <si>
    <t>RU-AI: A Large Multimodal Dataset for Machine Generated Content Detection</t>
  </si>
  <si>
    <t>RAIL: Robot Affordance Imagination with Large Language Models</t>
  </si>
  <si>
    <t>XTTS: a Massively Multilingual Zero-Shot Text-to-Speech Model</t>
  </si>
  <si>
    <t>Concept Drift Detection using Ensemble of Integrally Private Models</t>
  </si>
  <si>
    <t>GTA: A Geometry-Aware Attention Mechanism for Multi-View Transformers</t>
  </si>
  <si>
    <t>Labeled Data Selection for Category Discovery</t>
  </si>
  <si>
    <t>From Link Prediction to Forecasting: Information Loss in Batch-based Temporal Graph Learning</t>
  </si>
  <si>
    <t>Stabilizing Extreme Q-learning by Maclaurin Expansion</t>
  </si>
  <si>
    <t>ChaosBench: A Multi-Channel, Physics-Based Benchmark for Subseasonal-to-Seasonal Climate Prediction</t>
  </si>
  <si>
    <t>Towards General Loop Invariant Generation: A Benchmark of Programs with Memory Manipulation</t>
  </si>
  <si>
    <t>A Subexponential Quantum Algorithm for the Semidirect Discrete Logarithm Problem</t>
  </si>
  <si>
    <t>Zero-Shot Video Editing through Adaptive Sliding Score Distillation</t>
  </si>
  <si>
    <t>Seeing the Unseen: Visual Metaphor Captioning for Videos</t>
  </si>
  <si>
    <t>A Deep Dive into the Trade-Offs of Parameter-Efficient Preference Alignment Techniques</t>
  </si>
  <si>
    <t>InCharacter: Evaluating Personality Fidelity in Role-Playing Agents through Psychological Interviews</t>
  </si>
  <si>
    <t>HateDebias: On the Diversity and Variability of Hate Speech Debiasing</t>
  </si>
  <si>
    <t>3DRealCar: An In-the-wild RGB-D Car Dataset with 360-degree Views</t>
  </si>
  <si>
    <t>Ada-VE: Training-Free Consistent Video Editing Using Adaptive Motion Prior</t>
  </si>
  <si>
    <t>Diversified Batch Selection for Training Acceleration</t>
  </si>
  <si>
    <t>Synth2: Boosting Visual-Language Models with Synthetic Captions and Image Embeddings</t>
  </si>
  <si>
    <t>Mind Mansion: Exploring Metaphorical Interactions to Engage with Negative Thoughts in Virtual Reality</t>
  </si>
  <si>
    <t>Deep learning for precipitation nowcasting: A survey from the perspective of time series forecasting</t>
  </si>
  <si>
    <t>SALAD-Bench: A Hierarchical and Comprehensive Safety Benchmark for Large Language Models</t>
  </si>
  <si>
    <t>ComplexTempQA: A Large-Scale Dataset for Complex Temporal Question Answering</t>
  </si>
  <si>
    <t>The Probabilities Also Matter: A More Faithful Metric for Faithfulness of Free-Text Explanations in Large Language Models</t>
  </si>
  <si>
    <t>RLStop: A Reinforcement Learning Stopping Method for TAR</t>
  </si>
  <si>
    <t>Normal-guided Detail-Preserving Neural Implicit Functions for High-Fidelity 3D Surface Reconstruction</t>
  </si>
  <si>
    <t>Multi-View Stochastic Block Models</t>
  </si>
  <si>
    <t>Stochastic full waveform inversion with deep generative prior for uncertainty quantification</t>
  </si>
  <si>
    <t>Auto-Multilift: Distributed Learning and Control for Cooperative Load Transportation With Quadrotors</t>
  </si>
  <si>
    <t>The Russian Legislative Corpus</t>
  </si>
  <si>
    <t>Uncertainty Aware Learning for Language Model Alignment</t>
  </si>
  <si>
    <t>Time-Series JEPA for Predictive Remote Control under Capacity-Limited Networks</t>
  </si>
  <si>
    <t>Digital assistant in a point of sales</t>
  </si>
  <si>
    <t>CTBENCH: A Library and Benchmark for Certified Training</t>
  </si>
  <si>
    <t>CoViS-Net: A Cooperative Visual Spatial Foundation Model for Multi-Robot Applications</t>
  </si>
  <si>
    <t>Do Language Models Exhibit Human-like Structural Priming Effects?</t>
  </si>
  <si>
    <t>FedLLM-Bench: Realistic Benchmarks for Federated Learning of Large Language Models</t>
  </si>
  <si>
    <t>Multi-Granularity Language-Guided Multi-Object Tracking</t>
  </si>
  <si>
    <t>Variational Flow Matching for Graph Generation</t>
  </si>
  <si>
    <t>Neural Control System for Continuous Glucose Monitoring and Maintenance</t>
  </si>
  <si>
    <t>3rd Place Solution for MeViS Track in CVPR 2024 PVUW workshop: Motion Expression guided Video Segmentation</t>
  </si>
  <si>
    <t>Primitive Agentic First-Order Optimization</t>
  </si>
  <si>
    <t>TraceableSpeech: Towards Proactively Traceable Text-to-Speech with Watermarking</t>
  </si>
  <si>
    <t>Integrating Multimodal Data for Joint Generative Modeling of Complex Dynamics</t>
  </si>
  <si>
    <t>When and How: Learning Identifiable Latent States for Nonstationary Time Series Forecasting</t>
  </si>
  <si>
    <t>Revisiting Catastrophic Forgetting in Large Language Model Tuning</t>
  </si>
  <si>
    <t>Human-Centered AI Product Prototyping with No-Code AutoML: Conceptual Framework, Potentials and Limitations</t>
  </si>
  <si>
    <t>SLR: Learning Quadruped Locomotion without Privileged Information</t>
  </si>
  <si>
    <t>Annotating FrameNet via Structure-Conditioned Language Generation</t>
  </si>
  <si>
    <t>A Remark on the Expressivity of Asynchronous TeamLTL and HyperLTL</t>
  </si>
  <si>
    <t>EGOR: Efficient Generated Objects Replay for incremental object detection</t>
  </si>
  <si>
    <t>QAGCF: Graph Collaborative Filtering for Q&amp;A Recommendation</t>
  </si>
  <si>
    <t>CodeR: Issue Resolving with Multi-Agent and Task Graphs</t>
  </si>
  <si>
    <t>Black Box Differential Privacy Auditing Using Total Variation Distance</t>
  </si>
  <si>
    <t>Graph Mining under Data scarcity</t>
  </si>
  <si>
    <t>M2NO: Multiresolution Operator Learning with Multiwavelet-based Algebraic Multigrid Method</t>
  </si>
  <si>
    <t>BERTs are Generative In-Context Learners</t>
  </si>
  <si>
    <t>FunBO: Discovering Acquisition Functions for Bayesian Optimization with FunSearch</t>
  </si>
  <si>
    <t>Deep Learning Powered Estimate of The Extrinsic Parameters on Unmanned Surface Vehicles</t>
  </si>
  <si>
    <t>Navigating Efficiency in MobileViT through Gaussian Process on Global Architecture Factors</t>
  </si>
  <si>
    <t>A Manifold Representation of the Key in Vision Transformers</t>
  </si>
  <si>
    <t>CONFIDE: Contextual Finite Differences Modelling of PDEs</t>
  </si>
  <si>
    <t>Experiences from Integrating Large Language Model Chatbots into the Classroom</t>
  </si>
  <si>
    <t>Skill-aware Mutual Information Optimisation for Generalisation in Reinforcement Learning</t>
  </si>
  <si>
    <t>Online Continual Learning of Video Diffusion Models From a Single Video Stream</t>
  </si>
  <si>
    <t>Neural Networks with (Low-Precision) Polynomial Approximations: New Insights and Techniques for Accuracy Improvement</t>
  </si>
  <si>
    <t>Byzantine Robustness and Partial Participation Can Be Achieved at Once: Just Clip Gradient Differences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</si>
</sst>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80">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
      <strike/>
      <u/>
      <sz val="10"/>
      <color theme="10"/>
      <name val="Arial"/>
      <family val="2"/>
    </font>
    <font>
      <sz val="8"/>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29" fillId="0" borderId="0"/>
    <xf numFmtId="0" fontId="34" fillId="0" borderId="0" applyNumberFormat="0" applyFill="0" applyBorder="0" applyAlignment="0" applyProtection="0"/>
    <xf numFmtId="0" fontId="30" fillId="0" borderId="0"/>
    <xf numFmtId="0" fontId="35" fillId="0" borderId="0" applyNumberFormat="0" applyFill="0" applyBorder="0" applyAlignment="0" applyProtection="0"/>
  </cellStyleXfs>
  <cellXfs count="431">
    <xf numFmtId="0" fontId="0" fillId="0" borderId="0" xfId="0"/>
    <xf numFmtId="0" fontId="30" fillId="0" borderId="0" xfId="1" applyFont="1"/>
    <xf numFmtId="0" fontId="30" fillId="0" borderId="0" xfId="1" applyFont="1" applyAlignment="1">
      <alignment horizontal="right"/>
    </xf>
    <xf numFmtId="3" fontId="30" fillId="0" borderId="0" xfId="1" applyNumberFormat="1" applyFont="1" applyAlignment="1">
      <alignment horizontal="right"/>
    </xf>
    <xf numFmtId="14" fontId="30" fillId="0" borderId="0" xfId="1" applyNumberFormat="1" applyFont="1" applyAlignment="1">
      <alignment horizontal="right"/>
    </xf>
    <xf numFmtId="3" fontId="30" fillId="0" borderId="0" xfId="1" applyNumberFormat="1" applyFont="1"/>
    <xf numFmtId="3" fontId="30" fillId="0" borderId="0" xfId="1" quotePrefix="1" applyNumberFormat="1" applyFont="1" applyAlignment="1">
      <alignment horizontal="right"/>
    </xf>
    <xf numFmtId="0" fontId="30" fillId="0" borderId="0" xfId="1" quotePrefix="1" applyFont="1"/>
    <xf numFmtId="4" fontId="30" fillId="0" borderId="0" xfId="1" applyNumberFormat="1" applyFont="1"/>
    <xf numFmtId="14" fontId="31" fillId="0" borderId="0" xfId="1" applyNumberFormat="1" applyFont="1" applyAlignment="1">
      <alignment horizontal="right"/>
    </xf>
    <xf numFmtId="3" fontId="31" fillId="0" borderId="0" xfId="1" applyNumberFormat="1" applyFont="1" applyAlignment="1">
      <alignment horizontal="right"/>
    </xf>
    <xf numFmtId="0" fontId="31" fillId="0" borderId="0" xfId="1" applyFont="1" applyAlignment="1">
      <alignment horizontal="right"/>
    </xf>
    <xf numFmtId="0" fontId="32" fillId="0" borderId="0" xfId="1" applyFont="1"/>
    <xf numFmtId="0" fontId="32" fillId="0" borderId="0" xfId="1" applyFont="1" applyAlignment="1">
      <alignment horizontal="right"/>
    </xf>
    <xf numFmtId="14" fontId="32" fillId="0" borderId="0" xfId="1" applyNumberFormat="1" applyFont="1" applyAlignment="1">
      <alignment horizontal="right"/>
    </xf>
    <xf numFmtId="3" fontId="32" fillId="0" borderId="0" xfId="1" applyNumberFormat="1" applyFont="1" applyAlignment="1">
      <alignment horizontal="right"/>
    </xf>
    <xf numFmtId="14" fontId="33" fillId="0" borderId="0" xfId="1" applyNumberFormat="1" applyFont="1" applyAlignment="1">
      <alignment horizontal="right"/>
    </xf>
    <xf numFmtId="3" fontId="33" fillId="0" borderId="0" xfId="1" applyNumberFormat="1" applyFont="1" applyAlignment="1">
      <alignment horizontal="right"/>
    </xf>
    <xf numFmtId="0" fontId="33" fillId="0" borderId="0" xfId="1" applyFont="1" applyAlignment="1">
      <alignment horizontal="right"/>
    </xf>
    <xf numFmtId="9" fontId="30" fillId="0" borderId="0" xfId="1" applyNumberFormat="1" applyFont="1"/>
    <xf numFmtId="164" fontId="30" fillId="0" borderId="0" xfId="1" applyNumberFormat="1" applyFont="1"/>
    <xf numFmtId="10" fontId="30" fillId="0" borderId="0" xfId="1" applyNumberFormat="1" applyFont="1"/>
    <xf numFmtId="164" fontId="32" fillId="0" borderId="0" xfId="1" applyNumberFormat="1" applyFont="1"/>
    <xf numFmtId="10" fontId="32" fillId="0" borderId="0" xfId="1" applyNumberFormat="1" applyFont="1"/>
    <xf numFmtId="0" fontId="32" fillId="0" borderId="0" xfId="1" applyFont="1" applyAlignment="1">
      <alignment horizontal="left"/>
    </xf>
    <xf numFmtId="0" fontId="35" fillId="0" borderId="0" xfId="2" applyFont="1"/>
    <xf numFmtId="0" fontId="36" fillId="0" borderId="0" xfId="1" applyFont="1"/>
    <xf numFmtId="14" fontId="37" fillId="0" borderId="0" xfId="1" applyNumberFormat="1" applyFont="1" applyAlignment="1">
      <alignment horizontal="right"/>
    </xf>
    <xf numFmtId="0" fontId="38" fillId="0" borderId="0" xfId="2" applyFont="1"/>
    <xf numFmtId="0" fontId="32" fillId="0" borderId="0" xfId="1" applyFont="1" applyAlignment="1">
      <alignment horizontal="center"/>
    </xf>
    <xf numFmtId="17" fontId="32" fillId="0" borderId="0" xfId="1" applyNumberFormat="1" applyFont="1"/>
    <xf numFmtId="0" fontId="32" fillId="0" borderId="0" xfId="1" quotePrefix="1" applyFont="1" applyAlignment="1">
      <alignment horizontal="right"/>
    </xf>
    <xf numFmtId="0" fontId="39" fillId="0" borderId="0" xfId="1" applyFont="1"/>
    <xf numFmtId="14" fontId="40" fillId="0" borderId="0" xfId="1" applyNumberFormat="1" applyFont="1" applyAlignment="1">
      <alignment horizontal="right"/>
    </xf>
    <xf numFmtId="0" fontId="41" fillId="0" borderId="0" xfId="1" applyFont="1"/>
    <xf numFmtId="17" fontId="32" fillId="0" borderId="0" xfId="1" quotePrefix="1" applyNumberFormat="1" applyFont="1" applyAlignment="1">
      <alignment horizontal="right"/>
    </xf>
    <xf numFmtId="0" fontId="32" fillId="0" borderId="0" xfId="1" quotePrefix="1" applyFont="1"/>
    <xf numFmtId="0" fontId="42" fillId="0" borderId="0" xfId="2" applyFont="1"/>
    <xf numFmtId="17" fontId="41" fillId="0" borderId="0" xfId="1" applyNumberFormat="1" applyFont="1"/>
    <xf numFmtId="3" fontId="37" fillId="0" borderId="0" xfId="1" applyNumberFormat="1" applyFont="1" applyAlignment="1">
      <alignment horizontal="right"/>
    </xf>
    <xf numFmtId="0" fontId="30" fillId="0" borderId="0" xfId="3"/>
    <xf numFmtId="0" fontId="35" fillId="0" borderId="0" xfId="4"/>
    <xf numFmtId="0" fontId="36" fillId="0" borderId="0" xfId="3" applyFont="1"/>
    <xf numFmtId="0" fontId="32" fillId="0" borderId="0" xfId="3" applyFont="1"/>
    <xf numFmtId="0" fontId="34" fillId="0" borderId="0" xfId="2"/>
    <xf numFmtId="0" fontId="30" fillId="0" borderId="0" xfId="0" applyFont="1"/>
    <xf numFmtId="3" fontId="32" fillId="0" borderId="0" xfId="1" applyNumberFormat="1" applyFont="1"/>
    <xf numFmtId="0" fontId="28" fillId="0" borderId="0" xfId="3" applyFont="1"/>
    <xf numFmtId="0" fontId="28" fillId="0" borderId="0" xfId="0" applyFont="1"/>
    <xf numFmtId="0" fontId="32" fillId="0" borderId="0" xfId="0" applyFont="1"/>
    <xf numFmtId="0" fontId="43" fillId="0" borderId="0" xfId="0" applyFont="1"/>
    <xf numFmtId="0" fontId="27" fillId="0" borderId="0" xfId="1" applyFont="1"/>
    <xf numFmtId="0" fontId="27" fillId="0" borderId="0" xfId="1" applyFont="1" applyAlignment="1">
      <alignment horizontal="right"/>
    </xf>
    <xf numFmtId="14" fontId="27" fillId="0" borderId="0" xfId="1" applyNumberFormat="1" applyFont="1" applyAlignment="1">
      <alignment horizontal="right"/>
    </xf>
    <xf numFmtId="0" fontId="26" fillId="0" borderId="0" xfId="1" applyFont="1"/>
    <xf numFmtId="0" fontId="26" fillId="0" borderId="0" xfId="1" applyFont="1" applyAlignment="1">
      <alignment horizontal="right"/>
    </xf>
    <xf numFmtId="14" fontId="26" fillId="0" borderId="0" xfId="1" applyNumberFormat="1" applyFont="1" applyAlignment="1">
      <alignment horizontal="right"/>
    </xf>
    <xf numFmtId="3" fontId="26" fillId="0" borderId="0" xfId="1" applyNumberFormat="1" applyFont="1" applyAlignment="1">
      <alignment horizontal="right"/>
    </xf>
    <xf numFmtId="0" fontId="44" fillId="0" borderId="0" xfId="1" applyFont="1"/>
    <xf numFmtId="0" fontId="44" fillId="0" borderId="0" xfId="2" applyFont="1"/>
    <xf numFmtId="0" fontId="45" fillId="0" borderId="0" xfId="1" applyFont="1"/>
    <xf numFmtId="3" fontId="44" fillId="0" borderId="0" xfId="1" applyNumberFormat="1" applyFont="1" applyAlignment="1">
      <alignment horizontal="right"/>
    </xf>
    <xf numFmtId="20" fontId="44" fillId="0" borderId="0" xfId="2" applyNumberFormat="1" applyFont="1"/>
    <xf numFmtId="165" fontId="44" fillId="0" borderId="0" xfId="1" applyNumberFormat="1" applyFont="1"/>
    <xf numFmtId="165" fontId="44" fillId="0" borderId="0" xfId="2" applyNumberFormat="1" applyFont="1"/>
    <xf numFmtId="165" fontId="45" fillId="0" borderId="0" xfId="1" applyNumberFormat="1" applyFont="1"/>
    <xf numFmtId="165" fontId="45" fillId="0" borderId="0" xfId="2" applyNumberFormat="1" applyFont="1"/>
    <xf numFmtId="46" fontId="44" fillId="0" borderId="0" xfId="1" quotePrefix="1" applyNumberFormat="1" applyFont="1" applyAlignment="1">
      <alignment horizontal="right"/>
    </xf>
    <xf numFmtId="20" fontId="44" fillId="0" borderId="0" xfId="1" applyNumberFormat="1" applyFont="1"/>
    <xf numFmtId="46" fontId="44" fillId="0" borderId="0" xfId="2" quotePrefix="1" applyNumberFormat="1" applyFont="1" applyAlignment="1">
      <alignment horizontal="right"/>
    </xf>
    <xf numFmtId="20" fontId="45" fillId="0" borderId="0" xfId="1" applyNumberFormat="1" applyFont="1"/>
    <xf numFmtId="20" fontId="45" fillId="0" borderId="0" xfId="2" applyNumberFormat="1" applyFont="1"/>
    <xf numFmtId="0" fontId="25" fillId="0" borderId="0" xfId="1" applyFont="1"/>
    <xf numFmtId="0" fontId="25" fillId="0" borderId="0" xfId="1" applyFont="1" applyAlignment="1">
      <alignment horizontal="center"/>
    </xf>
    <xf numFmtId="3" fontId="25" fillId="0" borderId="0" xfId="1" applyNumberFormat="1" applyFont="1" applyAlignment="1">
      <alignment horizontal="right"/>
    </xf>
    <xf numFmtId="0" fontId="25" fillId="0" borderId="0" xfId="1" applyFont="1" applyAlignment="1">
      <alignment horizontal="right"/>
    </xf>
    <xf numFmtId="0" fontId="25" fillId="0" borderId="0" xfId="1" applyFont="1" applyAlignment="1">
      <alignment horizontal="left"/>
    </xf>
    <xf numFmtId="14" fontId="25" fillId="0" borderId="0" xfId="1" applyNumberFormat="1" applyFont="1" applyAlignment="1">
      <alignment horizontal="right"/>
    </xf>
    <xf numFmtId="14" fontId="25" fillId="0" borderId="0" xfId="1" applyNumberFormat="1" applyFont="1"/>
    <xf numFmtId="3" fontId="25" fillId="2" borderId="0" xfId="1" applyNumberFormat="1" applyFont="1" applyFill="1" applyAlignment="1">
      <alignment horizontal="right"/>
    </xf>
    <xf numFmtId="3" fontId="25" fillId="0" borderId="0" xfId="1" applyNumberFormat="1" applyFont="1" applyAlignment="1">
      <alignment horizontal="left"/>
    </xf>
    <xf numFmtId="4" fontId="25" fillId="0" borderId="0" xfId="1" applyNumberFormat="1" applyFont="1" applyAlignment="1">
      <alignment horizontal="left"/>
    </xf>
    <xf numFmtId="14" fontId="25" fillId="0" borderId="0" xfId="1" applyNumberFormat="1" applyFont="1" applyAlignment="1">
      <alignment horizontal="left"/>
    </xf>
    <xf numFmtId="17" fontId="25" fillId="0" borderId="0" xfId="1" applyNumberFormat="1" applyFont="1"/>
    <xf numFmtId="17" fontId="25" fillId="0" borderId="0" xfId="1" quotePrefix="1" applyNumberFormat="1" applyFont="1" applyAlignment="1">
      <alignment horizontal="right"/>
    </xf>
    <xf numFmtId="14" fontId="25" fillId="0" borderId="0" xfId="1" quotePrefix="1" applyNumberFormat="1" applyFont="1" applyAlignment="1">
      <alignment horizontal="right"/>
    </xf>
    <xf numFmtId="0" fontId="25" fillId="0" borderId="0" xfId="1" quotePrefix="1" applyFont="1" applyAlignment="1">
      <alignment horizontal="right"/>
    </xf>
    <xf numFmtId="3" fontId="25" fillId="0" borderId="0" xfId="1" applyNumberFormat="1" applyFont="1"/>
    <xf numFmtId="0" fontId="25" fillId="0" borderId="0" xfId="1" quotePrefix="1" applyFont="1"/>
    <xf numFmtId="0" fontId="25" fillId="0" borderId="1" xfId="1" applyFont="1" applyBorder="1"/>
    <xf numFmtId="0" fontId="24" fillId="0" borderId="0" xfId="3" applyFont="1"/>
    <xf numFmtId="0" fontId="24" fillId="0" borderId="0" xfId="1" applyFont="1"/>
    <xf numFmtId="0" fontId="24" fillId="0" borderId="0" xfId="1" applyFont="1" applyAlignment="1">
      <alignment horizontal="right"/>
    </xf>
    <xf numFmtId="0" fontId="24" fillId="0" borderId="0" xfId="1" applyFont="1" applyAlignment="1">
      <alignment horizontal="left"/>
    </xf>
    <xf numFmtId="3" fontId="24" fillId="0" borderId="0" xfId="1" applyNumberFormat="1" applyFont="1" applyAlignment="1">
      <alignment horizontal="right"/>
    </xf>
    <xf numFmtId="0" fontId="24" fillId="0" borderId="0" xfId="0" applyFont="1"/>
    <xf numFmtId="0" fontId="24" fillId="0" borderId="0" xfId="1" applyFont="1" applyAlignment="1">
      <alignment horizontal="center"/>
    </xf>
    <xf numFmtId="0" fontId="48" fillId="0" borderId="0" xfId="0" applyFont="1"/>
    <xf numFmtId="14" fontId="24" fillId="0" borderId="0" xfId="1" applyNumberFormat="1" applyFont="1" applyAlignment="1">
      <alignment horizontal="left"/>
    </xf>
    <xf numFmtId="0" fontId="32" fillId="0" borderId="0" xfId="0" applyFont="1" applyAlignment="1">
      <alignment horizontal="right"/>
    </xf>
    <xf numFmtId="0" fontId="49" fillId="0" borderId="0" xfId="2" applyFont="1" applyAlignment="1"/>
    <xf numFmtId="0" fontId="35" fillId="0" borderId="0" xfId="2" applyFont="1" applyAlignment="1">
      <alignment horizontal="left"/>
    </xf>
    <xf numFmtId="3" fontId="24" fillId="0" borderId="0" xfId="1" applyNumberFormat="1" applyFont="1" applyAlignment="1">
      <alignment horizontal="left"/>
    </xf>
    <xf numFmtId="14" fontId="24" fillId="0" borderId="0" xfId="1" applyNumberFormat="1" applyFont="1" applyAlignment="1">
      <alignment horizontal="right"/>
    </xf>
    <xf numFmtId="9" fontId="24" fillId="0" borderId="0" xfId="1" applyNumberFormat="1" applyFont="1"/>
    <xf numFmtId="3" fontId="35" fillId="0" borderId="0" xfId="2" applyNumberFormat="1" applyFont="1" applyAlignment="1">
      <alignment horizontal="left"/>
    </xf>
    <xf numFmtId="0" fontId="23" fillId="0" borderId="0" xfId="1" applyFont="1"/>
    <xf numFmtId="0" fontId="22" fillId="0" borderId="0" xfId="0" applyFont="1"/>
    <xf numFmtId="0" fontId="22" fillId="0" borderId="0" xfId="3" applyFont="1"/>
    <xf numFmtId="0" fontId="22" fillId="0" borderId="0" xfId="3" applyFont="1" applyAlignment="1">
      <alignment horizontal="left"/>
    </xf>
    <xf numFmtId="0" fontId="36" fillId="0" borderId="0" xfId="3" applyFont="1" applyAlignment="1">
      <alignment horizontal="left"/>
    </xf>
    <xf numFmtId="0" fontId="22" fillId="8" borderId="2" xfId="3" applyFont="1" applyFill="1" applyBorder="1" applyAlignment="1">
      <alignment horizontal="left"/>
    </xf>
    <xf numFmtId="0" fontId="22" fillId="9" borderId="2" xfId="3" applyFont="1" applyFill="1" applyBorder="1" applyAlignment="1">
      <alignment horizontal="left"/>
    </xf>
    <xf numFmtId="0" fontId="22" fillId="5" borderId="2" xfId="3" applyFont="1" applyFill="1" applyBorder="1" applyAlignment="1">
      <alignment horizontal="left"/>
    </xf>
    <xf numFmtId="0" fontId="22" fillId="4" borderId="2" xfId="3" applyFont="1" applyFill="1" applyBorder="1" applyAlignment="1">
      <alignment horizontal="left"/>
    </xf>
    <xf numFmtId="0" fontId="22" fillId="9" borderId="2" xfId="3" applyFont="1" applyFill="1" applyBorder="1"/>
    <xf numFmtId="0" fontId="22" fillId="5" borderId="2" xfId="3" applyFont="1" applyFill="1" applyBorder="1"/>
    <xf numFmtId="0" fontId="22" fillId="10" borderId="2" xfId="3" applyFont="1" applyFill="1" applyBorder="1"/>
    <xf numFmtId="0" fontId="22" fillId="7" borderId="2" xfId="3" applyFont="1" applyFill="1" applyBorder="1" applyAlignment="1">
      <alignment horizontal="left"/>
    </xf>
    <xf numFmtId="0" fontId="22" fillId="4" borderId="2" xfId="3" applyFont="1" applyFill="1" applyBorder="1"/>
    <xf numFmtId="0" fontId="22" fillId="0" borderId="0" xfId="2" applyFont="1"/>
    <xf numFmtId="0" fontId="22" fillId="11" borderId="2" xfId="3" applyFont="1" applyFill="1" applyBorder="1"/>
    <xf numFmtId="0" fontId="22" fillId="8" borderId="2" xfId="3" applyFont="1" applyFill="1" applyBorder="1"/>
    <xf numFmtId="0" fontId="22" fillId="7" borderId="2" xfId="3" applyFont="1" applyFill="1" applyBorder="1"/>
    <xf numFmtId="0" fontId="22" fillId="11" borderId="2" xfId="3" applyFont="1" applyFill="1" applyBorder="1" applyAlignment="1">
      <alignment horizontal="left"/>
    </xf>
    <xf numFmtId="0" fontId="22" fillId="6" borderId="2" xfId="3" applyFont="1" applyFill="1" applyBorder="1"/>
    <xf numFmtId="0" fontId="22" fillId="0" borderId="0" xfId="0" applyFont="1" applyAlignment="1">
      <alignment horizontal="right"/>
    </xf>
    <xf numFmtId="17" fontId="22" fillId="0" borderId="0" xfId="0" applyNumberFormat="1" applyFont="1" applyAlignment="1">
      <alignment horizontal="right"/>
    </xf>
    <xf numFmtId="14" fontId="22" fillId="0" borderId="0" xfId="0" applyNumberFormat="1" applyFont="1" applyAlignment="1">
      <alignment horizontal="right"/>
    </xf>
    <xf numFmtId="17" fontId="32" fillId="0" borderId="0" xfId="0" applyNumberFormat="1" applyFont="1" applyAlignment="1">
      <alignment horizontal="right"/>
    </xf>
    <xf numFmtId="17" fontId="22" fillId="0" borderId="0" xfId="0" quotePrefix="1" applyNumberFormat="1" applyFont="1" applyAlignment="1">
      <alignment horizontal="right"/>
    </xf>
    <xf numFmtId="0" fontId="22" fillId="0" borderId="0" xfId="3" applyFont="1" applyAlignment="1">
      <alignment horizontal="center"/>
    </xf>
    <xf numFmtId="3" fontId="22" fillId="0" borderId="0" xfId="3" applyNumberFormat="1" applyFont="1" applyAlignment="1">
      <alignment horizontal="right"/>
    </xf>
    <xf numFmtId="0" fontId="22" fillId="0" borderId="0" xfId="3" applyFont="1" applyAlignment="1">
      <alignment horizontal="right"/>
    </xf>
    <xf numFmtId="0" fontId="22" fillId="0" borderId="0" xfId="1" applyFont="1"/>
    <xf numFmtId="0" fontId="50" fillId="0" borderId="0" xfId="3" applyFont="1"/>
    <xf numFmtId="0" fontId="22" fillId="3" borderId="2" xfId="3" applyFont="1" applyFill="1" applyBorder="1"/>
    <xf numFmtId="14" fontId="22" fillId="0" borderId="0" xfId="3" applyNumberFormat="1" applyFont="1" applyAlignment="1">
      <alignment horizontal="left"/>
    </xf>
    <xf numFmtId="0" fontId="51" fillId="0" borderId="0" xfId="2" applyFont="1"/>
    <xf numFmtId="0" fontId="22" fillId="0" borderId="0" xfId="1" applyFont="1" applyAlignment="1">
      <alignment horizontal="left"/>
    </xf>
    <xf numFmtId="0" fontId="22" fillId="0" borderId="0" xfId="1" applyFont="1" applyAlignment="1">
      <alignment horizontal="right"/>
    </xf>
    <xf numFmtId="14" fontId="48" fillId="0" borderId="0" xfId="0" applyNumberFormat="1" applyFont="1"/>
    <xf numFmtId="0" fontId="36" fillId="0" borderId="0" xfId="0" applyFont="1"/>
    <xf numFmtId="0" fontId="52" fillId="0" borderId="0" xfId="2" applyFont="1"/>
    <xf numFmtId="0" fontId="38" fillId="0" borderId="0" xfId="2" applyFont="1" applyAlignment="1">
      <alignment horizontal="left"/>
    </xf>
    <xf numFmtId="14" fontId="22" fillId="0" borderId="0" xfId="1" applyNumberFormat="1" applyFont="1" applyAlignment="1">
      <alignment horizontal="left"/>
    </xf>
    <xf numFmtId="3" fontId="22" fillId="0" borderId="0" xfId="0" applyNumberFormat="1" applyFont="1"/>
    <xf numFmtId="3" fontId="22" fillId="0" borderId="0" xfId="3" applyNumberFormat="1" applyFont="1" applyAlignment="1">
      <alignment horizontal="left"/>
    </xf>
    <xf numFmtId="0" fontId="35" fillId="0" borderId="0" xfId="4" applyAlignment="1">
      <alignment horizontal="left"/>
    </xf>
    <xf numFmtId="0" fontId="35" fillId="0" borderId="0" xfId="4" applyAlignment="1"/>
    <xf numFmtId="3" fontId="22" fillId="0" borderId="0" xfId="0" applyNumberFormat="1" applyFont="1" applyAlignment="1">
      <alignment horizontal="right"/>
    </xf>
    <xf numFmtId="0" fontId="34" fillId="0" borderId="0" xfId="2" applyAlignment="1">
      <alignment horizontal="left"/>
    </xf>
    <xf numFmtId="0" fontId="21" fillId="0" borderId="0" xfId="1" applyFont="1"/>
    <xf numFmtId="0" fontId="21" fillId="0" borderId="0" xfId="1" applyFont="1" applyAlignment="1">
      <alignment horizontal="right"/>
    </xf>
    <xf numFmtId="3" fontId="21" fillId="0" borderId="0" xfId="1" applyNumberFormat="1" applyFont="1" applyAlignment="1">
      <alignment horizontal="right"/>
    </xf>
    <xf numFmtId="14" fontId="21" fillId="0" borderId="0" xfId="1" applyNumberFormat="1" applyFont="1" applyAlignment="1">
      <alignment horizontal="right"/>
    </xf>
    <xf numFmtId="0" fontId="21" fillId="0" borderId="0" xfId="1" applyFont="1" applyAlignment="1">
      <alignment horizontal="left"/>
    </xf>
    <xf numFmtId="0" fontId="21" fillId="0" borderId="0" xfId="1" applyFont="1" applyAlignment="1">
      <alignment horizontal="center"/>
    </xf>
    <xf numFmtId="17" fontId="21" fillId="0" borderId="0" xfId="1" applyNumberFormat="1" applyFont="1"/>
    <xf numFmtId="0" fontId="21" fillId="0" borderId="0" xfId="3" applyFont="1"/>
    <xf numFmtId="0" fontId="21" fillId="0" borderId="0" xfId="3" applyFont="1" applyAlignment="1">
      <alignment horizontal="left"/>
    </xf>
    <xf numFmtId="0" fontId="21" fillId="0" borderId="0" xfId="0" applyFont="1"/>
    <xf numFmtId="3" fontId="34" fillId="0" borderId="0" xfId="2" applyNumberFormat="1" applyAlignment="1">
      <alignment horizontal="left"/>
    </xf>
    <xf numFmtId="14" fontId="21" fillId="0" borderId="0" xfId="3" applyNumberFormat="1" applyFont="1" applyAlignment="1">
      <alignment horizontal="left"/>
    </xf>
    <xf numFmtId="0" fontId="21" fillId="8" borderId="2" xfId="3" applyFont="1" applyFill="1" applyBorder="1" applyAlignment="1">
      <alignment horizontal="right"/>
    </xf>
    <xf numFmtId="0" fontId="20" fillId="0" borderId="0" xfId="1" applyFont="1"/>
    <xf numFmtId="0" fontId="20" fillId="0" borderId="0" xfId="1" applyFont="1" applyAlignment="1">
      <alignment horizontal="center"/>
    </xf>
    <xf numFmtId="3" fontId="20" fillId="0" borderId="0" xfId="1" applyNumberFormat="1" applyFont="1" applyAlignment="1">
      <alignment horizontal="right"/>
    </xf>
    <xf numFmtId="0" fontId="20" fillId="0" borderId="0" xfId="1" applyFont="1" applyAlignment="1">
      <alignment horizontal="right"/>
    </xf>
    <xf numFmtId="0" fontId="20" fillId="0" borderId="0" xfId="1" applyFont="1" applyAlignment="1">
      <alignment horizontal="left"/>
    </xf>
    <xf numFmtId="14" fontId="20" fillId="0" borderId="0" xfId="1" applyNumberFormat="1" applyFont="1" applyAlignment="1">
      <alignment horizontal="right"/>
    </xf>
    <xf numFmtId="17" fontId="20" fillId="0" borderId="0" xfId="1" applyNumberFormat="1" applyFont="1"/>
    <xf numFmtId="14" fontId="20" fillId="0" borderId="0" xfId="1" applyNumberFormat="1" applyFont="1"/>
    <xf numFmtId="0" fontId="19" fillId="0" borderId="0" xfId="1" applyFont="1"/>
    <xf numFmtId="0" fontId="19" fillId="0" borderId="0" xfId="1" applyFont="1" applyAlignment="1">
      <alignment horizontal="right"/>
    </xf>
    <xf numFmtId="0" fontId="18" fillId="0" borderId="0" xfId="3" applyFont="1"/>
    <xf numFmtId="0" fontId="18" fillId="0" borderId="0" xfId="1" applyFont="1"/>
    <xf numFmtId="0" fontId="18" fillId="0" borderId="0" xfId="1" applyFont="1" applyAlignment="1">
      <alignment horizontal="right"/>
    </xf>
    <xf numFmtId="3" fontId="18" fillId="0" borderId="0" xfId="1" applyNumberFormat="1" applyFont="1" applyAlignment="1">
      <alignment horizontal="right"/>
    </xf>
    <xf numFmtId="0" fontId="18" fillId="0" borderId="0" xfId="1" applyFont="1" applyAlignment="1">
      <alignment horizontal="left"/>
    </xf>
    <xf numFmtId="0" fontId="37" fillId="0" borderId="0" xfId="1" applyFont="1"/>
    <xf numFmtId="0" fontId="37" fillId="0" borderId="0" xfId="1" applyFont="1" applyAlignment="1">
      <alignment horizontal="center"/>
    </xf>
    <xf numFmtId="0" fontId="37" fillId="0" borderId="0" xfId="1" applyFont="1" applyAlignment="1">
      <alignment horizontal="left"/>
    </xf>
    <xf numFmtId="20" fontId="53" fillId="0" borderId="0" xfId="2" applyNumberFormat="1" applyFont="1"/>
    <xf numFmtId="0" fontId="18" fillId="0" borderId="0" xfId="1" applyFont="1" applyAlignment="1">
      <alignment horizontal="center"/>
    </xf>
    <xf numFmtId="14" fontId="18" fillId="0" borderId="0" xfId="1" applyNumberFormat="1" applyFont="1" applyAlignment="1">
      <alignment horizontal="right"/>
    </xf>
    <xf numFmtId="0" fontId="35" fillId="0" borderId="0" xfId="2" applyNumberFormat="1" applyFont="1"/>
    <xf numFmtId="0" fontId="18" fillId="0" borderId="0" xfId="1" quotePrefix="1" applyFont="1" applyAlignment="1">
      <alignment horizontal="right"/>
    </xf>
    <xf numFmtId="17" fontId="18" fillId="0" borderId="0" xfId="1" quotePrefix="1" applyNumberFormat="1" applyFont="1" applyAlignment="1">
      <alignment horizontal="right"/>
    </xf>
    <xf numFmtId="3" fontId="18" fillId="0" borderId="0" xfId="1" applyNumberFormat="1" applyFont="1" applyAlignment="1">
      <alignment horizontal="left"/>
    </xf>
    <xf numFmtId="17" fontId="18" fillId="0" borderId="0" xfId="1" applyNumberFormat="1" applyFont="1"/>
    <xf numFmtId="14" fontId="18" fillId="0" borderId="0" xfId="1" applyNumberFormat="1" applyFont="1"/>
    <xf numFmtId="14" fontId="18" fillId="0" borderId="0" xfId="1" applyNumberFormat="1" applyFont="1" applyAlignment="1">
      <alignment horizontal="left"/>
    </xf>
    <xf numFmtId="0" fontId="18" fillId="0" borderId="0" xfId="3" applyFont="1" applyAlignment="1">
      <alignment horizontal="left"/>
    </xf>
    <xf numFmtId="14" fontId="18" fillId="0" borderId="3" xfId="1" applyNumberFormat="1" applyFont="1" applyBorder="1" applyAlignment="1">
      <alignment horizontal="right"/>
    </xf>
    <xf numFmtId="0" fontId="18" fillId="2" borderId="0" xfId="1" applyFont="1" applyFill="1"/>
    <xf numFmtId="0" fontId="18" fillId="5" borderId="2" xfId="3" applyFont="1" applyFill="1" applyBorder="1"/>
    <xf numFmtId="0" fontId="18" fillId="8" borderId="2" xfId="3" applyFont="1" applyFill="1" applyBorder="1"/>
    <xf numFmtId="0" fontId="32" fillId="0" borderId="0" xfId="3" applyFont="1" applyAlignment="1">
      <alignment horizontal="left"/>
    </xf>
    <xf numFmtId="0" fontId="18" fillId="0" borderId="0" xfId="0" applyFont="1"/>
    <xf numFmtId="0" fontId="18" fillId="0" borderId="0" xfId="0" applyFont="1" applyAlignment="1">
      <alignment horizontal="right"/>
    </xf>
    <xf numFmtId="17" fontId="18" fillId="0" borderId="0" xfId="0" applyNumberFormat="1" applyFont="1" applyAlignment="1">
      <alignment horizontal="right"/>
    </xf>
    <xf numFmtId="0" fontId="30" fillId="0" borderId="0" xfId="0" applyFont="1" applyAlignment="1">
      <alignment horizontal="center"/>
    </xf>
    <xf numFmtId="0" fontId="18" fillId="0" borderId="0" xfId="0" applyFont="1" applyAlignment="1">
      <alignment horizontal="center"/>
    </xf>
    <xf numFmtId="0" fontId="17" fillId="0" borderId="0" xfId="1" applyFont="1"/>
    <xf numFmtId="0" fontId="17" fillId="0" borderId="0" xfId="3" applyFont="1"/>
    <xf numFmtId="0" fontId="17" fillId="0" borderId="0" xfId="0" applyFont="1"/>
    <xf numFmtId="0" fontId="17" fillId="0" borderId="0" xfId="3" applyFont="1" applyAlignment="1">
      <alignment horizontal="left"/>
    </xf>
    <xf numFmtId="0" fontId="17" fillId="0" borderId="0" xfId="0" applyFont="1" applyAlignment="1">
      <alignment horizontal="center"/>
    </xf>
    <xf numFmtId="0" fontId="50" fillId="0" borderId="0" xfId="0" applyFont="1"/>
    <xf numFmtId="0" fontId="50" fillId="0" borderId="0" xfId="0" applyFont="1" applyAlignment="1">
      <alignment horizontal="right"/>
    </xf>
    <xf numFmtId="3" fontId="17" fillId="0" borderId="0" xfId="1" applyNumberFormat="1" applyFont="1" applyAlignment="1">
      <alignment horizontal="right"/>
    </xf>
    <xf numFmtId="0" fontId="16" fillId="0" borderId="0" xfId="3" applyFont="1"/>
    <xf numFmtId="0" fontId="16" fillId="0" borderId="0" xfId="3" applyFont="1" applyAlignment="1">
      <alignment horizontal="left"/>
    </xf>
    <xf numFmtId="14" fontId="16" fillId="0" borderId="0" xfId="3" applyNumberFormat="1" applyFont="1" applyAlignment="1">
      <alignment horizontal="left"/>
    </xf>
    <xf numFmtId="0" fontId="16" fillId="0" borderId="0" xfId="1" applyFont="1" applyAlignment="1">
      <alignment horizontal="center"/>
    </xf>
    <xf numFmtId="0" fontId="16" fillId="0" borderId="0" xfId="1" applyFont="1"/>
    <xf numFmtId="0" fontId="16" fillId="0" borderId="0" xfId="1" applyFont="1" applyAlignment="1">
      <alignment horizontal="left"/>
    </xf>
    <xf numFmtId="0" fontId="35" fillId="0" borderId="0" xfId="2" applyFont="1" applyBorder="1"/>
    <xf numFmtId="20" fontId="44" fillId="0" borderId="0" xfId="2" applyNumberFormat="1" applyFont="1" applyBorder="1"/>
    <xf numFmtId="0" fontId="16" fillId="0" borderId="0" xfId="0" applyFont="1"/>
    <xf numFmtId="3" fontId="16" fillId="0" borderId="0" xfId="1" applyNumberFormat="1" applyFont="1" applyAlignment="1">
      <alignment horizontal="right"/>
    </xf>
    <xf numFmtId="14" fontId="16" fillId="0" borderId="0" xfId="1" applyNumberFormat="1" applyFont="1" applyAlignment="1">
      <alignment horizontal="right"/>
    </xf>
    <xf numFmtId="14" fontId="25" fillId="2" borderId="0" xfId="1" applyNumberFormat="1" applyFont="1" applyFill="1" applyAlignment="1">
      <alignment horizontal="right"/>
    </xf>
    <xf numFmtId="1" fontId="18" fillId="0" borderId="0" xfId="1" applyNumberFormat="1" applyFont="1" applyAlignment="1">
      <alignment horizontal="right"/>
    </xf>
    <xf numFmtId="1" fontId="20" fillId="0" borderId="0" xfId="1" applyNumberFormat="1" applyFont="1" applyAlignment="1">
      <alignment horizontal="right"/>
    </xf>
    <xf numFmtId="14" fontId="16" fillId="0" borderId="0" xfId="1" applyNumberFormat="1" applyFont="1"/>
    <xf numFmtId="0" fontId="16" fillId="0" borderId="0" xfId="1" applyFont="1" applyAlignment="1">
      <alignment horizontal="right"/>
    </xf>
    <xf numFmtId="0" fontId="35" fillId="2" borderId="0" xfId="2" applyFont="1" applyFill="1" applyAlignment="1">
      <alignment horizontal="left"/>
    </xf>
    <xf numFmtId="0" fontId="22" fillId="0" borderId="0" xfId="3" applyFont="1" applyAlignment="1">
      <alignment wrapText="1"/>
    </xf>
    <xf numFmtId="0" fontId="15" fillId="0" borderId="0" xfId="0" applyFont="1"/>
    <xf numFmtId="0" fontId="15" fillId="0" borderId="0" xfId="0" applyFont="1" applyAlignment="1">
      <alignment horizontal="right"/>
    </xf>
    <xf numFmtId="0" fontId="15" fillId="0" borderId="0" xfId="3" applyFont="1"/>
    <xf numFmtId="17" fontId="15" fillId="0" borderId="0" xfId="0" applyNumberFormat="1" applyFont="1" applyAlignment="1">
      <alignment horizontal="right"/>
    </xf>
    <xf numFmtId="0" fontId="15" fillId="0" borderId="0" xfId="0" applyFont="1" applyAlignment="1">
      <alignment horizontal="left"/>
    </xf>
    <xf numFmtId="0" fontId="15" fillId="0" borderId="0" xfId="3" applyFont="1" applyAlignment="1">
      <alignment horizontal="right"/>
    </xf>
    <xf numFmtId="0" fontId="14" fillId="0" borderId="0" xfId="0" applyFont="1"/>
    <xf numFmtId="0" fontId="14" fillId="0" borderId="0" xfId="1" applyFont="1" applyAlignment="1">
      <alignment horizontal="center"/>
    </xf>
    <xf numFmtId="0" fontId="14" fillId="0" borderId="0" xfId="1" applyFont="1"/>
    <xf numFmtId="14" fontId="14" fillId="0" borderId="0" xfId="1" applyNumberFormat="1" applyFont="1"/>
    <xf numFmtId="0" fontId="14" fillId="0" borderId="0" xfId="1" applyFont="1" applyAlignment="1">
      <alignment horizontal="left"/>
    </xf>
    <xf numFmtId="0" fontId="14" fillId="0" borderId="0" xfId="1" applyFont="1" applyAlignment="1">
      <alignment horizontal="right"/>
    </xf>
    <xf numFmtId="0" fontId="48" fillId="0" borderId="0" xfId="0" applyFont="1" applyAlignment="1">
      <alignment horizontal="right"/>
    </xf>
    <xf numFmtId="0" fontId="14" fillId="0" borderId="0" xfId="0" applyFont="1" applyAlignment="1">
      <alignment horizontal="right"/>
    </xf>
    <xf numFmtId="0" fontId="14" fillId="0" borderId="0" xfId="0" applyFont="1" applyAlignment="1">
      <alignment horizontal="left"/>
    </xf>
    <xf numFmtId="0" fontId="14" fillId="0" borderId="0" xfId="3" applyFont="1"/>
    <xf numFmtId="0" fontId="14" fillId="0" borderId="0" xfId="3" applyFont="1" applyAlignment="1">
      <alignment horizontal="left"/>
    </xf>
    <xf numFmtId="14" fontId="14" fillId="0" borderId="0" xfId="1" applyNumberFormat="1" applyFont="1" applyAlignment="1">
      <alignment horizontal="right"/>
    </xf>
    <xf numFmtId="3" fontId="14" fillId="0" borderId="0" xfId="1" applyNumberFormat="1" applyFont="1"/>
    <xf numFmtId="14" fontId="32" fillId="0" borderId="0" xfId="1" applyNumberFormat="1" applyFont="1"/>
    <xf numFmtId="0" fontId="14" fillId="0" borderId="0" xfId="0" applyFont="1" applyAlignment="1">
      <alignment horizontal="center"/>
    </xf>
    <xf numFmtId="0" fontId="35" fillId="0" borderId="0" xfId="2" applyNumberFormat="1" applyFont="1" applyAlignment="1"/>
    <xf numFmtId="1" fontId="25" fillId="0" borderId="0" xfId="1" applyNumberFormat="1" applyFont="1"/>
    <xf numFmtId="0" fontId="14" fillId="2" borderId="0" xfId="1" applyFont="1" applyFill="1"/>
    <xf numFmtId="0" fontId="14" fillId="3" borderId="0" xfId="1" applyFont="1" applyFill="1"/>
    <xf numFmtId="0" fontId="14" fillId="8" borderId="2" xfId="3" applyFont="1" applyFill="1" applyBorder="1"/>
    <xf numFmtId="0" fontId="14" fillId="0" borderId="0" xfId="2" applyFont="1"/>
    <xf numFmtId="4" fontId="22" fillId="0" borderId="0" xfId="0" applyNumberFormat="1" applyFont="1"/>
    <xf numFmtId="0" fontId="14" fillId="0" borderId="0" xfId="3" applyFont="1" applyAlignment="1">
      <alignment wrapText="1"/>
    </xf>
    <xf numFmtId="0" fontId="32" fillId="3" borderId="0" xfId="1" applyFont="1" applyFill="1"/>
    <xf numFmtId="0" fontId="37" fillId="3" borderId="0" xfId="1" applyFont="1" applyFill="1"/>
    <xf numFmtId="0" fontId="14" fillId="3" borderId="0" xfId="0" applyFont="1" applyFill="1"/>
    <xf numFmtId="4" fontId="43" fillId="0" borderId="0" xfId="0" applyNumberFormat="1" applyFont="1"/>
    <xf numFmtId="0" fontId="13" fillId="0" borderId="0" xfId="0" applyFont="1"/>
    <xf numFmtId="0" fontId="13" fillId="0" borderId="0" xfId="1" applyFont="1"/>
    <xf numFmtId="0" fontId="13" fillId="0" borderId="0" xfId="1" applyFont="1" applyAlignment="1">
      <alignment horizontal="right"/>
    </xf>
    <xf numFmtId="3" fontId="13" fillId="0" borderId="0" xfId="1" applyNumberFormat="1" applyFont="1" applyAlignment="1">
      <alignment horizontal="right"/>
    </xf>
    <xf numFmtId="0" fontId="13" fillId="0" borderId="0" xfId="1" applyFont="1" applyAlignment="1">
      <alignment horizontal="left"/>
    </xf>
    <xf numFmtId="3" fontId="13" fillId="0" borderId="0" xfId="1" applyNumberFormat="1" applyFont="1"/>
    <xf numFmtId="0" fontId="12" fillId="0" borderId="0" xfId="0" applyFont="1"/>
    <xf numFmtId="0" fontId="12" fillId="0" borderId="0" xfId="3" applyFont="1"/>
    <xf numFmtId="0" fontId="12" fillId="0" borderId="0" xfId="3" applyFont="1" applyAlignment="1">
      <alignment horizontal="left"/>
    </xf>
    <xf numFmtId="0" fontId="11" fillId="0" borderId="0" xfId="3" applyFont="1"/>
    <xf numFmtId="0" fontId="54" fillId="0" borderId="0" xfId="0" applyFont="1"/>
    <xf numFmtId="0" fontId="11" fillId="0" borderId="0" xfId="1" applyFont="1"/>
    <xf numFmtId="0" fontId="11" fillId="0" borderId="0" xfId="1" applyFont="1" applyAlignment="1">
      <alignment horizontal="center"/>
    </xf>
    <xf numFmtId="17" fontId="25" fillId="0" borderId="0" xfId="1" applyNumberFormat="1" applyFont="1" applyAlignment="1">
      <alignment horizontal="right"/>
    </xf>
    <xf numFmtId="0" fontId="11" fillId="0" borderId="0" xfId="0" applyFont="1"/>
    <xf numFmtId="0" fontId="11" fillId="0" borderId="0" xfId="3" applyFont="1" applyAlignment="1">
      <alignment horizontal="left"/>
    </xf>
    <xf numFmtId="0" fontId="11" fillId="8" borderId="2" xfId="3" applyFont="1" applyFill="1" applyBorder="1"/>
    <xf numFmtId="0" fontId="61" fillId="0" borderId="0" xfId="2" applyFont="1"/>
    <xf numFmtId="0" fontId="62" fillId="0" borderId="0" xfId="0" applyFont="1"/>
    <xf numFmtId="0" fontId="63" fillId="0" borderId="0" xfId="0" applyFont="1"/>
    <xf numFmtId="14" fontId="43" fillId="0" borderId="0" xfId="0" applyNumberFormat="1" applyFont="1"/>
    <xf numFmtId="3" fontId="43" fillId="0" borderId="0" xfId="0" applyNumberFormat="1" applyFont="1"/>
    <xf numFmtId="0" fontId="65" fillId="0" borderId="0" xfId="2" applyFont="1"/>
    <xf numFmtId="0" fontId="64" fillId="0" borderId="0" xfId="0" applyFont="1"/>
    <xf numFmtId="0" fontId="66" fillId="0" borderId="0" xfId="0" applyFont="1" applyAlignment="1">
      <alignment horizontal="right"/>
    </xf>
    <xf numFmtId="0" fontId="43" fillId="0" borderId="0" xfId="0" applyFont="1" applyAlignment="1">
      <alignment horizontal="right"/>
    </xf>
    <xf numFmtId="168" fontId="43" fillId="0" borderId="0" xfId="0" applyNumberFormat="1" applyFont="1"/>
    <xf numFmtId="167" fontId="43" fillId="0" borderId="0" xfId="0" applyNumberFormat="1" applyFont="1"/>
    <xf numFmtId="0" fontId="67" fillId="0" borderId="0" xfId="0" applyFont="1"/>
    <xf numFmtId="4" fontId="67" fillId="0" borderId="0" xfId="0" applyNumberFormat="1" applyFont="1"/>
    <xf numFmtId="0" fontId="67" fillId="0" borderId="0" xfId="0" applyFont="1" applyAlignment="1">
      <alignment horizontal="right"/>
    </xf>
    <xf numFmtId="167" fontId="67" fillId="0" borderId="0" xfId="0" applyNumberFormat="1" applyFont="1"/>
    <xf numFmtId="0" fontId="43" fillId="0" borderId="0" xfId="1" applyFont="1"/>
    <xf numFmtId="0" fontId="43" fillId="0" borderId="0" xfId="0" applyFont="1" applyAlignment="1">
      <alignment horizontal="left"/>
    </xf>
    <xf numFmtId="0" fontId="61" fillId="0" borderId="0" xfId="2" applyFont="1" applyAlignment="1">
      <alignment horizontal="left"/>
    </xf>
    <xf numFmtId="0" fontId="66" fillId="0" borderId="0" xfId="0" applyFont="1" applyAlignment="1">
      <alignment horizontal="left"/>
    </xf>
    <xf numFmtId="0" fontId="68" fillId="0" borderId="0" xfId="2" applyFont="1" applyAlignment="1">
      <alignment horizontal="left"/>
    </xf>
    <xf numFmtId="0" fontId="67" fillId="0" borderId="0" xfId="0" applyFont="1" applyAlignment="1">
      <alignment horizontal="left"/>
    </xf>
    <xf numFmtId="0" fontId="64" fillId="0" borderId="0" xfId="0" applyFont="1" applyAlignment="1">
      <alignment horizontal="left"/>
    </xf>
    <xf numFmtId="0" fontId="43" fillId="0" borderId="0" xfId="0" quotePrefix="1" applyFont="1" applyAlignment="1">
      <alignment horizontal="left"/>
    </xf>
    <xf numFmtId="4" fontId="64" fillId="0" borderId="0" xfId="0" applyNumberFormat="1" applyFont="1"/>
    <xf numFmtId="0" fontId="64" fillId="0" borderId="0" xfId="0" applyFont="1" applyAlignment="1">
      <alignment horizontal="center"/>
    </xf>
    <xf numFmtId="0" fontId="66" fillId="0" borderId="0" xfId="0" applyFont="1" applyAlignment="1">
      <alignment horizontal="center"/>
    </xf>
    <xf numFmtId="4" fontId="64" fillId="0" borderId="0" xfId="0" applyNumberFormat="1" applyFont="1" applyAlignment="1">
      <alignment horizontal="center"/>
    </xf>
    <xf numFmtId="0" fontId="0" fillId="0" borderId="0" xfId="0" applyAlignment="1">
      <alignment horizontal="center"/>
    </xf>
    <xf numFmtId="0" fontId="11" fillId="0" borderId="0" xfId="3" applyFont="1" applyAlignment="1">
      <alignment wrapText="1"/>
    </xf>
    <xf numFmtId="14" fontId="11" fillId="0" borderId="0" xfId="0" applyNumberFormat="1" applyFont="1" applyAlignment="1">
      <alignment horizontal="right"/>
    </xf>
    <xf numFmtId="0" fontId="11" fillId="0" borderId="0" xfId="0" applyFont="1" applyAlignment="1">
      <alignment horizontal="right"/>
    </xf>
    <xf numFmtId="0" fontId="69" fillId="0" borderId="0" xfId="0" applyFont="1"/>
    <xf numFmtId="17" fontId="69" fillId="0" borderId="0" xfId="0" applyNumberFormat="1" applyFont="1" applyAlignment="1">
      <alignment horizontal="right"/>
    </xf>
    <xf numFmtId="17" fontId="70" fillId="0" borderId="0" xfId="0" applyNumberFormat="1" applyFont="1" applyAlignment="1">
      <alignment horizontal="right"/>
    </xf>
    <xf numFmtId="0" fontId="71" fillId="0" borderId="0" xfId="2" applyFont="1"/>
    <xf numFmtId="0" fontId="70" fillId="0" borderId="0" xfId="0" applyFont="1"/>
    <xf numFmtId="14" fontId="70" fillId="0" borderId="0" xfId="0" applyNumberFormat="1" applyFont="1" applyAlignment="1">
      <alignment horizontal="right"/>
    </xf>
    <xf numFmtId="0" fontId="72" fillId="0" borderId="0" xfId="0" applyFont="1"/>
    <xf numFmtId="0" fontId="73" fillId="0" borderId="0" xfId="2" applyFont="1"/>
    <xf numFmtId="0" fontId="69" fillId="0" borderId="0" xfId="0" applyFont="1" applyAlignment="1">
      <alignment horizontal="right"/>
    </xf>
    <xf numFmtId="0" fontId="43" fillId="0" borderId="0" xfId="2" applyFont="1"/>
    <xf numFmtId="0" fontId="62" fillId="12" borderId="0" xfId="0" applyFont="1" applyFill="1"/>
    <xf numFmtId="0" fontId="43" fillId="13" borderId="0" xfId="0" applyFont="1" applyFill="1"/>
    <xf numFmtId="0" fontId="11" fillId="14" borderId="2" xfId="3" applyFont="1" applyFill="1" applyBorder="1"/>
    <xf numFmtId="0" fontId="22" fillId="14" borderId="2" xfId="3" applyFont="1" applyFill="1" applyBorder="1"/>
    <xf numFmtId="3" fontId="11" fillId="0" borderId="0" xfId="1" applyNumberFormat="1" applyFont="1" applyAlignment="1">
      <alignment horizontal="right"/>
    </xf>
    <xf numFmtId="14" fontId="11" fillId="0" borderId="0" xfId="1" applyNumberFormat="1" applyFont="1" applyAlignment="1">
      <alignment horizontal="right"/>
    </xf>
    <xf numFmtId="14" fontId="11" fillId="0" borderId="0" xfId="1" applyNumberFormat="1" applyFont="1"/>
    <xf numFmtId="3" fontId="11" fillId="2" borderId="0" xfId="1" applyNumberFormat="1" applyFont="1" applyFill="1" applyAlignment="1">
      <alignment horizontal="right"/>
    </xf>
    <xf numFmtId="3" fontId="64" fillId="0" borderId="0" xfId="0" applyNumberFormat="1" applyFont="1" applyAlignment="1">
      <alignment horizontal="center"/>
    </xf>
    <xf numFmtId="3" fontId="0" fillId="0" borderId="0" xfId="0" applyNumberFormat="1" applyAlignment="1">
      <alignment horizontal="center"/>
    </xf>
    <xf numFmtId="17" fontId="11" fillId="0" borderId="0" xfId="0" quotePrefix="1" applyNumberFormat="1" applyFont="1" applyAlignment="1">
      <alignment horizontal="right"/>
    </xf>
    <xf numFmtId="0" fontId="11" fillId="0" borderId="0" xfId="0" quotePrefix="1" applyFont="1" applyAlignment="1">
      <alignment horizontal="right"/>
    </xf>
    <xf numFmtId="17" fontId="72" fillId="0" borderId="0" xfId="0" applyNumberFormat="1" applyFont="1" applyAlignment="1">
      <alignment horizontal="right"/>
    </xf>
    <xf numFmtId="0" fontId="72" fillId="0" borderId="0" xfId="0" applyFont="1" applyAlignment="1">
      <alignment horizontal="right"/>
    </xf>
    <xf numFmtId="0" fontId="11" fillId="0" borderId="0" xfId="1" applyFont="1" applyAlignment="1">
      <alignment horizontal="right"/>
    </xf>
    <xf numFmtId="0" fontId="11" fillId="0" borderId="0" xfId="1" applyFont="1" applyAlignment="1">
      <alignment horizontal="left"/>
    </xf>
    <xf numFmtId="169" fontId="64" fillId="0" borderId="0" xfId="0" applyNumberFormat="1" applyFont="1" applyAlignment="1">
      <alignment horizontal="center"/>
    </xf>
    <xf numFmtId="169" fontId="75" fillId="0" borderId="0" xfId="0" applyNumberFormat="1" applyFont="1" applyAlignment="1">
      <alignment horizontal="center"/>
    </xf>
    <xf numFmtId="169" fontId="74" fillId="0" borderId="0" xfId="0" applyNumberFormat="1" applyFont="1" applyAlignment="1">
      <alignment horizontal="center"/>
    </xf>
    <xf numFmtId="0" fontId="76" fillId="0" borderId="0" xfId="2" applyFont="1"/>
    <xf numFmtId="20" fontId="25" fillId="0" borderId="0" xfId="1" applyNumberFormat="1" applyFont="1"/>
    <xf numFmtId="167" fontId="44" fillId="0" borderId="0" xfId="2" applyNumberFormat="1" applyFont="1"/>
    <xf numFmtId="168" fontId="44" fillId="0" borderId="0" xfId="2" applyNumberFormat="1" applyFont="1"/>
    <xf numFmtId="167" fontId="44" fillId="0" borderId="0" xfId="2" applyNumberFormat="1" applyFont="1" applyAlignment="1">
      <alignment horizontal="right"/>
    </xf>
    <xf numFmtId="20" fontId="11" fillId="0" borderId="0" xfId="1" applyNumberFormat="1" applyFont="1"/>
    <xf numFmtId="0" fontId="11" fillId="0" borderId="0" xfId="1" quotePrefix="1" applyFont="1"/>
    <xf numFmtId="3" fontId="32" fillId="0" borderId="0" xfId="0" applyNumberFormat="1" applyFont="1"/>
    <xf numFmtId="168" fontId="44" fillId="0" borderId="0" xfId="1" applyNumberFormat="1" applyFont="1"/>
    <xf numFmtId="168" fontId="11" fillId="0" borderId="0" xfId="1" applyNumberFormat="1" applyFont="1"/>
    <xf numFmtId="168" fontId="44" fillId="0" borderId="0" xfId="2" applyNumberFormat="1" applyFont="1" applyAlignment="1">
      <alignment horizontal="right"/>
    </xf>
    <xf numFmtId="168" fontId="44" fillId="0" borderId="0" xfId="1" applyNumberFormat="1" applyFont="1" applyAlignment="1">
      <alignment horizontal="right"/>
    </xf>
    <xf numFmtId="168" fontId="11" fillId="0" borderId="0" xfId="1" applyNumberFormat="1" applyFont="1" applyAlignment="1">
      <alignment horizontal="right"/>
    </xf>
    <xf numFmtId="0" fontId="44" fillId="0" borderId="0" xfId="2" applyFont="1" applyAlignment="1">
      <alignment horizontal="right"/>
    </xf>
    <xf numFmtId="20" fontId="44" fillId="0" borderId="0" xfId="1" applyNumberFormat="1" applyFont="1" applyAlignment="1">
      <alignment horizontal="right"/>
    </xf>
    <xf numFmtId="20" fontId="44" fillId="0" borderId="0" xfId="2" applyNumberFormat="1" applyFont="1" applyAlignment="1">
      <alignment horizontal="right"/>
    </xf>
    <xf numFmtId="20" fontId="44" fillId="0" borderId="0" xfId="2" quotePrefix="1" applyNumberFormat="1" applyFont="1" applyAlignment="1">
      <alignment horizontal="right"/>
    </xf>
    <xf numFmtId="167" fontId="44" fillId="0" borderId="0" xfId="1" applyNumberFormat="1" applyFont="1"/>
    <xf numFmtId="167" fontId="44" fillId="0" borderId="0" xfId="2" applyNumberFormat="1" applyFont="1" applyBorder="1"/>
    <xf numFmtId="0" fontId="11" fillId="0" borderId="0" xfId="1" quotePrefix="1" applyFont="1" applyAlignment="1">
      <alignment horizontal="right"/>
    </xf>
    <xf numFmtId="20" fontId="11" fillId="0" borderId="0" xfId="1" quotePrefix="1" applyNumberFormat="1" applyFont="1" applyAlignment="1">
      <alignment horizontal="right"/>
    </xf>
    <xf numFmtId="20" fontId="44" fillId="0" borderId="0" xfId="1" quotePrefix="1" applyNumberFormat="1" applyFont="1" applyAlignment="1">
      <alignment horizontal="right"/>
    </xf>
    <xf numFmtId="20" fontId="18" fillId="0" borderId="0" xfId="1" applyNumberFormat="1" applyFont="1"/>
    <xf numFmtId="167" fontId="45" fillId="0" borderId="0" xfId="1" applyNumberFormat="1" applyFont="1"/>
    <xf numFmtId="20" fontId="32" fillId="0" borderId="0" xfId="1" applyNumberFormat="1" applyFont="1"/>
    <xf numFmtId="20" fontId="21" fillId="0" borderId="0" xfId="1" applyNumberFormat="1" applyFont="1"/>
    <xf numFmtId="168" fontId="53" fillId="0" borderId="0" xfId="2" applyNumberFormat="1" applyFont="1"/>
    <xf numFmtId="20" fontId="37" fillId="0" borderId="0" xfId="1" applyNumberFormat="1" applyFont="1"/>
    <xf numFmtId="9" fontId="25" fillId="0" borderId="0" xfId="1" applyNumberFormat="1" applyFont="1"/>
    <xf numFmtId="0" fontId="77" fillId="0" borderId="0" xfId="0" applyFont="1"/>
    <xf numFmtId="167" fontId="45" fillId="0" borderId="0" xfId="2" applyNumberFormat="1" applyFont="1" applyAlignment="1">
      <alignment horizontal="right"/>
    </xf>
    <xf numFmtId="0" fontId="45" fillId="0" borderId="0" xfId="2" applyFont="1" applyAlignment="1">
      <alignment horizontal="right"/>
    </xf>
    <xf numFmtId="166" fontId="45" fillId="0" borderId="0" xfId="2" applyNumberFormat="1" applyFont="1"/>
    <xf numFmtId="9" fontId="32" fillId="0" borderId="0" xfId="1" applyNumberFormat="1" applyFont="1"/>
    <xf numFmtId="20" fontId="16" fillId="0" borderId="0" xfId="1" applyNumberFormat="1" applyFont="1"/>
    <xf numFmtId="20" fontId="20" fillId="0" borderId="0" xfId="1" applyNumberFormat="1" applyFont="1"/>
    <xf numFmtId="168" fontId="45" fillId="0" borderId="0" xfId="1" applyNumberFormat="1" applyFont="1"/>
    <xf numFmtId="168" fontId="35" fillId="0" borderId="0" xfId="2" applyNumberFormat="1" applyFont="1"/>
    <xf numFmtId="0" fontId="43" fillId="12" borderId="0" xfId="0" applyFont="1" applyFill="1" applyAlignment="1">
      <alignment horizontal="left"/>
    </xf>
    <xf numFmtId="14" fontId="43" fillId="0" borderId="0" xfId="0" quotePrefix="1" applyNumberFormat="1" applyFont="1" applyAlignment="1">
      <alignment horizontal="right"/>
    </xf>
    <xf numFmtId="14" fontId="22" fillId="0" borderId="0" xfId="3" applyNumberFormat="1" applyFont="1"/>
    <xf numFmtId="0" fontId="31" fillId="0" borderId="0" xfId="0" applyFont="1"/>
    <xf numFmtId="0" fontId="10" fillId="0" borderId="0" xfId="3" applyFont="1"/>
    <xf numFmtId="0" fontId="10" fillId="0" borderId="0" xfId="3" applyFont="1" applyAlignment="1">
      <alignment wrapText="1"/>
    </xf>
    <xf numFmtId="0" fontId="10" fillId="0" borderId="0" xfId="3" applyFont="1" applyAlignment="1">
      <alignment horizontal="left"/>
    </xf>
    <xf numFmtId="0" fontId="10" fillId="0" borderId="0" xfId="1" applyFont="1"/>
    <xf numFmtId="0" fontId="10" fillId="0" borderId="0" xfId="0" applyFont="1"/>
    <xf numFmtId="0" fontId="78" fillId="0" borderId="0" xfId="2" applyFont="1"/>
    <xf numFmtId="14" fontId="72" fillId="0" borderId="0" xfId="0" applyNumberFormat="1" applyFont="1" applyAlignment="1">
      <alignment horizontal="right"/>
    </xf>
    <xf numFmtId="0" fontId="9" fillId="0" borderId="0" xfId="1" applyFont="1"/>
    <xf numFmtId="0" fontId="8" fillId="0" borderId="0" xfId="3" applyFont="1"/>
    <xf numFmtId="0" fontId="7" fillId="0" borderId="0" xfId="3" applyFont="1"/>
    <xf numFmtId="3" fontId="62" fillId="0" borderId="0" xfId="0" applyNumberFormat="1" applyFont="1"/>
    <xf numFmtId="0" fontId="6" fillId="0" borderId="0" xfId="3" applyFont="1"/>
    <xf numFmtId="0" fontId="5" fillId="0" borderId="0" xfId="3" applyFont="1"/>
    <xf numFmtId="0" fontId="5" fillId="0" borderId="0" xfId="0" applyFont="1"/>
    <xf numFmtId="0" fontId="5" fillId="0" borderId="0" xfId="1" applyFont="1"/>
    <xf numFmtId="0" fontId="5" fillId="0" borderId="0" xfId="1" applyFont="1" applyAlignment="1">
      <alignment horizontal="center"/>
    </xf>
    <xf numFmtId="0" fontId="5" fillId="0" borderId="0" xfId="1" applyFont="1" applyAlignment="1">
      <alignment horizontal="right"/>
    </xf>
    <xf numFmtId="14" fontId="5" fillId="0" borderId="0" xfId="1" applyNumberFormat="1" applyFont="1" applyAlignment="1">
      <alignment horizontal="right"/>
    </xf>
    <xf numFmtId="3" fontId="11" fillId="0" borderId="0" xfId="1" applyNumberFormat="1" applyFont="1"/>
    <xf numFmtId="3" fontId="43" fillId="0" borderId="0" xfId="0" applyNumberFormat="1" applyFont="1" applyAlignment="1">
      <alignment horizontal="right"/>
    </xf>
    <xf numFmtId="4" fontId="30" fillId="0" borderId="0" xfId="1" applyNumberFormat="1" applyFont="1" applyAlignment="1">
      <alignment horizontal="right"/>
    </xf>
    <xf numFmtId="0" fontId="5" fillId="3" borderId="0" xfId="1" applyFont="1" applyFill="1"/>
    <xf numFmtId="14" fontId="5" fillId="0" borderId="0" xfId="0" quotePrefix="1" applyNumberFormat="1" applyFont="1" applyAlignment="1">
      <alignment horizontal="right"/>
    </xf>
    <xf numFmtId="0" fontId="5" fillId="0" borderId="0" xfId="0" applyFont="1" applyAlignment="1">
      <alignment horizontal="right"/>
    </xf>
    <xf numFmtId="0" fontId="5" fillId="0" borderId="0" xfId="3" applyFont="1" applyAlignment="1">
      <alignment horizontal="left"/>
    </xf>
    <xf numFmtId="0" fontId="4" fillId="0" borderId="0" xfId="3" applyFont="1"/>
    <xf numFmtId="0" fontId="4" fillId="0" borderId="0" xfId="3" applyFont="1" applyAlignment="1">
      <alignment horizontal="left"/>
    </xf>
    <xf numFmtId="0" fontId="4" fillId="0" borderId="0" xfId="1" applyFont="1"/>
    <xf numFmtId="0" fontId="3" fillId="0" borderId="0" xfId="0" applyFont="1"/>
    <xf numFmtId="0" fontId="3" fillId="0" borderId="0" xfId="0" applyFont="1" applyAlignment="1">
      <alignment horizontal="left"/>
    </xf>
    <xf numFmtId="14" fontId="3" fillId="0" borderId="0" xfId="0" applyNumberFormat="1" applyFont="1" applyAlignment="1">
      <alignment horizontal="left"/>
    </xf>
    <xf numFmtId="0" fontId="32" fillId="0" borderId="0" xfId="0" applyFont="1" applyAlignment="1">
      <alignment horizontal="left"/>
    </xf>
    <xf numFmtId="14" fontId="32" fillId="0" borderId="0" xfId="0" applyNumberFormat="1" applyFont="1" applyAlignment="1">
      <alignment horizontal="left"/>
    </xf>
    <xf numFmtId="0" fontId="3" fillId="0" borderId="0" xfId="0" quotePrefix="1" applyFont="1"/>
    <xf numFmtId="0" fontId="3" fillId="0" borderId="0" xfId="3" applyFont="1"/>
    <xf numFmtId="0" fontId="44" fillId="0" borderId="0" xfId="0" applyFont="1"/>
    <xf numFmtId="0" fontId="2" fillId="0" borderId="0" xfId="0" applyFont="1"/>
    <xf numFmtId="0" fontId="2" fillId="0" borderId="0" xfId="0" quotePrefix="1" applyFont="1"/>
    <xf numFmtId="14" fontId="2" fillId="0" borderId="0" xfId="0" applyNumberFormat="1" applyFont="1" applyAlignment="1">
      <alignment horizontal="left"/>
    </xf>
    <xf numFmtId="0" fontId="2" fillId="0" borderId="0" xfId="0" quotePrefix="1" applyFont="1" applyAlignment="1">
      <alignment horizontal="left"/>
    </xf>
    <xf numFmtId="0" fontId="1" fillId="0" borderId="0" xfId="1" applyFont="1"/>
    <xf numFmtId="0" fontId="1" fillId="0" borderId="0" xfId="0" applyFont="1"/>
    <xf numFmtId="0" fontId="1" fillId="0" borderId="0" xfId="0" quotePrefix="1" applyFont="1"/>
    <xf numFmtId="0" fontId="1" fillId="0" borderId="0" xfId="0" quotePrefix="1" applyFont="1" applyAlignment="1">
      <alignment horizontal="left"/>
    </xf>
    <xf numFmtId="0" fontId="1" fillId="0" borderId="0" xfId="0" applyFont="1" applyAlignment="1">
      <alignment horizontal="left"/>
    </xf>
    <xf numFmtId="14" fontId="1" fillId="0" borderId="0" xfId="0" applyNumberFormat="1" applyFont="1" applyAlignment="1">
      <alignment horizontal="left"/>
    </xf>
    <xf numFmtId="0" fontId="32" fillId="0" borderId="0" xfId="0" quotePrefix="1" applyFont="1"/>
    <xf numFmtId="0" fontId="32" fillId="0" borderId="0" xfId="0" quotePrefix="1" applyFont="1" applyAlignment="1">
      <alignment horizontal="left"/>
    </xf>
    <xf numFmtId="14" fontId="1" fillId="0" borderId="0" xfId="0" quotePrefix="1" applyNumberFormat="1" applyFont="1" applyAlignment="1">
      <alignment horizontal="left"/>
    </xf>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361</xdr:row>
      <xdr:rowOff>11545</xdr:rowOff>
    </xdr:from>
    <xdr:to>
      <xdr:col>23</xdr:col>
      <xdr:colOff>459507</xdr:colOff>
      <xdr:row>386</xdr:row>
      <xdr:rowOff>18468</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394</xdr:row>
      <xdr:rowOff>11546</xdr:rowOff>
    </xdr:from>
    <xdr:to>
      <xdr:col>24</xdr:col>
      <xdr:colOff>23089</xdr:colOff>
      <xdr:row>416</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164</xdr:row>
      <xdr:rowOff>54508</xdr:rowOff>
    </xdr:from>
    <xdr:to>
      <xdr:col>2</xdr:col>
      <xdr:colOff>3414713</xdr:colOff>
      <xdr:row>167</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rtinshkreli/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Revenue"/>
      <sheetName val="Historical"/>
      <sheetName val="Main"/>
      <sheetName val="Enterprise-Cloud"/>
      <sheetName val="Social-Dating"/>
      <sheetName val="Simulation-Technical Design"/>
      <sheetName val="Media-Games-Design"/>
      <sheetName val="Fintech"/>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C2">
            <v>7.8498000000000001</v>
          </cell>
        </row>
        <row r="3">
          <cell r="C3">
            <v>6.74</v>
          </cell>
        </row>
        <row r="4">
          <cell r="C4">
            <v>1.01</v>
          </cell>
        </row>
        <row r="5">
          <cell r="C5">
            <v>10.3437</v>
          </cell>
        </row>
        <row r="6">
          <cell r="C6">
            <v>136.93</v>
          </cell>
        </row>
        <row r="7">
          <cell r="C7">
            <v>1.2991999999999999</v>
          </cell>
        </row>
      </sheetData>
      <sheetData sheetId="14"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2" dT="2023-12-18T01:59:12.08" personId="{E7DC6E06-73C2-4870-9625-B86C1A71FCC8}" id="{80A28482-ED17-42CA-81DC-B11526A2510F}">
    <text>27B</text>
  </threadedComment>
  <threadedComment ref="W12" dT="2023-09-03T17:32:21.28" personId="{E7DC6E06-73C2-4870-9625-B86C1A71FCC8}" id="{95B9BA71-F98F-47B9-9FF5-DCBB545C57FD}">
    <text>5.8B valuation</text>
  </threadedComment>
  <threadedComment ref="Z12" dT="2023-09-03T17:32:31.54" personId="{E7DC6E06-73C2-4870-9625-B86C1A71FCC8}" id="{B3A91AAE-D344-4DAE-9C26-07636C662E5A}">
    <text>2.5B valuation</text>
  </threadedComment>
  <threadedComment ref="J15" dT="2023-06-15T00:22:32.88" personId="{00000000-0000-0000-0000-000000000000}" id="{B20FE0A1-64FD-974B-9BE7-ABFDD63D6646}">
    <text>Tom Built GPT-3</text>
  </threadedComment>
  <threadedComment ref="T20" dT="2023-12-18T02:40:42.89" personId="{E7DC6E06-73C2-4870-9625-B86C1A71FCC8}" id="{69C5854F-5F53-45FD-9C2C-9AA83F4DCC04}">
    <text>1.1B valuation</text>
  </threadedComment>
  <threadedComment ref="Q21" dT="2023-12-18T02:11:44.80" personId="{E7DC6E06-73C2-4870-9625-B86C1A71FCC8}" id="{6821AE8A-BAF7-4CCD-9678-73378ECCA884}">
    <text>5200m valuation</text>
  </threadedComment>
  <threadedComment ref="T21" dT="2023-12-18T02:11:52.76" personId="{E7DC6E06-73C2-4870-9625-B86C1A71FCC8}" id="{5B718418-E3EC-41E7-9E32-CC14B770FD78}">
    <text>5000 valuation</text>
  </threadedComment>
  <threadedComment ref="W21" dT="2023-12-18T02:11:57.58" personId="{E7DC6E06-73C2-4870-9625-B86C1A71FCC8}" id="{A44B3A7C-A8A9-41D1-8BE0-7E2500CA5BFD}">
    <text>2500m valuation</text>
  </threadedComment>
  <threadedComment ref="T24" dT="2023-12-18T02:16:28.09" personId="{E7DC6E06-73C2-4870-9625-B86C1A71FCC8}" id="{613BD39E-F03E-463E-A54F-07982A0EA45E}">
    <text>685m valuation</text>
  </threadedComment>
  <threadedComment ref="AE27"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7" dT="2023-07-24T03:00:10.20" personId="{E7DC6E06-73C2-4870-9625-B86C1A71FCC8}" id="{E29F7D1D-7AF5-4541-BD1A-8261973D4DE0}">
    <text>0.651907 for inflection.ai,
1.922m for heypi.com</text>
  </threadedComment>
  <threadedComment ref="AG27" dT="2023-07-24T03:00:27.37" personId="{E7DC6E06-73C2-4870-9625-B86C1A71FCC8}" id="{919461BB-9FEF-4D66-8757-CD72F4F1D58F}">
    <text>2:22 for inflection.ai
6:31 for heypi.com</text>
  </threadedComment>
  <threadedComment ref="AH27" dT="2024-02-22T21:46:27.03" personId="{E7DC6E06-73C2-4870-9625-B86C1A71FCC8}" id="{0D21896B-F22B-A845-A701-3B902FBB78C7}">
    <text>.151026 for inflection</text>
  </threadedComment>
  <threadedComment ref="Q28" dT="2023-12-18T02:40:03.25" personId="{E7DC6E06-73C2-4870-9625-B86C1A71FCC8}" id="{76A183B3-66DA-4506-B94B-252442EF63C7}">
    <text>2.4B</text>
  </threadedComment>
  <threadedComment ref="T28" dT="2023-12-18T02:40:09.32" personId="{E7DC6E06-73C2-4870-9625-B86C1A71FCC8}" id="{83E4713B-E1CA-4261-8B8D-5A8CA0096F3C}">
    <text>1.7B valuation</text>
  </threadedComment>
  <threadedComment ref="Q30" dT="2023-08-01T01:15:24.66" personId="{E7DC6E06-73C2-4870-9625-B86C1A71FCC8}" id="{D88C9B5E-BF60-084A-9570-4043F212FF6E}">
    <text>1.8B valuation</text>
  </threadedComment>
  <threadedComment ref="Q31" dT="2023-07-31T23:16:16.68" personId="{E7DC6E06-73C2-4870-9625-B86C1A71FCC8}" id="{0194A46F-5F99-9E46-9EAD-33834CE23B16}">
    <text>1.1B valuation</text>
  </threadedComment>
  <threadedComment ref="Q32" dT="2023-12-18T02:48:34.17" personId="{E7DC6E06-73C2-4870-9625-B86C1A71FCC8}" id="{ADD1D653-0938-4BD0-AD14-DACCACA024A8}">
    <text>4.2B valuation</text>
  </threadedComment>
  <threadedComment ref="Q35" dT="2023-07-31T23:15:11.03" personId="{E7DC6E06-73C2-4870-9625-B86C1A71FCC8}" id="{537E8F40-4DC9-CE4D-858B-3E752C329843}">
    <text>880m valuation</text>
  </threadedComment>
  <threadedComment ref="T36" dT="2023-07-31T23:13:27.07" personId="{E7DC6E06-73C2-4870-9625-B86C1A71FCC8}" id="{4844C0AE-1F12-4844-A7ED-7C6A898EC718}">
    <text>1B valuation</text>
  </threadedComment>
  <threadedComment ref="Q39" dT="2023-07-31T23:16:50.06" personId="{E7DC6E06-73C2-4870-9625-B86C1A71FCC8}" id="{C71BE2CF-85E9-8140-864A-695CC0C40F7C}">
    <text>830m valuation</text>
  </threadedComment>
  <threadedComment ref="Q49" dT="2023-08-01T01:11:10.00" personId="{E7DC6E06-73C2-4870-9625-B86C1A71FCC8}" id="{D653EC94-32EB-CC4F-8437-45786B7F8E67}">
    <text>875m valuation</text>
  </threadedComment>
  <threadedComment ref="Q59" dT="2024-02-22T22:05:25.83" personId="{E7DC6E06-73C2-4870-9625-B86C1A71FCC8}" id="{2DCBF5AE-D0DA-A34F-9A40-504D3C16EA24}">
    <text>940m pre-money</text>
  </threadedComment>
  <threadedComment ref="Q81" dT="2023-08-01T01:13:18.21" personId="{E7DC6E06-73C2-4870-9625-B86C1A71FCC8}" id="{DC3C9334-BC74-254F-8CD8-E902D066E8ED}">
    <text>780m valuation</text>
  </threadedComment>
  <threadedComment ref="T92" dT="2023-08-01T01:12:00.67" personId="{E7DC6E06-73C2-4870-9625-B86C1A71FCC8}" id="{2E608F2F-90E0-8444-ACBD-61FDA866A781}">
    <text>210m valuation</text>
  </threadedComment>
  <threadedComment ref="R106" dT="2023-08-23T21:09:00.19" personId="{E7DC6E06-73C2-4870-9625-B86C1A71FCC8}" id="{F65168F1-5657-814B-A3B8-9D75C1D1B21E}">
    <text>65m pre-money</text>
  </threadedComment>
  <threadedComment ref="Q137" dT="2023-07-31T23:14:16.84" personId="{E7DC6E06-73C2-4870-9625-B86C1A71FCC8}" id="{155EAEDA-F22A-5443-A55A-846AA7C93035}">
    <text>1.8B valuation</text>
  </threadedComment>
  <threadedComment ref="T137" dT="2023-07-31T23:14:34.66" personId="{E7DC6E06-73C2-4870-9625-B86C1A71FCC8}" id="{92596AFE-6AAF-324C-AB10-7CE2A26F5F75}">
    <text>1.5B valuation</text>
  </threadedComment>
  <threadedComment ref="D154"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6" dT="2023-08-02T17:23:28.80" personId="{E7DC6E06-73C2-4870-9625-B86C1A71FCC8}" id="{7A7C6198-3353-CD40-BB00-F8E9A98CCF06}">
    <text>Was 22% IRR</text>
  </threadedComment>
  <threadedComment ref="J117" dT="2023-08-02T17:23:48.32" personId="{E7DC6E06-73C2-4870-9625-B86C1A71FCC8}" id="{E6DDF9CC-FB36-C74C-965A-666BFAA0DE62}">
    <text>Was 23% IRR</text>
  </threadedComment>
  <threadedComment ref="J118" dT="2023-08-02T17:23:34.76" personId="{E7DC6E06-73C2-4870-9625-B86C1A71FCC8}" id="{305D004E-E51A-144D-BE51-991B59019DC4}">
    <text>Was 39% IRR</text>
  </threadedComment>
  <threadedComment ref="I831" dT="2023-06-28T22:40:44.43" personId="{00000000-0000-0000-0000-000000000000}" id="{2693FE7F-F554-E548-8264-1036732DDEF4}">
    <text>Amplify Partners V, Amplify Select (6/13/22)</text>
  </threadedComment>
  <threadedComment ref="I1096"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7" dT="2024-02-20T00:42:14.22" personId="{E7DC6E06-73C2-4870-9625-B86C1A71FCC8}" id="{28F2BD18-8190-944F-A71C-6603E4F1E39E}">
    <text>0.0163 without scale</text>
  </threadedComment>
</ThreadedComments>
</file>

<file path=xl/worksheets/_rels/sheet12.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chatfai.com/" TargetMode="External"/><Relationship Id="rId299" Type="http://schemas.openxmlformats.org/officeDocument/2006/relationships/hyperlink" Target="http://www.enchargeai.com/"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climavision.com/" TargetMode="External"/><Relationship Id="rId324" Type="http://schemas.openxmlformats.org/officeDocument/2006/relationships/hyperlink" Target="http://www.voxel51.com/" TargetMode="External"/><Relationship Id="rId170" Type="http://schemas.openxmlformats.org/officeDocument/2006/relationships/hyperlink" Target="http://www.artera.io/" TargetMode="External"/><Relationship Id="rId226" Type="http://schemas.openxmlformats.org/officeDocument/2006/relationships/hyperlink" Target="http://www.nr2.io/" TargetMode="External"/><Relationship Id="rId268" Type="http://schemas.openxmlformats.org/officeDocument/2006/relationships/hyperlink" Target="https://www.voicemod.net/"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squirrelai.com/" TargetMode="External"/><Relationship Id="rId335" Type="http://schemas.openxmlformats.org/officeDocument/2006/relationships/hyperlink" Target="http://www.robinai.com/" TargetMode="External"/><Relationship Id="rId5" Type="http://schemas.openxmlformats.org/officeDocument/2006/relationships/hyperlink" Target="http://www.intrinsic.ai/" TargetMode="External"/><Relationship Id="rId181" Type="http://schemas.openxmlformats.org/officeDocument/2006/relationships/hyperlink" Target="http://www.skan.ai/" TargetMode="External"/><Relationship Id="rId237" Type="http://schemas.openxmlformats.org/officeDocument/2006/relationships/hyperlink" Target="http://www.mostly.ai/" TargetMode="External"/><Relationship Id="rId279" Type="http://schemas.openxmlformats.org/officeDocument/2006/relationships/hyperlink" Target="http://www.wysa.com/" TargetMode="External"/><Relationship Id="rId43" Type="http://schemas.openxmlformats.org/officeDocument/2006/relationships/hyperlink" Target="http://www.gong.io/" TargetMode="External"/><Relationship Id="rId139" Type="http://schemas.openxmlformats.org/officeDocument/2006/relationships/hyperlink" Target="http://www.synthesia.io/" TargetMode="External"/><Relationship Id="rId290" Type="http://schemas.openxmlformats.org/officeDocument/2006/relationships/hyperlink" Target="http://www.rasgoml.com/" TargetMode="External"/><Relationship Id="rId304" Type="http://schemas.openxmlformats.org/officeDocument/2006/relationships/hyperlink" Target="http://www.tabnine.com/" TargetMode="External"/><Relationship Id="rId346" Type="http://schemas.openxmlformats.org/officeDocument/2006/relationships/hyperlink" Target="http://www.openai.com/" TargetMode="External"/><Relationship Id="rId85" Type="http://schemas.openxmlformats.org/officeDocument/2006/relationships/hyperlink" Target="http://www.otter.ai/" TargetMode="External"/><Relationship Id="rId150" Type="http://schemas.openxmlformats.org/officeDocument/2006/relationships/hyperlink" Target="http://www.amprobotics.com/" TargetMode="External"/><Relationship Id="rId192" Type="http://schemas.openxmlformats.org/officeDocument/2006/relationships/hyperlink" Target="http://www.wizard.com/" TargetMode="External"/><Relationship Id="rId206" Type="http://schemas.openxmlformats.org/officeDocument/2006/relationships/hyperlink" Target="http://www.upstage.ai/" TargetMode="External"/><Relationship Id="rId248" Type="http://schemas.openxmlformats.org/officeDocument/2006/relationships/hyperlink" Target="http://www.northbeam.io/" TargetMode="External"/><Relationship Id="rId12" Type="http://schemas.openxmlformats.org/officeDocument/2006/relationships/hyperlink" Target="http://www.nuro.ai/" TargetMode="External"/><Relationship Id="rId108" Type="http://schemas.openxmlformats.org/officeDocument/2006/relationships/hyperlink" Target="http://www.cohere.com/" TargetMode="External"/><Relationship Id="rId315" Type="http://schemas.openxmlformats.org/officeDocument/2006/relationships/hyperlink" Target="http://www.zowie.ai/" TargetMode="External"/><Relationship Id="rId54" Type="http://schemas.openxmlformats.org/officeDocument/2006/relationships/hyperlink" Target="http://www.shield.ai/" TargetMode="External"/><Relationship Id="rId96" Type="http://schemas.openxmlformats.org/officeDocument/2006/relationships/hyperlink" Target="http://www.databricks.com/" TargetMode="External"/><Relationship Id="rId161" Type="http://schemas.openxmlformats.org/officeDocument/2006/relationships/hyperlink" Target="http://www.poly.ai/" TargetMode="External"/><Relationship Id="rId217" Type="http://schemas.openxmlformats.org/officeDocument/2006/relationships/hyperlink" Target="http://www.exafunction.com/" TargetMode="External"/><Relationship Id="rId259" Type="http://schemas.openxmlformats.org/officeDocument/2006/relationships/hyperlink" Target="http://www.predibase.com/" TargetMode="External"/><Relationship Id="rId23" Type="http://schemas.openxmlformats.org/officeDocument/2006/relationships/hyperlink" Target="http://www.mininglamp.com/" TargetMode="External"/><Relationship Id="rId119" Type="http://schemas.openxmlformats.org/officeDocument/2006/relationships/hyperlink" Target="http://www.novelai.net/" TargetMode="External"/><Relationship Id="rId270" Type="http://schemas.openxmlformats.org/officeDocument/2006/relationships/hyperlink" Target="http://www.humansignal.com/" TargetMode="External"/><Relationship Id="rId326" Type="http://schemas.openxmlformats.org/officeDocument/2006/relationships/hyperlink" Target="http://www.faros.ai/" TargetMode="External"/><Relationship Id="rId65" Type="http://schemas.openxmlformats.org/officeDocument/2006/relationships/hyperlink" Target="http://www.dominodatalab.com/" TargetMode="External"/><Relationship Id="rId130" Type="http://schemas.openxmlformats.org/officeDocument/2006/relationships/hyperlink" Target="http://www.wandb.ai/" TargetMode="External"/><Relationship Id="rId172" Type="http://schemas.openxmlformats.org/officeDocument/2006/relationships/hyperlink" Target="http://www.johnsnowlabs.com/" TargetMode="External"/><Relationship Id="rId228" Type="http://schemas.openxmlformats.org/officeDocument/2006/relationships/hyperlink" Target="http://www.quantiphi.com/" TargetMode="External"/><Relationship Id="rId281" Type="http://schemas.openxmlformats.org/officeDocument/2006/relationships/hyperlink" Target="http://www.hireez.com/" TargetMode="External"/><Relationship Id="rId337" Type="http://schemas.openxmlformats.org/officeDocument/2006/relationships/hyperlink" Target="https://sonauto.ai/Home" TargetMode="External"/><Relationship Id="rId34" Type="http://schemas.openxmlformats.org/officeDocument/2006/relationships/hyperlink" Target="http://www.nice,com/" TargetMode="External"/><Relationship Id="rId76" Type="http://schemas.openxmlformats.org/officeDocument/2006/relationships/hyperlink" Target="http://www.run.ai/" TargetMode="External"/><Relationship Id="rId141" Type="http://schemas.openxmlformats.org/officeDocument/2006/relationships/hyperlink" Target="http://www.typeface.ai/" TargetMode="External"/><Relationship Id="rId7" Type="http://schemas.openxmlformats.org/officeDocument/2006/relationships/hyperlink" Target="http://www.syllable.ai/" TargetMode="External"/><Relationship Id="rId183" Type="http://schemas.openxmlformats.org/officeDocument/2006/relationships/hyperlink" Target="http://www.seekr.com/" TargetMode="External"/><Relationship Id="rId239" Type="http://schemas.openxmlformats.org/officeDocument/2006/relationships/hyperlink" Target="http://www.hebbia.ai/" TargetMode="External"/><Relationship Id="rId250" Type="http://schemas.openxmlformats.org/officeDocument/2006/relationships/hyperlink" Target="http://www.clear.ml/" TargetMode="External"/><Relationship Id="rId292" Type="http://schemas.openxmlformats.org/officeDocument/2006/relationships/hyperlink" Target="http://www.trychroma.com/" TargetMode="External"/><Relationship Id="rId306" Type="http://schemas.openxmlformats.org/officeDocument/2006/relationships/hyperlink" Target="http://www.botpress.com/" TargetMode="External"/><Relationship Id="rId45" Type="http://schemas.openxmlformats.org/officeDocument/2006/relationships/hyperlink" Target="http://www.oosto.com/" TargetMode="External"/><Relationship Id="rId87" Type="http://schemas.openxmlformats.org/officeDocument/2006/relationships/hyperlink" Target="http://www.nvidia.com/" TargetMode="External"/><Relationship Id="rId110" Type="http://schemas.openxmlformats.org/officeDocument/2006/relationships/hyperlink" Target="http://www.soterea.cn/" TargetMode="External"/><Relationship Id="rId348" Type="http://schemas.openxmlformats.org/officeDocument/2006/relationships/printerSettings" Target="../printerSettings/printerSettings1.bin"/><Relationship Id="rId152" Type="http://schemas.openxmlformats.org/officeDocument/2006/relationships/hyperlink" Target="http://www.supremind.com/" TargetMode="External"/><Relationship Id="rId194" Type="http://schemas.openxmlformats.org/officeDocument/2006/relationships/hyperlink" Target="http://www.aaico.com/" TargetMode="External"/><Relationship Id="rId208" Type="http://schemas.openxmlformats.org/officeDocument/2006/relationships/hyperlink" Target="http://www.keenagi.com/" TargetMode="External"/><Relationship Id="rId261" Type="http://schemas.openxmlformats.org/officeDocument/2006/relationships/hyperlink" Target="http://www.omnekey.com/" TargetMode="External"/><Relationship Id="rId14" Type="http://schemas.openxmlformats.org/officeDocument/2006/relationships/hyperlink" Target="http://www.megvii.com/" TargetMode="External"/><Relationship Id="rId56" Type="http://schemas.openxmlformats.org/officeDocument/2006/relationships/hyperlink" Target="http://www.intervenn.com/" TargetMode="External"/><Relationship Id="rId317" Type="http://schemas.openxmlformats.org/officeDocument/2006/relationships/hyperlink" Target="http://www.haiper.ai/" TargetMode="External"/><Relationship Id="rId8" Type="http://schemas.openxmlformats.org/officeDocument/2006/relationships/hyperlink" Target="http://www.ambirobotics.com/" TargetMode="External"/><Relationship Id="rId98" Type="http://schemas.openxmlformats.org/officeDocument/2006/relationships/hyperlink" Target="http://www.waymo.com/" TargetMode="External"/><Relationship Id="rId121" Type="http://schemas.openxmlformats.org/officeDocument/2006/relationships/hyperlink" Target="http://www.nastia.ai/" TargetMode="External"/><Relationship Id="rId142" Type="http://schemas.openxmlformats.org/officeDocument/2006/relationships/hyperlink" Target="http://www.observe.ai/" TargetMode="External"/><Relationship Id="rId163" Type="http://schemas.openxmlformats.org/officeDocument/2006/relationships/hyperlink" Target="http://www.abacus.ai/" TargetMode="External"/><Relationship Id="rId184" Type="http://schemas.openxmlformats.org/officeDocument/2006/relationships/hyperlink" Target="http://www.landing.ai/" TargetMode="External"/><Relationship Id="rId219" Type="http://schemas.openxmlformats.org/officeDocument/2006/relationships/hyperlink" Target="http://www.aiola.com/" TargetMode="External"/><Relationship Id="rId230" Type="http://schemas.openxmlformats.org/officeDocument/2006/relationships/hyperlink" Target="http://www.arthur.ai/" TargetMode="External"/><Relationship Id="rId251" Type="http://schemas.openxmlformats.org/officeDocument/2006/relationships/hyperlink" Target="http://www.heyday.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hyperlink" Target="http://www.tractable.ai/" TargetMode="External"/><Relationship Id="rId293" Type="http://schemas.openxmlformats.org/officeDocument/2006/relationships/hyperlink" Target="http://www.synthesis.ai/" TargetMode="External"/><Relationship Id="rId307" Type="http://schemas.openxmlformats.org/officeDocument/2006/relationships/hyperlink" Target="http://www.spellbook.legal/" TargetMode="External"/><Relationship Id="rId328" Type="http://schemas.openxmlformats.org/officeDocument/2006/relationships/hyperlink" Target="http://www.baseten.co/" TargetMode="External"/><Relationship Id="rId349" Type="http://schemas.openxmlformats.org/officeDocument/2006/relationships/vmlDrawing" Target="../drawings/vmlDrawing1.vml"/><Relationship Id="rId88" Type="http://schemas.openxmlformats.org/officeDocument/2006/relationships/hyperlink" Target="http://www.tesla.com/" TargetMode="External"/><Relationship Id="rId111" Type="http://schemas.openxmlformats.org/officeDocument/2006/relationships/hyperlink" Target="http://www.charactr.com/" TargetMode="External"/><Relationship Id="rId132" Type="http://schemas.openxmlformats.org/officeDocument/2006/relationships/hyperlink" Target="http://www.midjourney.com/" TargetMode="External"/><Relationship Id="rId153" Type="http://schemas.openxmlformats.org/officeDocument/2006/relationships/hyperlink" Target="http://www.zhipu.ai/" TargetMode="External"/><Relationship Id="rId174" Type="http://schemas.openxmlformats.org/officeDocument/2006/relationships/hyperlink" Target="http://www.perplexity.ai/" TargetMode="External"/><Relationship Id="rId195" Type="http://schemas.openxmlformats.org/officeDocument/2006/relationships/hyperlink" Target="http://www.irreverentlabs.com/" TargetMode="External"/><Relationship Id="rId209" Type="http://schemas.openxmlformats.org/officeDocument/2006/relationships/hyperlink" Target="http://www.aleph-alpha.com/" TargetMode="External"/><Relationship Id="rId220" Type="http://schemas.openxmlformats.org/officeDocument/2006/relationships/hyperlink" Target="http://www.truera.com/" TargetMode="External"/><Relationship Id="rId241" Type="http://schemas.openxmlformats.org/officeDocument/2006/relationships/hyperlink" Target="http://www.writer.com/"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janus-ai.com/" TargetMode="External"/><Relationship Id="rId283" Type="http://schemas.openxmlformats.org/officeDocument/2006/relationships/hyperlink" Target="http://www.navina.ai/" TargetMode="External"/><Relationship Id="rId318" Type="http://schemas.openxmlformats.org/officeDocument/2006/relationships/hyperlink" Target="http://www.hume.ai/" TargetMode="External"/><Relationship Id="rId339" Type="http://schemas.openxmlformats.org/officeDocument/2006/relationships/hyperlink" Target="http://www.obviously.ai/" TargetMode="External"/><Relationship Id="rId78" Type="http://schemas.openxmlformats.org/officeDocument/2006/relationships/hyperlink" Target="http://www.digits.com/" TargetMode="External"/><Relationship Id="rId99" Type="http://schemas.openxmlformats.org/officeDocument/2006/relationships/hyperlink" Target="http://www.sensetime.com/" TargetMode="External"/><Relationship Id="rId101" Type="http://schemas.openxmlformats.org/officeDocument/2006/relationships/hyperlink" Target="http://www.datarobot.com/" TargetMode="External"/><Relationship Id="rId122" Type="http://schemas.openxmlformats.org/officeDocument/2006/relationships/hyperlink" Target="http://www.crushon.ai/" TargetMode="External"/><Relationship Id="rId143" Type="http://schemas.openxmlformats.org/officeDocument/2006/relationships/hyperlink" Target="http://www.v7labs.com/" TargetMode="External"/><Relationship Id="rId164" Type="http://schemas.openxmlformats.org/officeDocument/2006/relationships/hyperlink" Target="http://www.fetch.ai/" TargetMode="External"/><Relationship Id="rId185" Type="http://schemas.openxmlformats.org/officeDocument/2006/relationships/hyperlink" Target="http://www.d-matrix.ai/" TargetMode="External"/><Relationship Id="rId350" Type="http://schemas.openxmlformats.org/officeDocument/2006/relationships/comments" Target="../comments1.xml"/><Relationship Id="rId9" Type="http://schemas.openxmlformats.org/officeDocument/2006/relationships/hyperlink" Target="https://www.datrics.ai/" TargetMode="External"/><Relationship Id="rId210" Type="http://schemas.openxmlformats.org/officeDocument/2006/relationships/hyperlink" Target="http://www.play.ht/" TargetMode="External"/><Relationship Id="rId26" Type="http://schemas.openxmlformats.org/officeDocument/2006/relationships/hyperlink" Target="http://www.weka.io/" TargetMode="External"/><Relationship Id="rId231" Type="http://schemas.openxmlformats.org/officeDocument/2006/relationships/hyperlink" Target="http://www.leapyear.io/" TargetMode="External"/><Relationship Id="rId252" Type="http://schemas.openxmlformats.org/officeDocument/2006/relationships/hyperlink" Target="http://www.regie.ai/" TargetMode="External"/><Relationship Id="rId273" Type="http://schemas.openxmlformats.org/officeDocument/2006/relationships/hyperlink" Target="http://www.hyro.ai/" TargetMode="External"/><Relationship Id="rId294" Type="http://schemas.openxmlformats.org/officeDocument/2006/relationships/hyperlink" Target="http://www.alethea.ai/" TargetMode="External"/><Relationship Id="rId308" Type="http://schemas.openxmlformats.org/officeDocument/2006/relationships/hyperlink" Target="http://www.xembly.com/" TargetMode="External"/><Relationship Id="rId329" Type="http://schemas.openxmlformats.org/officeDocument/2006/relationships/hyperlink" Target="http://www.latticeflow.ai/" TargetMode="Externa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google.com/" TargetMode="External"/><Relationship Id="rId112" Type="http://schemas.openxmlformats.org/officeDocument/2006/relationships/hyperlink" Target="http://www.janitorai.com/" TargetMode="External"/><Relationship Id="rId133" Type="http://schemas.openxmlformats.org/officeDocument/2006/relationships/hyperlink" Target="http://www.deeproute.ai/" TargetMode="External"/><Relationship Id="rId154" Type="http://schemas.openxmlformats.org/officeDocument/2006/relationships/hyperlink" Target="http://www.covariant.ai/" TargetMode="External"/><Relationship Id="rId175" Type="http://schemas.openxmlformats.org/officeDocument/2006/relationships/hyperlink" Target="http://www.weaviate.io/" TargetMode="External"/><Relationship Id="rId340" Type="http://schemas.openxmlformats.org/officeDocument/2006/relationships/hyperlink" Target="http://www.joinvalley.co/" TargetMode="External"/><Relationship Id="rId196" Type="http://schemas.openxmlformats.org/officeDocument/2006/relationships/hyperlink" Target="http://www.capacity.com/" TargetMode="External"/><Relationship Id="rId200" Type="http://schemas.openxmlformats.org/officeDocument/2006/relationships/hyperlink" Target="http://www.imagen-ai.com/" TargetMode="External"/><Relationship Id="rId16" Type="http://schemas.openxmlformats.org/officeDocument/2006/relationships/hyperlink" Target="http://www.sambanova.ai/" TargetMode="External"/><Relationship Id="rId221" Type="http://schemas.openxmlformats.org/officeDocument/2006/relationships/hyperlink" Target="http://www.aporia.com/" TargetMode="External"/><Relationship Id="rId242" Type="http://schemas.openxmlformats.org/officeDocument/2006/relationships/hyperlink" Target="http://www.outerbounds.com/" TargetMode="External"/><Relationship Id="rId263" Type="http://schemas.openxmlformats.org/officeDocument/2006/relationships/hyperlink" Target="http://www.copysmith.ai/" TargetMode="External"/><Relationship Id="rId284" Type="http://schemas.openxmlformats.org/officeDocument/2006/relationships/hyperlink" Target="http://www.pactum.com/" TargetMode="External"/><Relationship Id="rId319" Type="http://schemas.openxmlformats.org/officeDocument/2006/relationships/hyperlink" Target="http://www.bridgewise.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anthropic.com/" TargetMode="External"/><Relationship Id="rId123" Type="http://schemas.openxmlformats.org/officeDocument/2006/relationships/hyperlink" Target="http://www.dreamily.ai/" TargetMode="External"/><Relationship Id="rId144" Type="http://schemas.openxmlformats.org/officeDocument/2006/relationships/hyperlink" Target="http://www.pinecone.io/" TargetMode="External"/><Relationship Id="rId330" Type="http://schemas.openxmlformats.org/officeDocument/2006/relationships/hyperlink" Target="http://www.fixie.ai/" TargetMode="External"/><Relationship Id="rId90" Type="http://schemas.openxmlformats.org/officeDocument/2006/relationships/hyperlink" Target="http://www.microsoft.com/" TargetMode="External"/><Relationship Id="rId165" Type="http://schemas.openxmlformats.org/officeDocument/2006/relationships/hyperlink" Target="http://www.infinitus.ai/" TargetMode="External"/><Relationship Id="rId186" Type="http://schemas.openxmlformats.org/officeDocument/2006/relationships/hyperlink" Target="http://www.fiddler.ai/" TargetMode="External"/><Relationship Id="rId351" Type="http://schemas.microsoft.com/office/2017/10/relationships/threadedComment" Target="../threadedComments/threadedComment1.xml"/><Relationship Id="rId211" Type="http://schemas.openxmlformats.org/officeDocument/2006/relationships/hyperlink" Target="http://www.murf.ai/" TargetMode="External"/><Relationship Id="rId232" Type="http://schemas.openxmlformats.org/officeDocument/2006/relationships/hyperlink" Target="http://www.springdiscovery.com/" TargetMode="External"/><Relationship Id="rId253" Type="http://schemas.openxmlformats.org/officeDocument/2006/relationships/hyperlink" Target="http://www.huggingface.co/" TargetMode="External"/><Relationship Id="rId274" Type="http://schemas.openxmlformats.org/officeDocument/2006/relationships/hyperlink" Target="http://www.paravision.ai/" TargetMode="External"/><Relationship Id="rId295" Type="http://schemas.openxmlformats.org/officeDocument/2006/relationships/hyperlink" Target="http://www.torre.ai/" TargetMode="External"/><Relationship Id="rId309" Type="http://schemas.openxmlformats.org/officeDocument/2006/relationships/hyperlink" Target="http://www.abridge.com/"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lovo.ai/" TargetMode="External"/><Relationship Id="rId134" Type="http://schemas.openxmlformats.org/officeDocument/2006/relationships/hyperlink" Target="http://www.glean.ai/" TargetMode="External"/><Relationship Id="rId320" Type="http://schemas.openxmlformats.org/officeDocument/2006/relationships/hyperlink" Target="http://www.vectice.com/" TargetMode="External"/><Relationship Id="rId80" Type="http://schemas.openxmlformats.org/officeDocument/2006/relationships/hyperlink" Target="http://www.unlearn.ai/" TargetMode="External"/><Relationship Id="rId155" Type="http://schemas.openxmlformats.org/officeDocument/2006/relationships/hyperlink" Target="http://www.primer.ai/" TargetMode="External"/><Relationship Id="rId176" Type="http://schemas.openxmlformats.org/officeDocument/2006/relationships/hyperlink" Target="http://www.airudder.com/" TargetMode="External"/><Relationship Id="rId197" Type="http://schemas.openxmlformats.org/officeDocument/2006/relationships/hyperlink" Target="http://www.magic.dev/" TargetMode="External"/><Relationship Id="rId341" Type="http://schemas.openxmlformats.org/officeDocument/2006/relationships/hyperlink" Target="http://www.wand.app/" TargetMode="External"/><Relationship Id="rId201" Type="http://schemas.openxmlformats.org/officeDocument/2006/relationships/hyperlink" Target="http://www.jina.ai/" TargetMode="External"/><Relationship Id="rId222" Type="http://schemas.openxmlformats.org/officeDocument/2006/relationships/hyperlink" Target="http://www.hyperwriteai.com/" TargetMode="External"/><Relationship Id="rId243" Type="http://schemas.openxmlformats.org/officeDocument/2006/relationships/hyperlink" Target="http://www.coiled.io/" TargetMode="External"/><Relationship Id="rId264" Type="http://schemas.openxmlformats.org/officeDocument/2006/relationships/hyperlink" Target="http://www.rosebud.ai/" TargetMode="External"/><Relationship Id="rId285" Type="http://schemas.openxmlformats.org/officeDocument/2006/relationships/hyperlink" Target="http://www.wiz.ai/"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inflection.ai/" TargetMode="External"/><Relationship Id="rId124" Type="http://schemas.openxmlformats.org/officeDocument/2006/relationships/hyperlink" Target="http://www.voice.ai/" TargetMode="External"/><Relationship Id="rId310" Type="http://schemas.openxmlformats.org/officeDocument/2006/relationships/hyperlink" Target="http://www.gan.ai/" TargetMode="External"/><Relationship Id="rId70" Type="http://schemas.openxmlformats.org/officeDocument/2006/relationships/hyperlink" Target="http://www.mosaicml.com/" TargetMode="External"/><Relationship Id="rId91" Type="http://schemas.openxmlformats.org/officeDocument/2006/relationships/hyperlink" Target="http://www.gantry.io/" TargetMode="External"/><Relationship Id="rId145" Type="http://schemas.openxmlformats.org/officeDocument/2006/relationships/hyperlink" Target="http://www.octoml.ai/" TargetMode="External"/><Relationship Id="rId166" Type="http://schemas.openxmlformats.org/officeDocument/2006/relationships/hyperlink" Target="http://www.mistral.ai/" TargetMode="External"/><Relationship Id="rId187" Type="http://schemas.openxmlformats.org/officeDocument/2006/relationships/hyperlink" Target="http://www.imbue.com/" TargetMode="External"/><Relationship Id="rId331" Type="http://schemas.openxmlformats.org/officeDocument/2006/relationships/hyperlink" Target="http://www.copy.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resemble.ai/" TargetMode="External"/><Relationship Id="rId233" Type="http://schemas.openxmlformats.org/officeDocument/2006/relationships/hyperlink" Target="http://www.tonic.ai/" TargetMode="External"/><Relationship Id="rId254" Type="http://schemas.openxmlformats.org/officeDocument/2006/relationships/hyperlink" Target="https://huggingface.co/OpenAssistant/oasst-sft-6-llama-30b-xor"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character.ai/" TargetMode="External"/><Relationship Id="rId275" Type="http://schemas.openxmlformats.org/officeDocument/2006/relationships/hyperlink" Target="http://www.hosinc.co/" TargetMode="External"/><Relationship Id="rId296" Type="http://schemas.openxmlformats.org/officeDocument/2006/relationships/hyperlink" Target="http://www.neuralmagic.com/" TargetMode="External"/><Relationship Id="rId300" Type="http://schemas.openxmlformats.org/officeDocument/2006/relationships/hyperlink" Target="http://www.swapp.net/"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people.ai/" TargetMode="External"/><Relationship Id="rId156" Type="http://schemas.openxmlformats.org/officeDocument/2006/relationships/hyperlink" Target="http://www.cloudfactory.com/" TargetMode="External"/><Relationship Id="rId177" Type="http://schemas.openxmlformats.org/officeDocument/2006/relationships/hyperlink" Target="http://www.harvey.ai/" TargetMode="External"/><Relationship Id="rId198" Type="http://schemas.openxmlformats.org/officeDocument/2006/relationships/hyperlink" Target="http://www.modular.com/" TargetMode="External"/><Relationship Id="rId321" Type="http://schemas.openxmlformats.org/officeDocument/2006/relationships/hyperlink" Target="http://www.numbersstation.ai/" TargetMode="External"/><Relationship Id="rId342" Type="http://schemas.openxmlformats.org/officeDocument/2006/relationships/hyperlink" Target="http://www.sierra.ai/" TargetMode="External"/><Relationship Id="rId202" Type="http://schemas.openxmlformats.org/officeDocument/2006/relationships/hyperlink" Target="http://www.elevenlabs.io/" TargetMode="External"/><Relationship Id="rId223" Type="http://schemas.openxmlformats.org/officeDocument/2006/relationships/hyperlink" Target="http://www.claraanalytics.com/" TargetMode="External"/><Relationship Id="rId244" Type="http://schemas.openxmlformats.org/officeDocument/2006/relationships/hyperlink" Target="http://www.lumin.ai/"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deepmotion.com/" TargetMode="External"/><Relationship Id="rId286" Type="http://schemas.openxmlformats.org/officeDocument/2006/relationships/hyperlink" Target="http://www.deepdub.ai/" TargetMode="External"/><Relationship Id="rId50" Type="http://schemas.openxmlformats.org/officeDocument/2006/relationships/hyperlink" Target="http://www.graphcore.ai/" TargetMode="External"/><Relationship Id="rId104" Type="http://schemas.openxmlformats.org/officeDocument/2006/relationships/hyperlink" Target="http://www.c3.ai/" TargetMode="External"/><Relationship Id="rId125" Type="http://schemas.openxmlformats.org/officeDocument/2006/relationships/hyperlink" Target="http://www.jasper.ai/" TargetMode="External"/><Relationship Id="rId146" Type="http://schemas.openxmlformats.org/officeDocument/2006/relationships/hyperlink" Target="http://www.ai21.com/" TargetMode="External"/><Relationship Id="rId167" Type="http://schemas.openxmlformats.org/officeDocument/2006/relationships/hyperlink" Target="http://www.woebothealth.com/" TargetMode="External"/><Relationship Id="rId188" Type="http://schemas.openxmlformats.org/officeDocument/2006/relationships/hyperlink" Target="http://www.arize.com/" TargetMode="External"/><Relationship Id="rId311" Type="http://schemas.openxmlformats.org/officeDocument/2006/relationships/hyperlink" Target="http://www.tenyx.com/" TargetMode="External"/><Relationship Id="rId332" Type="http://schemas.openxmlformats.org/officeDocument/2006/relationships/hyperlink" Target="http://www.lavender.ai/" TargetMode="External"/><Relationship Id="rId71" Type="http://schemas.openxmlformats.org/officeDocument/2006/relationships/hyperlink" Target="http://www.contractpodai.com/" TargetMode="External"/><Relationship Id="rId92" Type="http://schemas.openxmlformats.org/officeDocument/2006/relationships/hyperlink" Target="http://www.wave-ai.net/" TargetMode="External"/><Relationship Id="rId213" Type="http://schemas.openxmlformats.org/officeDocument/2006/relationships/hyperlink" Target="http://www.surgehq.ai/" TargetMode="External"/><Relationship Id="rId234" Type="http://schemas.openxmlformats.org/officeDocument/2006/relationships/hyperlink" Target="http://www.paralleldomain.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s://www.forbes.com/lists/ai50/" TargetMode="External"/><Relationship Id="rId276" Type="http://schemas.openxmlformats.org/officeDocument/2006/relationships/hyperlink" Target="http://www.replika.com/" TargetMode="External"/><Relationship Id="rId297" Type="http://schemas.openxmlformats.org/officeDocument/2006/relationships/hyperlink" Target="http://www.nuva.ai/" TargetMode="External"/><Relationship Id="rId40" Type="http://schemas.openxmlformats.org/officeDocument/2006/relationships/hyperlink" Target="http://www.cerebras.net/" TargetMode="External"/><Relationship Id="rId115" Type="http://schemas.openxmlformats.org/officeDocument/2006/relationships/hyperlink" Target="http://www.drgupta.ai/" TargetMode="External"/><Relationship Id="rId136" Type="http://schemas.openxmlformats.org/officeDocument/2006/relationships/hyperlink" Target="http://www.tecton.ai/" TargetMode="External"/><Relationship Id="rId157" Type="http://schemas.openxmlformats.org/officeDocument/2006/relationships/hyperlink" Target="http://www.artera.ai/" TargetMode="External"/><Relationship Id="rId178" Type="http://schemas.openxmlformats.org/officeDocument/2006/relationships/hyperlink" Target="http://www.kumo.ai/" TargetMode="External"/><Relationship Id="rId301" Type="http://schemas.openxmlformats.org/officeDocument/2006/relationships/hyperlink" Target="http://www.ava.me/" TargetMode="External"/><Relationship Id="rId322" Type="http://schemas.openxmlformats.org/officeDocument/2006/relationships/hyperlink" Target="http://www.replicate.com/" TargetMode="External"/><Relationship Id="rId343" Type="http://schemas.openxmlformats.org/officeDocument/2006/relationships/hyperlink" Target="http://www.modal.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robustintelligence.com/" TargetMode="External"/><Relationship Id="rId203" Type="http://schemas.openxmlformats.org/officeDocument/2006/relationships/hyperlink" Target="http://www.mem.ai/" TargetMode="External"/><Relationship Id="rId19" Type="http://schemas.openxmlformats.org/officeDocument/2006/relationships/hyperlink" Target="http://www.pony.ai/" TargetMode="External"/><Relationship Id="rId224" Type="http://schemas.openxmlformats.org/officeDocument/2006/relationships/hyperlink" Target="http://www.deci.ai/" TargetMode="External"/><Relationship Id="rId245" Type="http://schemas.openxmlformats.org/officeDocument/2006/relationships/hyperlink" Target="http://www.inceptive.life/" TargetMode="External"/><Relationship Id="rId266" Type="http://schemas.openxmlformats.org/officeDocument/2006/relationships/hyperlink" Target="http://www.fellowai.com/" TargetMode="External"/><Relationship Id="rId287" Type="http://schemas.openxmlformats.org/officeDocument/2006/relationships/hyperlink" Target="http://www.daloopa.com/" TargetMode="External"/><Relationship Id="rId30" Type="http://schemas.openxmlformats.org/officeDocument/2006/relationships/hyperlink" Target="http://www.stradoslabs.com/" TargetMode="External"/><Relationship Id="rId105" Type="http://schemas.openxmlformats.org/officeDocument/2006/relationships/hyperlink" Target="http://www.stability.ai/" TargetMode="External"/><Relationship Id="rId126" Type="http://schemas.openxmlformats.org/officeDocument/2006/relationships/hyperlink" Target="http://www.runwayml.com/" TargetMode="External"/><Relationship Id="rId147" Type="http://schemas.openxmlformats.org/officeDocument/2006/relationships/hyperlink" Target="http://www.descript.com/" TargetMode="External"/><Relationship Id="rId168" Type="http://schemas.openxmlformats.org/officeDocument/2006/relationships/hyperlink" Target="http://www.ascertain.com/" TargetMode="External"/><Relationship Id="rId312" Type="http://schemas.openxmlformats.org/officeDocument/2006/relationships/hyperlink" Target="http://www.encord.com/" TargetMode="External"/><Relationship Id="rId333" Type="http://schemas.openxmlformats.org/officeDocument/2006/relationships/hyperlink" Target="http://www.rephrase.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tome.app/" TargetMode="External"/><Relationship Id="rId189" Type="http://schemas.openxmlformats.org/officeDocument/2006/relationships/hyperlink" Target="http://www.hippocraticai.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speak.com/" TargetMode="External"/><Relationship Id="rId235" Type="http://schemas.openxmlformats.org/officeDocument/2006/relationships/hyperlink" Target="http://www.impira.com/" TargetMode="External"/><Relationship Id="rId256" Type="http://schemas.openxmlformats.org/officeDocument/2006/relationships/hyperlink" Target="http://www.phaidra.ai/" TargetMode="External"/><Relationship Id="rId277" Type="http://schemas.openxmlformats.org/officeDocument/2006/relationships/hyperlink" Target="http://www.axioshq.com/" TargetMode="External"/><Relationship Id="rId298" Type="http://schemas.openxmlformats.org/officeDocument/2006/relationships/hyperlink" Target="http://www.facet.ai/" TargetMode="External"/><Relationship Id="rId116" Type="http://schemas.openxmlformats.org/officeDocument/2006/relationships/hyperlink" Target="http://www.myanima.ai/" TargetMode="External"/><Relationship Id="rId137" Type="http://schemas.openxmlformats.org/officeDocument/2006/relationships/hyperlink" Target="http://www.anyscale.com/" TargetMode="External"/><Relationship Id="rId158" Type="http://schemas.openxmlformats.org/officeDocument/2006/relationships/hyperlink" Target="http://www.ada.com/" TargetMode="External"/><Relationship Id="rId302" Type="http://schemas.openxmlformats.org/officeDocument/2006/relationships/hyperlink" Target="http://www.zeroeyes.com/" TargetMode="External"/><Relationship Id="rId323" Type="http://schemas.openxmlformats.org/officeDocument/2006/relationships/hyperlink" Target="http://www.credo.ai/" TargetMode="External"/><Relationship Id="rId344" Type="http://schemas.openxmlformats.org/officeDocument/2006/relationships/hyperlink" Target="http://www.blackbox.ai/"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assemblyai.com/" TargetMode="External"/><Relationship Id="rId190" Type="http://schemas.openxmlformats.org/officeDocument/2006/relationships/hyperlink" Target="http://www.datagen.tech/" TargetMode="External"/><Relationship Id="rId204" Type="http://schemas.openxmlformats.org/officeDocument/2006/relationships/hyperlink" Target="http://www.neocybernetica.com/" TargetMode="External"/><Relationship Id="rId225" Type="http://schemas.openxmlformats.org/officeDocument/2006/relationships/hyperlink" Target="http://www.conjecture.dev/" TargetMode="External"/><Relationship Id="rId246" Type="http://schemas.openxmlformats.org/officeDocument/2006/relationships/hyperlink" Target="http://www.bardeen.ai/" TargetMode="External"/><Relationship Id="rId267" Type="http://schemas.openxmlformats.org/officeDocument/2006/relationships/hyperlink" Target="http://www.hiddendoor.co/" TargetMode="External"/><Relationship Id="rId288" Type="http://schemas.openxmlformats.org/officeDocument/2006/relationships/hyperlink" Target="http://www.two.ai/" TargetMode="External"/><Relationship Id="rId106" Type="http://schemas.openxmlformats.org/officeDocument/2006/relationships/hyperlink" Target="http://www.uniphore.com/" TargetMode="External"/><Relationship Id="rId127" Type="http://schemas.openxmlformats.org/officeDocument/2006/relationships/hyperlink" Target="http://www.khealth.com/" TargetMode="External"/><Relationship Id="rId313" Type="http://schemas.openxmlformats.org/officeDocument/2006/relationships/hyperlink" Target="http://www.superannotate.com/"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s://aws.amazon.com/" TargetMode="External"/><Relationship Id="rId148" Type="http://schemas.openxmlformats.org/officeDocument/2006/relationships/hyperlink" Target="http://www.vian.ai/" TargetMode="External"/><Relationship Id="rId169" Type="http://schemas.openxmlformats.org/officeDocument/2006/relationships/hyperlink" Target="http://www.reka.ai/" TargetMode="External"/><Relationship Id="rId334" Type="http://schemas.openxmlformats.org/officeDocument/2006/relationships/hyperlink" Target="http://www.codium.ai/" TargetMode="External"/><Relationship Id="rId4" Type="http://schemas.openxmlformats.org/officeDocument/2006/relationships/hyperlink" Target="https://www.nvidia.com/en-us/startups/" TargetMode="External"/><Relationship Id="rId180" Type="http://schemas.openxmlformats.org/officeDocument/2006/relationships/hyperlink" Target="http://www.lightning.ai/" TargetMode="External"/><Relationship Id="rId215" Type="http://schemas.openxmlformats.org/officeDocument/2006/relationships/hyperlink" Target="http://www.curaihealth.com/" TargetMode="External"/><Relationship Id="rId236" Type="http://schemas.openxmlformats.org/officeDocument/2006/relationships/hyperlink" Target="http://www.anyword.com/" TargetMode="External"/><Relationship Id="rId257" Type="http://schemas.openxmlformats.org/officeDocument/2006/relationships/hyperlink" Target="http://www.aible.com/" TargetMode="External"/><Relationship Id="rId278" Type="http://schemas.openxmlformats.org/officeDocument/2006/relationships/hyperlink" Target="http://www.prezent.ai/" TargetMode="External"/><Relationship Id="rId303" Type="http://schemas.openxmlformats.org/officeDocument/2006/relationships/hyperlink" Target="http://www.essential.ai/"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hourone.ai/" TargetMode="External"/><Relationship Id="rId345" Type="http://schemas.openxmlformats.org/officeDocument/2006/relationships/hyperlink" Target="http://www.tymely.ai/" TargetMode="External"/><Relationship Id="rId191" Type="http://schemas.openxmlformats.org/officeDocument/2006/relationships/hyperlink" Target="http://www.inworld.ai/" TargetMode="External"/><Relationship Id="rId205" Type="http://schemas.openxmlformats.org/officeDocument/2006/relationships/hyperlink" Target="http://www.merlyn.org/" TargetMode="External"/><Relationship Id="rId247" Type="http://schemas.openxmlformats.org/officeDocument/2006/relationships/hyperlink" Target="http://www.edgedb.com/" TargetMode="External"/><Relationship Id="rId107" Type="http://schemas.openxmlformats.org/officeDocument/2006/relationships/hyperlink" Target="http://www.moveworks.com/" TargetMode="External"/><Relationship Id="rId289" Type="http://schemas.openxmlformats.org/officeDocument/2006/relationships/hyperlink" Target="http://www.roboflow.com/"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petuum.com/" TargetMode="External"/><Relationship Id="rId314" Type="http://schemas.openxmlformats.org/officeDocument/2006/relationships/hyperlink" Target="http://www.graft.com/" TargetMode="External"/><Relationship Id="rId95" Type="http://schemas.openxmlformats.org/officeDocument/2006/relationships/hyperlink" Target="http://www.palantir.com/" TargetMode="External"/><Relationship Id="rId160" Type="http://schemas.openxmlformats.org/officeDocument/2006/relationships/hyperlink" Target="http://www.rossum.ai/" TargetMode="External"/><Relationship Id="rId216" Type="http://schemas.openxmlformats.org/officeDocument/2006/relationships/hyperlink" Target="http://www.axon-networks.com/" TargetMode="External"/><Relationship Id="rId258" Type="http://schemas.openxmlformats.org/officeDocument/2006/relationships/hyperlink" Target="http://www.humansignal.com/" TargetMode="External"/><Relationship Id="rId22" Type="http://schemas.openxmlformats.org/officeDocument/2006/relationships/hyperlink" Target="http://www.highradius.com/" TargetMode="External"/><Relationship Id="rId64" Type="http://schemas.openxmlformats.org/officeDocument/2006/relationships/hyperlink" Target="http://www.h2o.ai/" TargetMode="External"/><Relationship Id="rId118" Type="http://schemas.openxmlformats.org/officeDocument/2006/relationships/hyperlink" Target="http://www.chub.ai/" TargetMode="External"/><Relationship Id="rId325" Type="http://schemas.openxmlformats.org/officeDocument/2006/relationships/hyperlink" Target="http://www.synthetaic.com/" TargetMode="External"/><Relationship Id="rId171" Type="http://schemas.openxmlformats.org/officeDocument/2006/relationships/hyperlink" Target="http://www.playgroundai.com/" TargetMode="External"/><Relationship Id="rId227" Type="http://schemas.openxmlformats.org/officeDocument/2006/relationships/hyperlink" Target="http://www.nabla.com/" TargetMode="External"/><Relationship Id="rId269" Type="http://schemas.openxmlformats.org/officeDocument/2006/relationships/hyperlink" Target="http://www.science.io/" TargetMode="External"/><Relationship Id="rId33" Type="http://schemas.openxmlformats.org/officeDocument/2006/relationships/hyperlink" Target="http://www.enlitic.com/" TargetMode="External"/><Relationship Id="rId129" Type="http://schemas.openxmlformats.org/officeDocument/2006/relationships/hyperlink" Target="http://www.ada.cx/" TargetMode="External"/><Relationship Id="rId280" Type="http://schemas.openxmlformats.org/officeDocument/2006/relationships/hyperlink" Target="http://www.utilidata.com/" TargetMode="External"/><Relationship Id="rId336" Type="http://schemas.openxmlformats.org/officeDocument/2006/relationships/hyperlink" Target="https://legalforce-cloud.com/" TargetMode="External"/><Relationship Id="rId75" Type="http://schemas.openxmlformats.org/officeDocument/2006/relationships/hyperlink" Target="http://www.helsing.ai/" TargetMode="External"/><Relationship Id="rId140" Type="http://schemas.openxmlformats.org/officeDocument/2006/relationships/hyperlink" Target="http://www.snorkel.ai/" TargetMode="External"/><Relationship Id="rId182" Type="http://schemas.openxmlformats.org/officeDocument/2006/relationships/hyperlink" Target="http://www.sima.ai/" TargetMode="External"/><Relationship Id="rId6" Type="http://schemas.openxmlformats.org/officeDocument/2006/relationships/hyperlink" Target="http://www.coachvox.ai/" TargetMode="External"/><Relationship Id="rId238" Type="http://schemas.openxmlformats.org/officeDocument/2006/relationships/hyperlink" Target="http://www.relyance.ai/" TargetMode="External"/><Relationship Id="rId291" Type="http://schemas.openxmlformats.org/officeDocument/2006/relationships/hyperlink" Target="http://www.enchanted.tools/" TargetMode="External"/><Relationship Id="rId305" Type="http://schemas.openxmlformats.org/officeDocument/2006/relationships/hyperlink" Target="http://www.noogata.com/" TargetMode="External"/><Relationship Id="rId347" Type="http://schemas.openxmlformats.org/officeDocument/2006/relationships/hyperlink" Target="http://www.wombo.ai/" TargetMode="External"/><Relationship Id="rId44" Type="http://schemas.openxmlformats.org/officeDocument/2006/relationships/hyperlink" Target="http://www.thoughtspot.com/" TargetMode="External"/><Relationship Id="rId86" Type="http://schemas.openxmlformats.org/officeDocument/2006/relationships/hyperlink" Target="http://www.facebook.com/" TargetMode="External"/><Relationship Id="rId151" Type="http://schemas.openxmlformats.org/officeDocument/2006/relationships/hyperlink" Target="http://www.aisera.com/" TargetMode="External"/><Relationship Id="rId193" Type="http://schemas.openxmlformats.org/officeDocument/2006/relationships/hyperlink" Target="http://www.unsupervised.com/" TargetMode="External"/><Relationship Id="rId207" Type="http://schemas.openxmlformats.org/officeDocument/2006/relationships/hyperlink" Target="http://www.expresssteuer.de/" TargetMode="External"/><Relationship Id="rId249" Type="http://schemas.openxmlformats.org/officeDocument/2006/relationships/hyperlink" Target="http://www.rewind.ai/" TargetMode="External"/><Relationship Id="rId13" Type="http://schemas.openxmlformats.org/officeDocument/2006/relationships/hyperlink" Target="http://www.ubtrobot.com/" TargetMode="External"/><Relationship Id="rId109" Type="http://schemas.openxmlformats.org/officeDocument/2006/relationships/hyperlink" Target="http://www.rungalileo.io/" TargetMode="External"/><Relationship Id="rId260" Type="http://schemas.openxmlformats.org/officeDocument/2006/relationships/hyperlink" Target="http://www.neptune.ai/" TargetMode="External"/><Relationship Id="rId316" Type="http://schemas.openxmlformats.org/officeDocument/2006/relationships/hyperlink" Target="http://www.mindfoundry.ai/" TargetMode="External"/><Relationship Id="rId55" Type="http://schemas.openxmlformats.org/officeDocument/2006/relationships/hyperlink" Target="http://www.immunai.com/" TargetMode="External"/><Relationship Id="rId97" Type="http://schemas.openxmlformats.org/officeDocument/2006/relationships/hyperlink" Target="http://www.getcruise.com/" TargetMode="External"/><Relationship Id="rId120" Type="http://schemas.openxmlformats.org/officeDocument/2006/relationships/hyperlink" Target="http://www.spicychat.ai/" TargetMode="External"/><Relationship Id="rId162" Type="http://schemas.openxmlformats.org/officeDocument/2006/relationships/hyperlink" Target="http://www.vedrai.com/" TargetMode="External"/><Relationship Id="rId218" Type="http://schemas.openxmlformats.org/officeDocument/2006/relationships/hyperlink" Target="http://www.kili-technology.com/" TargetMode="External"/><Relationship Id="rId271" Type="http://schemas.openxmlformats.org/officeDocument/2006/relationships/hyperlink" Target="https://global.iflytek.com/" TargetMode="External"/><Relationship Id="rId24" Type="http://schemas.openxmlformats.org/officeDocument/2006/relationships/hyperlink" Target="http://www.patsnap.com/" TargetMode="External"/><Relationship Id="rId66" Type="http://schemas.openxmlformats.org/officeDocument/2006/relationships/hyperlink" Target="http://www.labelbox.com/" TargetMode="External"/><Relationship Id="rId131" Type="http://schemas.openxmlformats.org/officeDocument/2006/relationships/hyperlink" Target="http://www.adept.ai/" TargetMode="External"/><Relationship Id="rId327" Type="http://schemas.openxmlformats.org/officeDocument/2006/relationships/hyperlink" Target="http://www.paperspace.com/" TargetMode="External"/><Relationship Id="rId173" Type="http://schemas.openxmlformats.org/officeDocument/2006/relationships/hyperlink" Target="http://www.langchain.com/" TargetMode="External"/><Relationship Id="rId229" Type="http://schemas.openxmlformats.org/officeDocument/2006/relationships/hyperlink" Target="http://www.protex.ai/" TargetMode="External"/><Relationship Id="rId240" Type="http://schemas.openxmlformats.org/officeDocument/2006/relationships/hyperlink" Target="http://www.superb-ai.com/" TargetMode="External"/><Relationship Id="rId35" Type="http://schemas.openxmlformats.org/officeDocument/2006/relationships/hyperlink" Target="http://www.sidneyai.com/" TargetMode="External"/><Relationship Id="rId77" Type="http://schemas.openxmlformats.org/officeDocument/2006/relationships/hyperlink" Target="http://www.deepl.com/" TargetMode="External"/><Relationship Id="rId100" Type="http://schemas.openxmlformats.org/officeDocument/2006/relationships/hyperlink" Target="http://www.scale.com/" TargetMode="External"/><Relationship Id="rId282" Type="http://schemas.openxmlformats.org/officeDocument/2006/relationships/hyperlink" Target="http://www.piecestech.com/" TargetMode="External"/><Relationship Id="rId338" Type="http://schemas.openxmlformats.org/officeDocument/2006/relationships/hyperlink" Target="http://www.hegel-ai.com/"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hyperlink" Target="mailto:karthik@openai.com"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42" Type="http://schemas.openxmlformats.org/officeDocument/2006/relationships/comments" Target="../comments4.xml"/><Relationship Id="rId7" Type="http://schemas.openxmlformats.org/officeDocument/2006/relationships/hyperlink" Target="mailto:alex@openai.com" TargetMode="Externa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41" Type="http://schemas.openxmlformats.org/officeDocument/2006/relationships/vmlDrawing" Target="../drawings/vmlDrawing4.vm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hyperlink" Target="mailto:mobav@openai.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16" Type="http://schemas.openxmlformats.org/officeDocument/2006/relationships/hyperlink" Target="https://arxiv.org/abs/1706.05137"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217" Type="http://schemas.openxmlformats.org/officeDocument/2006/relationships/hyperlink" Target="https://arxiv.org/abs/1703.03400"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18" Type="http://schemas.openxmlformats.org/officeDocument/2006/relationships/hyperlink" Target="https://arxiv.org/abs/1812.10860" TargetMode="External"/><Relationship Id="rId24" Type="http://schemas.openxmlformats.org/officeDocument/2006/relationships/hyperlink" Target="https://ailibrary.s3.amazonaws.com/Neural+Networks+-+A+Comprehensive+Foundation+-+Simon+Haykin+-+Prentice+Hall+(1998).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31" Type="http://schemas.openxmlformats.org/officeDocument/2006/relationships/hyperlink" Target="https://research.google/pubs/pub46485/"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4" Type="http://schemas.openxmlformats.org/officeDocument/2006/relationships/hyperlink" Target="https://ailibrary.s3.amazonaws.com/Learning+Process+in+an+Asymmetric+Threshold+Network+-+LeCun+198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8" Type="http://schemas.openxmlformats.org/officeDocument/2006/relationships/hyperlink" Target="https://ailibrary.s3.amazonaws.com/Programs+with+Common+Sense+-+McCarthy+1959.pdf"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219" Type="http://schemas.openxmlformats.org/officeDocument/2006/relationships/hyperlink" Target="https://arxiv.org/abs/1808.07042" TargetMode="External"/><Relationship Id="rId3" Type="http://schemas.openxmlformats.org/officeDocument/2006/relationships/hyperlink" Target="https://ailibrary.s3.amazonaws.com/BERT+-+Pre-training+of+Deep+Bidirectional+Transformers+for+Language+Understanding+-+1810.04805.pdf" TargetMode="External"/><Relationship Id="rId214" Type="http://schemas.openxmlformats.org/officeDocument/2006/relationships/hyperlink" Target="https://arxiv.org/pdf/2306.07298.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209" Type="http://schemas.openxmlformats.org/officeDocument/2006/relationships/hyperlink" Target="https://arxiv.org/pdf/1802.03981.pdf"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220" Type="http://schemas.openxmlformats.org/officeDocument/2006/relationships/hyperlink" Target="https://arxiv.org/abs/1808.07042" TargetMode="External"/><Relationship Id="rId225" Type="http://schemas.openxmlformats.org/officeDocument/2006/relationships/hyperlink" Target="https://arxiv.org/abs/2405.05967"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10" Type="http://schemas.openxmlformats.org/officeDocument/2006/relationships/hyperlink" Target="https://arxiv.org/pdf/2403.20329.pdf" TargetMode="External"/><Relationship Id="rId215" Type="http://schemas.openxmlformats.org/officeDocument/2006/relationships/hyperlink" Target="https://arxiv.org/abs/2305.14314"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221" Type="http://schemas.openxmlformats.org/officeDocument/2006/relationships/hyperlink" Target="https://cdn.openai.com/research-covers/language-unsupervised/language_understanding_paper.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11" Type="http://schemas.openxmlformats.org/officeDocument/2006/relationships/hyperlink" Target="https://arxiv.org/pdf/2207.14255.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222" Type="http://schemas.openxmlformats.org/officeDocument/2006/relationships/hyperlink" Target="https://arxiv.org/abs/2309.0389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12" Type="http://schemas.openxmlformats.org/officeDocument/2006/relationships/hyperlink" Target="https://arxiv.org/abs/2305.13009"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223" Type="http://schemas.openxmlformats.org/officeDocument/2006/relationships/hyperlink" Target="https://arxiv.org/abs/2308.16512"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13" Type="http://schemas.openxmlformats.org/officeDocument/2006/relationships/hyperlink" Target="https://arxiv.org/pdf/2204.06644.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40" Type="http://schemas.openxmlformats.org/officeDocument/2006/relationships/hyperlink" Target="https://ailibrary.s3.amazonaws.com/Efficient+Estimation+of+Word+Representations+in+Vector+Space.pdf" TargetMode="External"/><Relationship Id="rId115" Type="http://schemas.openxmlformats.org/officeDocument/2006/relationships/hyperlink" Target="https://arxiv.org/abs/2009.03300"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19" Type="http://schemas.openxmlformats.org/officeDocument/2006/relationships/hyperlink" Target="https://ailibrary.s3.amazonaws.com/Identification+and+Control+of+Dynamical+Systems+Using+Neural+Networks+-+Narendra+1990.pdf" TargetMode="External"/><Relationship Id="rId224" Type="http://schemas.openxmlformats.org/officeDocument/2006/relationships/hyperlink" Target="https://arxiv.org/abs/2210.16056" TargetMode="External"/><Relationship Id="rId30" Type="http://schemas.openxmlformats.org/officeDocument/2006/relationships/hyperlink" Target="https://ailibrary.s3.amazonaws.com/A+fast+learning+algorithm+for+deep+belief+nets.+Hinton%2C+Osindero%2C+Teh+-+2006.pdf"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189" Type="http://schemas.openxmlformats.org/officeDocument/2006/relationships/hyperlink" Target="https://ailibrary.s3.amazonaws.com/Computing+Machinery+and+Intelligence+-+Turing+195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C13"/>
  <sheetViews>
    <sheetView zoomScale="210" zoomScaleNormal="210" workbookViewId="0">
      <selection activeCell="C11" sqref="C11"/>
    </sheetView>
  </sheetViews>
  <sheetFormatPr baseColWidth="10" defaultColWidth="11" defaultRowHeight="13"/>
  <cols>
    <col min="1" max="1" width="3.6640625" style="95" customWidth="1"/>
    <col min="2" max="2" width="16" style="95" customWidth="1"/>
    <col min="3" max="3" width="14.6640625" style="95" customWidth="1"/>
    <col min="4" max="16384" width="11" style="95"/>
  </cols>
  <sheetData>
    <row r="2" spans="1:3" s="97" customFormat="1" ht="18">
      <c r="C2" s="242" t="s">
        <v>6210</v>
      </c>
    </row>
    <row r="3" spans="1:3" s="97" customFormat="1" ht="18">
      <c r="B3" s="100" t="s">
        <v>4224</v>
      </c>
      <c r="C3" s="141">
        <v>45404</v>
      </c>
    </row>
    <row r="4" spans="1:3" s="97" customFormat="1" ht="18">
      <c r="B4" s="100" t="s">
        <v>3969</v>
      </c>
      <c r="C4" s="141">
        <v>45404</v>
      </c>
    </row>
    <row r="5" spans="1:3" s="97" customFormat="1" ht="18">
      <c r="B5" s="100" t="s">
        <v>4225</v>
      </c>
      <c r="C5" s="141">
        <v>45403</v>
      </c>
    </row>
    <row r="6" spans="1:3" s="97" customFormat="1" ht="18">
      <c r="B6" s="100" t="s">
        <v>4226</v>
      </c>
      <c r="C6" s="141">
        <v>45402</v>
      </c>
    </row>
    <row r="7" spans="1:3" s="97" customFormat="1" ht="18">
      <c r="B7" s="100" t="s">
        <v>3973</v>
      </c>
      <c r="C7" s="141">
        <v>45401</v>
      </c>
    </row>
    <row r="8" spans="1:3" s="97" customFormat="1" ht="18"/>
    <row r="9" spans="1:3" s="97" customFormat="1" ht="18"/>
    <row r="10" spans="1:3" s="97" customFormat="1" ht="18">
      <c r="B10" s="100" t="s">
        <v>0</v>
      </c>
      <c r="C10" s="141">
        <v>45415</v>
      </c>
    </row>
    <row r="11" spans="1:3" ht="18">
      <c r="A11" s="50"/>
      <c r="B11" s="100" t="s">
        <v>4110</v>
      </c>
      <c r="C11" s="141">
        <v>45169</v>
      </c>
    </row>
    <row r="12" spans="1:3" ht="18">
      <c r="A12" s="50"/>
      <c r="B12" s="100" t="s">
        <v>782</v>
      </c>
      <c r="C12" s="141">
        <v>45327</v>
      </c>
    </row>
    <row r="13" spans="1:3" ht="16">
      <c r="A13" s="50"/>
      <c r="B13" s="50"/>
      <c r="C13" s="50"/>
    </row>
  </sheetData>
  <hyperlinks>
    <hyperlink ref="B3" location="Companies!A1" display="Companies" xr:uid="{B492CD14-87EE-8946-8D30-3C22D044802C}"/>
    <hyperlink ref="B4" location="Investors!A1" display="Investors" xr:uid="{45D318EA-841D-A546-9FF6-68D1D961E75A}"/>
    <hyperlink ref="B5" location="Glossary!A1" display="Glossary" xr:uid="{BA01D2EE-D045-4387-9297-B49C8ADC9D5C}"/>
    <hyperlink ref="B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sheetView>
  </sheetViews>
  <sheetFormatPr baseColWidth="10" defaultColWidth="10.83203125" defaultRowHeight="16"/>
  <cols>
    <col min="1" max="1" width="5.33203125" style="50" bestFit="1" customWidth="1"/>
    <col min="2" max="2" width="13.5" style="50" customWidth="1"/>
    <col min="3" max="3" width="13.33203125" style="50" customWidth="1"/>
    <col min="4" max="16384" width="10.83203125" style="50"/>
  </cols>
  <sheetData>
    <row r="1" spans="1:7">
      <c r="A1" s="280" t="s">
        <v>1165</v>
      </c>
    </row>
    <row r="2" spans="1:7">
      <c r="B2" s="50" t="s">
        <v>3978</v>
      </c>
      <c r="C2" s="50" t="s">
        <v>3968</v>
      </c>
      <c r="D2" s="50" t="s">
        <v>7878</v>
      </c>
      <c r="E2" s="50" t="s">
        <v>7880</v>
      </c>
      <c r="F2" s="50" t="s">
        <v>7882</v>
      </c>
      <c r="G2" s="50" t="s">
        <v>964</v>
      </c>
    </row>
    <row r="3" spans="1:7">
      <c r="B3" s="50" t="s">
        <v>7876</v>
      </c>
      <c r="C3" s="50" t="s">
        <v>7877</v>
      </c>
      <c r="D3" s="50" t="s">
        <v>7879</v>
      </c>
      <c r="E3" s="50" t="s">
        <v>7881</v>
      </c>
      <c r="F3" s="50" t="s">
        <v>7881</v>
      </c>
      <c r="G3" s="50" t="s">
        <v>7883</v>
      </c>
    </row>
    <row r="4" spans="1:7">
      <c r="B4" s="50" t="s">
        <v>0</v>
      </c>
    </row>
    <row r="5" spans="1:7">
      <c r="B5" s="50" t="s">
        <v>7873</v>
      </c>
    </row>
    <row r="6" spans="1:7">
      <c r="B6" s="262" t="s">
        <v>7872</v>
      </c>
    </row>
    <row r="7" spans="1:7">
      <c r="B7" s="262" t="s">
        <v>7871</v>
      </c>
    </row>
    <row r="8" spans="1:7">
      <c r="B8" s="50" t="s">
        <v>1069</v>
      </c>
    </row>
    <row r="9" spans="1:7">
      <c r="B9" s="50" t="s">
        <v>7870</v>
      </c>
    </row>
    <row r="10" spans="1:7">
      <c r="B10" s="50" t="s">
        <v>7874</v>
      </c>
    </row>
    <row r="11" spans="1:7">
      <c r="B11" s="50" t="s">
        <v>964</v>
      </c>
    </row>
  </sheetData>
  <hyperlinks>
    <hyperlink ref="A1" location="Main!A1" display="Main" xr:uid="{73B841EF-1BBE-45B5-8FA4-1E7C3008C43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D13"/>
  <sheetViews>
    <sheetView workbookViewId="0"/>
  </sheetViews>
  <sheetFormatPr baseColWidth="10" defaultColWidth="11" defaultRowHeight="13"/>
  <cols>
    <col min="1" max="1" width="5.33203125" style="263" bestFit="1" customWidth="1"/>
    <col min="2" max="2" width="11" style="263"/>
    <col min="3" max="3" width="14.33203125" style="263" customWidth="1"/>
    <col min="4" max="16384" width="11" style="263"/>
  </cols>
  <sheetData>
    <row r="1" spans="1:4">
      <c r="A1" s="263" t="s">
        <v>1165</v>
      </c>
    </row>
    <row r="2" spans="1:4">
      <c r="B2" s="263" t="s">
        <v>6235</v>
      </c>
      <c r="C2" s="263" t="s">
        <v>7866</v>
      </c>
      <c r="D2" s="263" t="s">
        <v>7867</v>
      </c>
    </row>
    <row r="3" spans="1:4">
      <c r="C3" s="263" t="s">
        <v>7868</v>
      </c>
    </row>
    <row r="4" spans="1:4">
      <c r="C4" s="263" t="s">
        <v>7869</v>
      </c>
    </row>
    <row r="5" spans="1:4">
      <c r="B5" s="263" t="s">
        <v>6231</v>
      </c>
    </row>
    <row r="6" spans="1:4">
      <c r="C6" s="263" t="s">
        <v>7875</v>
      </c>
    </row>
    <row r="8" spans="1:4">
      <c r="B8" s="269" t="s">
        <v>7953</v>
      </c>
    </row>
    <row r="10" spans="1:4">
      <c r="B10" s="269" t="s">
        <v>7969</v>
      </c>
    </row>
    <row r="13" spans="1:4">
      <c r="B13" s="269" t="s">
        <v>7996</v>
      </c>
      <c r="C13" s="263" t="s">
        <v>7997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50"/>
  <sheetViews>
    <sheetView workbookViewId="0"/>
  </sheetViews>
  <sheetFormatPr baseColWidth="10" defaultColWidth="10.83203125" defaultRowHeight="16"/>
  <cols>
    <col min="1" max="1" width="5.6640625" style="50" bestFit="1" customWidth="1"/>
    <col min="2" max="2" width="9.1640625" style="50" bestFit="1" customWidth="1"/>
    <col min="3" max="11" width="10.83203125" style="50"/>
    <col min="12" max="12" width="6.6640625" style="50" customWidth="1"/>
    <col min="13" max="13" width="22.1640625" style="50" customWidth="1"/>
    <col min="14" max="14" width="10.83203125" style="50" customWidth="1"/>
    <col min="15" max="16384" width="10.83203125" style="50"/>
  </cols>
  <sheetData>
    <row r="1" spans="1:4">
      <c r="A1" s="280" t="s">
        <v>1165</v>
      </c>
    </row>
    <row r="2" spans="1:4">
      <c r="A2" s="280"/>
      <c r="B2" s="283">
        <v>45342</v>
      </c>
      <c r="C2" s="282" t="s">
        <v>8921</v>
      </c>
    </row>
    <row r="3" spans="1:4">
      <c r="A3" s="280"/>
      <c r="C3" s="50" t="s">
        <v>5669</v>
      </c>
      <c r="D3" s="50" t="s">
        <v>8922</v>
      </c>
    </row>
    <row r="4" spans="1:4">
      <c r="A4" s="280"/>
      <c r="C4" s="50" t="s">
        <v>5670</v>
      </c>
    </row>
    <row r="5" spans="1:4">
      <c r="A5" s="280"/>
      <c r="C5" s="50" t="s">
        <v>5668</v>
      </c>
      <c r="D5" s="50" t="s">
        <v>8923</v>
      </c>
    </row>
    <row r="6" spans="1:4">
      <c r="A6" s="280"/>
    </row>
    <row r="7" spans="1:4">
      <c r="B7" s="283">
        <v>45322</v>
      </c>
      <c r="C7" s="282" t="s">
        <v>8251</v>
      </c>
    </row>
    <row r="8" spans="1:4">
      <c r="B8" s="280"/>
      <c r="C8" s="50" t="s">
        <v>5669</v>
      </c>
      <c r="D8" s="50" t="s">
        <v>1088</v>
      </c>
    </row>
    <row r="9" spans="1:4">
      <c r="B9" s="280"/>
      <c r="C9" s="50" t="s">
        <v>5670</v>
      </c>
    </row>
    <row r="10" spans="1:4">
      <c r="B10" s="280"/>
      <c r="C10" s="50" t="s">
        <v>5668</v>
      </c>
      <c r="D10" s="280" t="s">
        <v>8252</v>
      </c>
    </row>
    <row r="11" spans="1:4">
      <c r="B11" s="280"/>
      <c r="C11" s="50" t="s">
        <v>8254</v>
      </c>
      <c r="D11" s="280" t="s">
        <v>8253</v>
      </c>
    </row>
    <row r="12" spans="1:4">
      <c r="B12" s="280"/>
    </row>
    <row r="13" spans="1:4">
      <c r="B13" s="283">
        <v>45321</v>
      </c>
      <c r="C13" s="282" t="s">
        <v>9037</v>
      </c>
    </row>
    <row r="14" spans="1:4">
      <c r="B14" s="280"/>
      <c r="C14" s="50" t="s">
        <v>5669</v>
      </c>
      <c r="D14" s="50" t="s">
        <v>9035</v>
      </c>
    </row>
    <row r="15" spans="1:4">
      <c r="B15" s="280"/>
      <c r="C15" s="50" t="s">
        <v>5670</v>
      </c>
    </row>
    <row r="16" spans="1:4">
      <c r="B16" s="280"/>
      <c r="C16" s="50" t="s">
        <v>5668</v>
      </c>
      <c r="D16" s="50" t="s">
        <v>9036</v>
      </c>
    </row>
    <row r="17" spans="2:4">
      <c r="B17" s="280"/>
    </row>
    <row r="18" spans="2:4">
      <c r="B18" s="283">
        <v>45314</v>
      </c>
      <c r="C18" s="282" t="s">
        <v>9091</v>
      </c>
    </row>
    <row r="19" spans="2:4">
      <c r="B19" s="280"/>
      <c r="C19" s="50" t="s">
        <v>5669</v>
      </c>
      <c r="D19" s="50" t="s">
        <v>9092</v>
      </c>
    </row>
    <row r="20" spans="2:4">
      <c r="B20" s="280"/>
      <c r="C20" s="50" t="s">
        <v>5670</v>
      </c>
    </row>
    <row r="21" spans="2:4">
      <c r="B21" s="280"/>
      <c r="C21" s="50" t="s">
        <v>5668</v>
      </c>
      <c r="D21" s="50" t="s">
        <v>9093</v>
      </c>
    </row>
    <row r="22" spans="2:4">
      <c r="B22" s="280"/>
    </row>
    <row r="23" spans="2:4">
      <c r="B23" s="283">
        <v>45310</v>
      </c>
      <c r="C23" s="282" t="s">
        <v>9105</v>
      </c>
    </row>
    <row r="24" spans="2:4">
      <c r="B24" s="280"/>
      <c r="C24" s="50" t="s">
        <v>5669</v>
      </c>
      <c r="D24" s="50" t="s">
        <v>9106</v>
      </c>
    </row>
    <row r="25" spans="2:4">
      <c r="B25" s="280"/>
      <c r="C25" s="50" t="s">
        <v>5670</v>
      </c>
    </row>
    <row r="26" spans="2:4">
      <c r="B26" s="280"/>
      <c r="C26" s="50" t="s">
        <v>5668</v>
      </c>
      <c r="D26" s="50" t="s">
        <v>9107</v>
      </c>
    </row>
    <row r="27" spans="2:4">
      <c r="B27" s="280"/>
    </row>
    <row r="28" spans="2:4">
      <c r="B28" s="283">
        <v>45296</v>
      </c>
      <c r="C28" s="282" t="s">
        <v>9010</v>
      </c>
    </row>
    <row r="29" spans="2:4">
      <c r="B29" s="280"/>
      <c r="C29" s="50" t="s">
        <v>5669</v>
      </c>
      <c r="D29" s="50" t="s">
        <v>9011</v>
      </c>
    </row>
    <row r="30" spans="2:4">
      <c r="B30" s="280"/>
      <c r="C30" s="50" t="s">
        <v>5670</v>
      </c>
    </row>
    <row r="31" spans="2:4">
      <c r="B31" s="280"/>
      <c r="C31" s="50" t="s">
        <v>5668</v>
      </c>
      <c r="D31" s="50" t="s">
        <v>9012</v>
      </c>
    </row>
    <row r="32" spans="2:4">
      <c r="B32" s="280"/>
    </row>
    <row r="33" spans="2:4">
      <c r="B33" s="283">
        <v>45296</v>
      </c>
      <c r="C33" s="282" t="s">
        <v>8050</v>
      </c>
    </row>
    <row r="34" spans="2:4">
      <c r="C34" s="50" t="s">
        <v>5669</v>
      </c>
      <c r="D34" s="50" t="s">
        <v>8067</v>
      </c>
    </row>
    <row r="35" spans="2:4">
      <c r="C35" s="50" t="s">
        <v>5670</v>
      </c>
    </row>
    <row r="36" spans="2:4">
      <c r="C36" s="50" t="s">
        <v>5668</v>
      </c>
      <c r="D36" s="280" t="s">
        <v>8068</v>
      </c>
    </row>
    <row r="38" spans="2:4">
      <c r="B38" s="283">
        <v>45296</v>
      </c>
      <c r="C38" s="282" t="s">
        <v>8052</v>
      </c>
    </row>
    <row r="39" spans="2:4">
      <c r="C39" s="50" t="s">
        <v>5669</v>
      </c>
      <c r="D39" s="50" t="s">
        <v>8065</v>
      </c>
    </row>
    <row r="40" spans="2:4">
      <c r="C40" s="50" t="s">
        <v>5670</v>
      </c>
    </row>
    <row r="41" spans="2:4">
      <c r="C41" s="50" t="s">
        <v>5668</v>
      </c>
      <c r="D41" s="280" t="s">
        <v>8066</v>
      </c>
    </row>
    <row r="43" spans="2:4">
      <c r="B43" s="283">
        <v>45271</v>
      </c>
      <c r="C43" s="282" t="s">
        <v>9087</v>
      </c>
    </row>
    <row r="44" spans="2:4">
      <c r="C44" s="50" t="s">
        <v>5669</v>
      </c>
      <c r="D44" s="50" t="s">
        <v>9088</v>
      </c>
    </row>
    <row r="45" spans="2:4">
      <c r="C45" s="50" t="s">
        <v>5670</v>
      </c>
    </row>
    <row r="46" spans="2:4">
      <c r="C46" s="50" t="s">
        <v>5668</v>
      </c>
    </row>
    <row r="48" spans="2:4">
      <c r="B48" s="283">
        <v>45256</v>
      </c>
      <c r="C48" s="282" t="s">
        <v>8278</v>
      </c>
    </row>
    <row r="49" spans="2:4">
      <c r="C49" s="50" t="s">
        <v>5669</v>
      </c>
      <c r="D49" s="50" t="s">
        <v>8279</v>
      </c>
    </row>
    <row r="50" spans="2:4">
      <c r="C50" s="50" t="s">
        <v>5670</v>
      </c>
    </row>
    <row r="51" spans="2:4">
      <c r="C51" s="50" t="s">
        <v>5668</v>
      </c>
    </row>
    <row r="53" spans="2:4">
      <c r="B53" s="283">
        <v>45610</v>
      </c>
      <c r="C53" s="282" t="s">
        <v>9082</v>
      </c>
    </row>
    <row r="54" spans="2:4">
      <c r="C54" s="50" t="s">
        <v>5669</v>
      </c>
      <c r="D54" s="50" t="s">
        <v>9085</v>
      </c>
    </row>
    <row r="55" spans="2:4">
      <c r="C55" s="50" t="s">
        <v>5670</v>
      </c>
    </row>
    <row r="56" spans="2:4">
      <c r="C56" s="50" t="s">
        <v>5668</v>
      </c>
      <c r="D56" s="50" t="s">
        <v>9086</v>
      </c>
    </row>
    <row r="58" spans="2:4">
      <c r="B58" s="283">
        <v>45222</v>
      </c>
      <c r="C58" s="282" t="s">
        <v>9064</v>
      </c>
    </row>
    <row r="59" spans="2:4">
      <c r="C59" s="50" t="s">
        <v>5669</v>
      </c>
      <c r="D59" s="50" t="s">
        <v>9135</v>
      </c>
    </row>
    <row r="60" spans="2:4">
      <c r="C60" s="50" t="s">
        <v>5670</v>
      </c>
    </row>
    <row r="61" spans="2:4">
      <c r="C61" s="50" t="s">
        <v>5668</v>
      </c>
      <c r="D61" s="50" t="s">
        <v>9065</v>
      </c>
    </row>
    <row r="63" spans="2:4">
      <c r="B63" s="283">
        <v>45211</v>
      </c>
      <c r="C63" s="282" t="s">
        <v>8244</v>
      </c>
    </row>
    <row r="64" spans="2:4">
      <c r="C64" s="50" t="s">
        <v>5669</v>
      </c>
      <c r="D64" s="50" t="s">
        <v>8243</v>
      </c>
    </row>
    <row r="65" spans="2:4">
      <c r="C65" s="50" t="s">
        <v>5670</v>
      </c>
    </row>
    <row r="66" spans="2:4">
      <c r="C66" s="50" t="s">
        <v>5668</v>
      </c>
      <c r="D66" s="44" t="s">
        <v>8242</v>
      </c>
    </row>
    <row r="68" spans="2:4">
      <c r="B68" s="283">
        <v>45190</v>
      </c>
      <c r="C68" s="282" t="s">
        <v>9041</v>
      </c>
    </row>
    <row r="69" spans="2:4">
      <c r="C69" s="50" t="s">
        <v>5669</v>
      </c>
      <c r="D69" s="50" t="s">
        <v>9042</v>
      </c>
    </row>
    <row r="70" spans="2:4">
      <c r="C70" s="50" t="s">
        <v>5670</v>
      </c>
    </row>
    <row r="71" spans="2:4">
      <c r="C71" s="50" t="s">
        <v>5668</v>
      </c>
      <c r="D71" s="50" t="s">
        <v>9043</v>
      </c>
    </row>
    <row r="73" spans="2:4">
      <c r="B73" s="283">
        <v>45178</v>
      </c>
      <c r="C73" s="282" t="s">
        <v>9062</v>
      </c>
    </row>
    <row r="74" spans="2:4">
      <c r="C74" s="50" t="s">
        <v>5669</v>
      </c>
      <c r="D74" s="50" t="s">
        <v>8279</v>
      </c>
    </row>
    <row r="75" spans="2:4">
      <c r="C75" s="50" t="s">
        <v>5670</v>
      </c>
    </row>
    <row r="76" spans="2:4">
      <c r="C76" s="50" t="s">
        <v>5668</v>
      </c>
      <c r="D76" s="50" t="s">
        <v>9063</v>
      </c>
    </row>
    <row r="78" spans="2:4">
      <c r="B78" s="283">
        <v>45152</v>
      </c>
      <c r="C78" s="282" t="s">
        <v>9013</v>
      </c>
    </row>
    <row r="79" spans="2:4">
      <c r="C79" s="50" t="s">
        <v>5669</v>
      </c>
      <c r="D79" s="50" t="s">
        <v>9015</v>
      </c>
    </row>
    <row r="80" spans="2:4">
      <c r="C80" s="50" t="s">
        <v>5670</v>
      </c>
    </row>
    <row r="81" spans="2:4">
      <c r="C81" s="50" t="s">
        <v>5668</v>
      </c>
      <c r="D81" s="50" t="s">
        <v>9014</v>
      </c>
    </row>
    <row r="83" spans="2:4">
      <c r="B83" s="283">
        <v>45138</v>
      </c>
      <c r="C83" s="282" t="s">
        <v>8057</v>
      </c>
    </row>
    <row r="84" spans="2:4">
      <c r="C84" s="50" t="s">
        <v>5669</v>
      </c>
      <c r="D84" s="50" t="s">
        <v>8064</v>
      </c>
    </row>
    <row r="85" spans="2:4">
      <c r="C85" s="50" t="s">
        <v>5670</v>
      </c>
    </row>
    <row r="86" spans="2:4">
      <c r="C86" s="50" t="s">
        <v>5668</v>
      </c>
      <c r="D86" s="280" t="s">
        <v>8058</v>
      </c>
    </row>
    <row r="88" spans="2:4">
      <c r="B88" s="283">
        <v>45133</v>
      </c>
      <c r="C88" s="282" t="s">
        <v>9110</v>
      </c>
    </row>
    <row r="89" spans="2:4">
      <c r="C89" s="50" t="s">
        <v>5669</v>
      </c>
      <c r="D89" s="50" t="s">
        <v>9111</v>
      </c>
    </row>
    <row r="90" spans="2:4">
      <c r="C90" s="50" t="s">
        <v>5670</v>
      </c>
    </row>
    <row r="91" spans="2:4">
      <c r="C91" s="50" t="s">
        <v>5668</v>
      </c>
      <c r="D91" s="50" t="s">
        <v>9112</v>
      </c>
    </row>
    <row r="93" spans="2:4">
      <c r="B93" s="283">
        <v>45115</v>
      </c>
      <c r="C93" s="282" t="s">
        <v>9026</v>
      </c>
    </row>
    <row r="94" spans="2:4">
      <c r="C94" s="50" t="s">
        <v>5669</v>
      </c>
      <c r="D94" s="50" t="s">
        <v>9027</v>
      </c>
    </row>
    <row r="95" spans="2:4">
      <c r="C95" s="50" t="s">
        <v>5670</v>
      </c>
    </row>
    <row r="96" spans="2:4">
      <c r="C96" s="50" t="s">
        <v>5668</v>
      </c>
      <c r="D96" s="50" t="s">
        <v>9028</v>
      </c>
    </row>
    <row r="98" spans="2:4">
      <c r="B98" s="283">
        <v>45102</v>
      </c>
      <c r="C98" s="282" t="s">
        <v>9056</v>
      </c>
    </row>
    <row r="99" spans="2:4">
      <c r="C99" s="50" t="s">
        <v>5669</v>
      </c>
      <c r="D99" s="50" t="s">
        <v>9057</v>
      </c>
    </row>
    <row r="100" spans="2:4">
      <c r="C100" s="50" t="s">
        <v>5670</v>
      </c>
    </row>
    <row r="101" spans="2:4">
      <c r="C101" s="50" t="s">
        <v>5668</v>
      </c>
      <c r="D101" s="50" t="s">
        <v>9058</v>
      </c>
    </row>
    <row r="103" spans="2:4">
      <c r="B103" s="283">
        <v>45099</v>
      </c>
      <c r="C103" s="282" t="s">
        <v>9102</v>
      </c>
    </row>
    <row r="104" spans="2:4">
      <c r="C104" s="50" t="s">
        <v>5669</v>
      </c>
      <c r="D104" s="50" t="s">
        <v>9103</v>
      </c>
    </row>
    <row r="105" spans="2:4">
      <c r="C105" s="50" t="s">
        <v>5670</v>
      </c>
    </row>
    <row r="106" spans="2:4">
      <c r="C106" s="50" t="s">
        <v>5668</v>
      </c>
      <c r="D106" s="50" t="s">
        <v>9104</v>
      </c>
    </row>
    <row r="108" spans="2:4">
      <c r="B108" s="283">
        <v>45092</v>
      </c>
      <c r="C108" s="282" t="s">
        <v>9131</v>
      </c>
    </row>
    <row r="109" spans="2:4">
      <c r="C109" s="50" t="s">
        <v>5669</v>
      </c>
      <c r="D109" s="50" t="s">
        <v>9127</v>
      </c>
    </row>
    <row r="110" spans="2:4">
      <c r="C110" s="50" t="s">
        <v>5670</v>
      </c>
    </row>
    <row r="111" spans="2:4">
      <c r="C111" s="50" t="s">
        <v>5668</v>
      </c>
      <c r="D111" s="50" t="s">
        <v>9132</v>
      </c>
    </row>
    <row r="113" spans="2:4">
      <c r="B113" s="283">
        <v>45077</v>
      </c>
      <c r="C113" s="282" t="s">
        <v>9128</v>
      </c>
    </row>
    <row r="114" spans="2:4">
      <c r="C114" s="50" t="s">
        <v>5669</v>
      </c>
      <c r="D114" s="50" t="s">
        <v>9129</v>
      </c>
    </row>
    <row r="115" spans="2:4">
      <c r="C115" s="50" t="s">
        <v>5670</v>
      </c>
    </row>
    <row r="116" spans="2:4">
      <c r="C116" s="50" t="s">
        <v>5668</v>
      </c>
      <c r="D116" s="50" t="s">
        <v>9130</v>
      </c>
    </row>
    <row r="118" spans="2:4">
      <c r="B118" s="283">
        <v>45076</v>
      </c>
      <c r="C118" s="282" t="s">
        <v>9022</v>
      </c>
    </row>
    <row r="119" spans="2:4">
      <c r="C119" s="50" t="s">
        <v>5669</v>
      </c>
      <c r="D119" s="50" t="s">
        <v>9023</v>
      </c>
    </row>
    <row r="120" spans="2:4">
      <c r="C120" s="50" t="s">
        <v>5670</v>
      </c>
    </row>
    <row r="121" spans="2:4">
      <c r="C121" s="50" t="s">
        <v>5668</v>
      </c>
      <c r="D121" s="50" t="s">
        <v>8270</v>
      </c>
    </row>
    <row r="123" spans="2:4">
      <c r="B123" s="283">
        <v>45075</v>
      </c>
      <c r="C123" s="282" t="s">
        <v>9059</v>
      </c>
    </row>
    <row r="124" spans="2:4">
      <c r="C124" s="50" t="s">
        <v>5669</v>
      </c>
      <c r="D124" s="50" t="s">
        <v>9060</v>
      </c>
    </row>
    <row r="125" spans="2:4">
      <c r="C125" s="50" t="s">
        <v>5670</v>
      </c>
    </row>
    <row r="126" spans="2:4">
      <c r="C126" s="50" t="s">
        <v>5668</v>
      </c>
      <c r="D126" s="50" t="s">
        <v>9061</v>
      </c>
    </row>
    <row r="128" spans="2:4">
      <c r="B128" s="283">
        <v>45071</v>
      </c>
      <c r="C128" s="282" t="s">
        <v>9038</v>
      </c>
    </row>
    <row r="129" spans="2:4">
      <c r="C129" s="50" t="s">
        <v>5669</v>
      </c>
      <c r="D129" s="50" t="s">
        <v>9039</v>
      </c>
    </row>
    <row r="130" spans="2:4">
      <c r="C130" s="50" t="s">
        <v>5670</v>
      </c>
    </row>
    <row r="131" spans="2:4">
      <c r="C131" s="50" t="s">
        <v>5668</v>
      </c>
      <c r="D131" s="50" t="s">
        <v>9040</v>
      </c>
    </row>
    <row r="133" spans="2:4">
      <c r="B133" s="283">
        <v>45069</v>
      </c>
      <c r="C133" s="282" t="s">
        <v>9097</v>
      </c>
    </row>
    <row r="134" spans="2:4">
      <c r="B134" s="283"/>
      <c r="C134" s="50" t="s">
        <v>5669</v>
      </c>
      <c r="D134" s="50" t="s">
        <v>8109</v>
      </c>
    </row>
    <row r="135" spans="2:4">
      <c r="C135" s="50" t="s">
        <v>5670</v>
      </c>
    </row>
    <row r="136" spans="2:4">
      <c r="C136" s="50" t="s">
        <v>5668</v>
      </c>
      <c r="D136" s="44" t="s">
        <v>8110</v>
      </c>
    </row>
    <row r="138" spans="2:4">
      <c r="B138" s="283">
        <v>45062</v>
      </c>
      <c r="C138" s="282" t="s">
        <v>9096</v>
      </c>
    </row>
    <row r="139" spans="2:4">
      <c r="C139" s="50" t="s">
        <v>5669</v>
      </c>
      <c r="D139" s="50" t="s">
        <v>9098</v>
      </c>
    </row>
    <row r="140" spans="2:4">
      <c r="C140" s="50" t="s">
        <v>5670</v>
      </c>
    </row>
    <row r="141" spans="2:4">
      <c r="C141" s="50" t="s">
        <v>5668</v>
      </c>
      <c r="D141" s="50" t="s">
        <v>9099</v>
      </c>
    </row>
    <row r="143" spans="2:4">
      <c r="B143" s="283">
        <v>45049</v>
      </c>
      <c r="C143" s="282" t="s">
        <v>9019</v>
      </c>
    </row>
    <row r="144" spans="2:4">
      <c r="B144" s="283"/>
      <c r="C144" s="50" t="s">
        <v>5669</v>
      </c>
      <c r="D144" s="50" t="s">
        <v>9020</v>
      </c>
    </row>
    <row r="145" spans="2:4">
      <c r="B145" s="283"/>
      <c r="C145" s="50" t="s">
        <v>5670</v>
      </c>
    </row>
    <row r="146" spans="2:4">
      <c r="C146" s="50" t="s">
        <v>5668</v>
      </c>
      <c r="D146" s="50" t="s">
        <v>9021</v>
      </c>
    </row>
    <row r="148" spans="2:4">
      <c r="B148" s="283">
        <v>45041</v>
      </c>
      <c r="C148" s="282" t="s">
        <v>9100</v>
      </c>
    </row>
    <row r="149" spans="2:4">
      <c r="B149" s="283"/>
      <c r="C149" s="50" t="s">
        <v>5669</v>
      </c>
      <c r="D149" s="50" t="s">
        <v>9060</v>
      </c>
    </row>
    <row r="150" spans="2:4">
      <c r="C150" s="50" t="s">
        <v>5670</v>
      </c>
    </row>
    <row r="151" spans="2:4">
      <c r="C151" s="50" t="s">
        <v>5668</v>
      </c>
      <c r="D151" s="50" t="s">
        <v>9101</v>
      </c>
    </row>
    <row r="153" spans="2:4">
      <c r="B153" s="283">
        <v>45040</v>
      </c>
      <c r="C153" s="282" t="s">
        <v>9016</v>
      </c>
    </row>
    <row r="154" spans="2:4">
      <c r="C154" s="50" t="s">
        <v>5669</v>
      </c>
      <c r="D154" s="50" t="s">
        <v>9017</v>
      </c>
    </row>
    <row r="155" spans="2:4">
      <c r="C155" s="50" t="s">
        <v>5670</v>
      </c>
    </row>
    <row r="156" spans="2:4">
      <c r="C156" s="50" t="s">
        <v>5668</v>
      </c>
      <c r="D156" s="50" t="s">
        <v>9018</v>
      </c>
    </row>
    <row r="158" spans="2:4">
      <c r="B158" s="283">
        <v>45021</v>
      </c>
      <c r="C158" s="282" t="s">
        <v>9024</v>
      </c>
    </row>
    <row r="159" spans="2:4">
      <c r="C159" s="50" t="s">
        <v>5669</v>
      </c>
      <c r="D159" s="50" t="s">
        <v>9015</v>
      </c>
    </row>
    <row r="160" spans="2:4">
      <c r="C160" s="50" t="s">
        <v>5670</v>
      </c>
    </row>
    <row r="161" spans="2:4">
      <c r="C161" s="50" t="s">
        <v>5668</v>
      </c>
      <c r="D161" s="50" t="s">
        <v>9025</v>
      </c>
    </row>
    <row r="163" spans="2:4">
      <c r="B163" s="283">
        <v>44993</v>
      </c>
      <c r="C163" s="282" t="s">
        <v>9029</v>
      </c>
    </row>
    <row r="164" spans="2:4">
      <c r="C164" s="50" t="s">
        <v>5669</v>
      </c>
      <c r="D164" s="50" t="s">
        <v>9031</v>
      </c>
    </row>
    <row r="165" spans="2:4">
      <c r="C165" s="50" t="s">
        <v>5670</v>
      </c>
    </row>
    <row r="166" spans="2:4">
      <c r="C166" s="50" t="s">
        <v>5668</v>
      </c>
      <c r="D166" s="280" t="s">
        <v>9030</v>
      </c>
    </row>
    <row r="168" spans="2:4">
      <c r="B168" s="283">
        <v>44992</v>
      </c>
      <c r="C168" s="282" t="s">
        <v>9032</v>
      </c>
    </row>
    <row r="169" spans="2:4">
      <c r="C169" s="50" t="s">
        <v>5669</v>
      </c>
      <c r="D169" s="50" t="s">
        <v>9034</v>
      </c>
    </row>
    <row r="170" spans="2:4">
      <c r="C170" s="50" t="s">
        <v>5670</v>
      </c>
    </row>
    <row r="171" spans="2:4">
      <c r="C171" s="50" t="s">
        <v>5668</v>
      </c>
      <c r="D171" s="50" t="s">
        <v>9033</v>
      </c>
    </row>
    <row r="173" spans="2:4">
      <c r="B173" s="283">
        <v>44991</v>
      </c>
      <c r="C173" s="282" t="s">
        <v>9044</v>
      </c>
    </row>
    <row r="174" spans="2:4">
      <c r="C174" s="50" t="s">
        <v>5669</v>
      </c>
      <c r="D174" s="50" t="s">
        <v>9046</v>
      </c>
    </row>
    <row r="175" spans="2:4">
      <c r="C175" s="50" t="s">
        <v>5670</v>
      </c>
    </row>
    <row r="176" spans="2:4">
      <c r="C176" s="50" t="s">
        <v>5668</v>
      </c>
      <c r="D176" s="50" t="s">
        <v>9045</v>
      </c>
    </row>
    <row r="178" spans="2:4">
      <c r="B178" s="283">
        <v>44964</v>
      </c>
      <c r="C178" s="282" t="s">
        <v>9049</v>
      </c>
    </row>
    <row r="179" spans="2:4">
      <c r="C179" s="50" t="s">
        <v>5669</v>
      </c>
      <c r="D179" s="50" t="s">
        <v>9048</v>
      </c>
    </row>
    <row r="180" spans="2:4">
      <c r="C180" s="50" t="s">
        <v>5670</v>
      </c>
    </row>
    <row r="181" spans="2:4">
      <c r="C181" s="50" t="s">
        <v>5668</v>
      </c>
      <c r="D181" s="50" t="s">
        <v>9047</v>
      </c>
    </row>
    <row r="183" spans="2:4">
      <c r="B183" s="283">
        <v>44956</v>
      </c>
      <c r="C183" s="282" t="s">
        <v>9050</v>
      </c>
    </row>
    <row r="184" spans="2:4">
      <c r="C184" s="50" t="s">
        <v>5669</v>
      </c>
      <c r="D184" s="50" t="s">
        <v>9051</v>
      </c>
    </row>
    <row r="185" spans="2:4">
      <c r="C185" s="50" t="s">
        <v>5670</v>
      </c>
    </row>
    <row r="186" spans="2:4">
      <c r="C186" s="50" t="s">
        <v>5668</v>
      </c>
      <c r="D186" s="50" t="s">
        <v>9052</v>
      </c>
    </row>
    <row r="188" spans="2:4">
      <c r="B188" s="283">
        <v>44956</v>
      </c>
      <c r="C188" s="282" t="s">
        <v>9067</v>
      </c>
    </row>
    <row r="189" spans="2:4">
      <c r="C189" s="50" t="s">
        <v>5669</v>
      </c>
      <c r="D189" s="50" t="s">
        <v>9060</v>
      </c>
    </row>
    <row r="190" spans="2:4">
      <c r="C190" s="50" t="s">
        <v>5670</v>
      </c>
    </row>
    <row r="191" spans="2:4">
      <c r="C191" s="50" t="s">
        <v>5668</v>
      </c>
      <c r="D191" s="50" t="s">
        <v>9066</v>
      </c>
    </row>
    <row r="193" spans="2:4">
      <c r="B193" s="283">
        <v>44956</v>
      </c>
      <c r="C193" s="282" t="s">
        <v>9068</v>
      </c>
    </row>
    <row r="194" spans="2:4">
      <c r="C194" s="50" t="s">
        <v>5669</v>
      </c>
      <c r="D194" s="50" t="s">
        <v>9070</v>
      </c>
    </row>
    <row r="195" spans="2:4">
      <c r="C195" s="50" t="s">
        <v>5670</v>
      </c>
    </row>
    <row r="196" spans="2:4">
      <c r="C196" s="50" t="s">
        <v>5668</v>
      </c>
      <c r="D196" s="50" t="s">
        <v>9069</v>
      </c>
    </row>
    <row r="198" spans="2:4">
      <c r="B198" s="283">
        <v>44952</v>
      </c>
      <c r="C198" s="282" t="s">
        <v>9053</v>
      </c>
    </row>
    <row r="199" spans="2:4">
      <c r="C199" s="50" t="s">
        <v>5669</v>
      </c>
      <c r="D199" s="50" t="s">
        <v>9054</v>
      </c>
    </row>
    <row r="200" spans="2:4">
      <c r="C200" s="50" t="s">
        <v>5670</v>
      </c>
    </row>
    <row r="201" spans="2:4">
      <c r="C201" s="50" t="s">
        <v>5668</v>
      </c>
      <c r="D201" s="50" t="s">
        <v>9055</v>
      </c>
    </row>
    <row r="203" spans="2:4">
      <c r="B203" s="283">
        <v>44931</v>
      </c>
      <c r="C203" s="282" t="s">
        <v>8055</v>
      </c>
    </row>
    <row r="204" spans="2:4">
      <c r="C204" s="50" t="s">
        <v>5669</v>
      </c>
      <c r="D204" s="50" t="s">
        <v>8062</v>
      </c>
    </row>
    <row r="205" spans="2:4">
      <c r="C205" s="50" t="s">
        <v>5670</v>
      </c>
    </row>
    <row r="206" spans="2:4">
      <c r="C206" s="50" t="s">
        <v>5668</v>
      </c>
      <c r="D206" s="280" t="s">
        <v>8056</v>
      </c>
    </row>
    <row r="208" spans="2:4">
      <c r="B208" s="283">
        <v>44887</v>
      </c>
      <c r="C208" s="282" t="s">
        <v>9071</v>
      </c>
    </row>
    <row r="209" spans="2:4">
      <c r="C209" s="50" t="s">
        <v>5669</v>
      </c>
      <c r="D209" s="50" t="s">
        <v>9073</v>
      </c>
    </row>
    <row r="210" spans="2:4">
      <c r="C210" s="50" t="s">
        <v>5670</v>
      </c>
    </row>
    <row r="211" spans="2:4">
      <c r="C211" s="50" t="s">
        <v>5668</v>
      </c>
      <c r="D211" s="50" t="s">
        <v>9072</v>
      </c>
    </row>
    <row r="213" spans="2:4">
      <c r="B213" s="283">
        <v>44859</v>
      </c>
      <c r="C213" s="282" t="s">
        <v>9125</v>
      </c>
    </row>
    <row r="214" spans="2:4">
      <c r="C214" s="50" t="s">
        <v>5669</v>
      </c>
      <c r="D214" s="50" t="s">
        <v>9127</v>
      </c>
    </row>
    <row r="215" spans="2:4">
      <c r="C215" s="50" t="s">
        <v>5670</v>
      </c>
    </row>
    <row r="216" spans="2:4">
      <c r="C216" s="50" t="s">
        <v>5668</v>
      </c>
      <c r="D216" s="50" t="s">
        <v>9126</v>
      </c>
    </row>
    <row r="218" spans="2:4">
      <c r="B218" s="283">
        <v>44799</v>
      </c>
      <c r="C218" s="282" t="s">
        <v>9133</v>
      </c>
    </row>
    <row r="219" spans="2:4">
      <c r="C219" s="50" t="s">
        <v>5669</v>
      </c>
      <c r="D219" s="50" t="s">
        <v>9046</v>
      </c>
    </row>
    <row r="220" spans="2:4">
      <c r="C220" s="50" t="s">
        <v>5670</v>
      </c>
    </row>
    <row r="221" spans="2:4">
      <c r="C221" s="50" t="s">
        <v>5668</v>
      </c>
      <c r="D221" s="50" t="s">
        <v>9134</v>
      </c>
    </row>
    <row r="223" spans="2:4">
      <c r="B223" s="283">
        <v>44762</v>
      </c>
      <c r="C223" s="282" t="s">
        <v>9074</v>
      </c>
    </row>
    <row r="224" spans="2:4">
      <c r="C224" s="50" t="s">
        <v>5669</v>
      </c>
      <c r="D224" s="50" t="s">
        <v>9075</v>
      </c>
    </row>
    <row r="225" spans="2:4">
      <c r="C225" s="50" t="s">
        <v>5670</v>
      </c>
    </row>
    <row r="226" spans="2:4">
      <c r="C226" s="50" t="s">
        <v>5668</v>
      </c>
      <c r="D226" s="50" t="s">
        <v>9076</v>
      </c>
    </row>
    <row r="228" spans="2:4">
      <c r="B228" s="283">
        <v>44671</v>
      </c>
      <c r="C228" s="282" t="s">
        <v>8925</v>
      </c>
    </row>
    <row r="229" spans="2:4">
      <c r="C229" s="50" t="s">
        <v>5669</v>
      </c>
      <c r="D229" s="50" t="s">
        <v>8927</v>
      </c>
    </row>
    <row r="230" spans="2:4">
      <c r="C230" s="50" t="s">
        <v>5670</v>
      </c>
    </row>
    <row r="231" spans="2:4">
      <c r="C231" s="50" t="s">
        <v>5668</v>
      </c>
      <c r="D231" s="50" t="s">
        <v>8926</v>
      </c>
    </row>
    <row r="233" spans="2:4">
      <c r="B233" s="283">
        <v>44650</v>
      </c>
      <c r="C233" s="282" t="s">
        <v>8216</v>
      </c>
    </row>
    <row r="234" spans="2:4">
      <c r="C234" s="50" t="s">
        <v>5669</v>
      </c>
      <c r="D234" s="50" t="s">
        <v>8217</v>
      </c>
    </row>
    <row r="235" spans="2:4">
      <c r="C235" s="50" t="s">
        <v>5670</v>
      </c>
    </row>
    <row r="236" spans="2:4">
      <c r="C236" s="50" t="s">
        <v>5668</v>
      </c>
      <c r="D236" s="50" t="s">
        <v>8218</v>
      </c>
    </row>
    <row r="238" spans="2:4">
      <c r="B238" s="283">
        <v>44649</v>
      </c>
      <c r="C238" s="282" t="s">
        <v>9413</v>
      </c>
    </row>
    <row r="239" spans="2:4">
      <c r="C239" s="50" t="s">
        <v>5669</v>
      </c>
      <c r="D239" s="50" t="s">
        <v>9414</v>
      </c>
    </row>
    <row r="240" spans="2:4">
      <c r="C240" s="50" t="s">
        <v>5670</v>
      </c>
    </row>
    <row r="241" spans="2:4">
      <c r="C241" s="50" t="s">
        <v>5668</v>
      </c>
      <c r="D241" s="50" t="s">
        <v>9415</v>
      </c>
    </row>
    <row r="243" spans="2:4">
      <c r="B243" s="283">
        <v>44551</v>
      </c>
      <c r="C243" s="282" t="s">
        <v>9410</v>
      </c>
    </row>
    <row r="244" spans="2:4">
      <c r="C244" s="50" t="s">
        <v>5669</v>
      </c>
      <c r="D244" s="50" t="s">
        <v>9411</v>
      </c>
    </row>
    <row r="245" spans="2:4">
      <c r="C245" s="50" t="s">
        <v>5670</v>
      </c>
    </row>
    <row r="246" spans="2:4">
      <c r="C246" s="50" t="s">
        <v>5668</v>
      </c>
      <c r="D246" s="50" t="s">
        <v>9412</v>
      </c>
    </row>
    <row r="248" spans="2:4">
      <c r="B248" s="283">
        <v>44503</v>
      </c>
      <c r="C248" s="282" t="s">
        <v>8918</v>
      </c>
    </row>
    <row r="249" spans="2:4">
      <c r="C249" s="50" t="s">
        <v>5669</v>
      </c>
      <c r="D249" s="50" t="s">
        <v>8920</v>
      </c>
    </row>
    <row r="250" spans="2:4">
      <c r="C250" s="50" t="s">
        <v>5670</v>
      </c>
    </row>
    <row r="251" spans="2:4">
      <c r="C251" s="50" t="s">
        <v>5668</v>
      </c>
      <c r="D251" s="50" t="s">
        <v>8919</v>
      </c>
    </row>
    <row r="253" spans="2:4">
      <c r="B253" s="283">
        <v>44452</v>
      </c>
      <c r="C253" s="282" t="s">
        <v>9118</v>
      </c>
    </row>
    <row r="254" spans="2:4">
      <c r="C254" s="50" t="s">
        <v>5669</v>
      </c>
      <c r="D254" s="50" t="s">
        <v>9119</v>
      </c>
    </row>
    <row r="255" spans="2:4">
      <c r="C255" s="50" t="s">
        <v>5670</v>
      </c>
    </row>
    <row r="256" spans="2:4">
      <c r="C256" s="50" t="s">
        <v>5668</v>
      </c>
      <c r="D256" s="50" t="s">
        <v>9120</v>
      </c>
    </row>
    <row r="258" spans="2:4">
      <c r="B258" s="283">
        <v>44361</v>
      </c>
      <c r="C258" s="282" t="s">
        <v>9121</v>
      </c>
    </row>
    <row r="259" spans="2:4">
      <c r="C259" s="50" t="s">
        <v>5669</v>
      </c>
      <c r="D259" s="50" t="s">
        <v>9123</v>
      </c>
    </row>
    <row r="260" spans="2:4">
      <c r="C260" s="50" t="s">
        <v>5670</v>
      </c>
    </row>
    <row r="261" spans="2:4">
      <c r="C261" s="50" t="s">
        <v>5668</v>
      </c>
      <c r="D261" s="50" t="s">
        <v>9122</v>
      </c>
    </row>
    <row r="263" spans="2:4">
      <c r="B263" s="283">
        <v>44329</v>
      </c>
      <c r="C263" s="282" t="s">
        <v>8081</v>
      </c>
    </row>
    <row r="264" spans="2:4">
      <c r="C264" s="50" t="s">
        <v>5669</v>
      </c>
      <c r="D264" s="50" t="s">
        <v>8083</v>
      </c>
    </row>
    <row r="265" spans="2:4">
      <c r="C265" s="50" t="s">
        <v>5670</v>
      </c>
    </row>
    <row r="266" spans="2:4">
      <c r="C266" s="50" t="s">
        <v>5668</v>
      </c>
      <c r="D266" s="280" t="s">
        <v>8082</v>
      </c>
    </row>
    <row r="268" spans="2:4">
      <c r="B268" s="283">
        <v>44259</v>
      </c>
      <c r="C268" s="282" t="s">
        <v>8053</v>
      </c>
    </row>
    <row r="269" spans="2:4">
      <c r="C269" s="50" t="s">
        <v>5669</v>
      </c>
      <c r="D269" s="50" t="s">
        <v>8063</v>
      </c>
    </row>
    <row r="270" spans="2:4">
      <c r="C270" s="50" t="s">
        <v>5670</v>
      </c>
    </row>
    <row r="271" spans="2:4">
      <c r="C271" s="50" t="s">
        <v>5668</v>
      </c>
      <c r="D271" s="280" t="s">
        <v>8054</v>
      </c>
    </row>
    <row r="273" spans="2:4">
      <c r="B273" s="283">
        <v>44252</v>
      </c>
      <c r="C273" s="282" t="s">
        <v>9416</v>
      </c>
    </row>
    <row r="274" spans="2:4">
      <c r="C274" s="50" t="s">
        <v>5669</v>
      </c>
      <c r="D274" s="50" t="s">
        <v>8063</v>
      </c>
    </row>
    <row r="275" spans="2:4">
      <c r="C275" s="50" t="s">
        <v>5670</v>
      </c>
    </row>
    <row r="276" spans="2:4">
      <c r="C276" s="50" t="s">
        <v>5668</v>
      </c>
      <c r="D276" s="280" t="s">
        <v>8054</v>
      </c>
    </row>
    <row r="278" spans="2:4">
      <c r="B278" s="283">
        <v>44133</v>
      </c>
      <c r="C278" s="282" t="s">
        <v>9399</v>
      </c>
    </row>
    <row r="279" spans="2:4">
      <c r="C279" s="50" t="s">
        <v>5669</v>
      </c>
      <c r="D279" s="50" t="s">
        <v>9395</v>
      </c>
    </row>
    <row r="280" spans="2:4">
      <c r="C280" s="50" t="s">
        <v>5670</v>
      </c>
    </row>
    <row r="281" spans="2:4">
      <c r="C281" s="50" t="s">
        <v>5668</v>
      </c>
      <c r="D281" s="50" t="s">
        <v>9400</v>
      </c>
    </row>
    <row r="283" spans="2:4">
      <c r="B283" s="283">
        <v>44126</v>
      </c>
      <c r="C283" s="282" t="s">
        <v>9116</v>
      </c>
    </row>
    <row r="284" spans="2:4">
      <c r="C284" s="50" t="s">
        <v>5669</v>
      </c>
      <c r="D284" s="50" t="s">
        <v>9114</v>
      </c>
    </row>
    <row r="285" spans="2:4">
      <c r="C285" s="50" t="s">
        <v>5670</v>
      </c>
    </row>
    <row r="286" spans="2:4">
      <c r="C286" s="50" t="s">
        <v>5668</v>
      </c>
      <c r="D286" s="50" t="s">
        <v>9117</v>
      </c>
    </row>
    <row r="288" spans="2:4">
      <c r="B288" s="283">
        <v>44116</v>
      </c>
      <c r="C288" s="282" t="s">
        <v>8194</v>
      </c>
    </row>
    <row r="289" spans="2:4">
      <c r="C289" s="50" t="s">
        <v>5669</v>
      </c>
      <c r="D289" s="50" t="s">
        <v>8196</v>
      </c>
    </row>
    <row r="290" spans="2:4">
      <c r="C290" s="50" t="s">
        <v>5670</v>
      </c>
      <c r="D290" s="50">
        <v>1234</v>
      </c>
    </row>
    <row r="291" spans="2:4">
      <c r="C291" s="50" t="s">
        <v>5668</v>
      </c>
      <c r="D291" s="50" t="s">
        <v>8195</v>
      </c>
    </row>
    <row r="293" spans="2:4">
      <c r="B293" s="283">
        <v>44012</v>
      </c>
      <c r="C293" s="282" t="s">
        <v>9407</v>
      </c>
    </row>
    <row r="294" spans="2:4">
      <c r="C294" s="50" t="s">
        <v>5669</v>
      </c>
      <c r="D294" s="50" t="s">
        <v>9408</v>
      </c>
    </row>
    <row r="295" spans="2:4">
      <c r="C295" s="50" t="s">
        <v>5670</v>
      </c>
    </row>
    <row r="296" spans="2:4">
      <c r="C296" s="50" t="s">
        <v>5668</v>
      </c>
      <c r="D296" s="280" t="s">
        <v>9409</v>
      </c>
    </row>
    <row r="298" spans="2:4">
      <c r="B298" s="283">
        <v>43990</v>
      </c>
      <c r="C298" s="282" t="s">
        <v>8084</v>
      </c>
    </row>
    <row r="299" spans="2:4">
      <c r="C299" s="50" t="s">
        <v>5669</v>
      </c>
      <c r="D299" s="50" t="s">
        <v>8089</v>
      </c>
    </row>
    <row r="300" spans="2:4">
      <c r="C300" s="50" t="s">
        <v>5670</v>
      </c>
    </row>
    <row r="301" spans="2:4">
      <c r="C301" s="50" t="s">
        <v>5668</v>
      </c>
      <c r="D301" s="280" t="s">
        <v>8085</v>
      </c>
    </row>
    <row r="303" spans="2:4">
      <c r="B303" s="283">
        <v>43973</v>
      </c>
      <c r="C303" s="282" t="s">
        <v>8075</v>
      </c>
    </row>
    <row r="304" spans="2:4">
      <c r="C304" s="50" t="s">
        <v>5669</v>
      </c>
      <c r="D304" s="50" t="s">
        <v>8077</v>
      </c>
    </row>
    <row r="305" spans="2:4">
      <c r="C305" s="50" t="s">
        <v>5670</v>
      </c>
    </row>
    <row r="306" spans="2:4">
      <c r="C306" s="50" t="s">
        <v>5668</v>
      </c>
      <c r="D306" s="280" t="s">
        <v>8076</v>
      </c>
    </row>
    <row r="308" spans="2:4">
      <c r="B308" s="283">
        <v>43969</v>
      </c>
      <c r="C308" s="282" t="s">
        <v>9397</v>
      </c>
    </row>
    <row r="309" spans="2:4">
      <c r="C309" s="50" t="s">
        <v>5669</v>
      </c>
      <c r="D309" s="50" t="s">
        <v>9114</v>
      </c>
    </row>
    <row r="310" spans="2:4">
      <c r="C310" s="50" t="s">
        <v>5670</v>
      </c>
    </row>
    <row r="311" spans="2:4">
      <c r="C311" s="50" t="s">
        <v>5668</v>
      </c>
      <c r="D311" s="280" t="s">
        <v>9398</v>
      </c>
    </row>
    <row r="313" spans="2:4">
      <c r="B313" s="283">
        <v>43967</v>
      </c>
      <c r="C313" s="282" t="s">
        <v>9401</v>
      </c>
    </row>
    <row r="314" spans="2:4">
      <c r="C314" s="50" t="s">
        <v>5669</v>
      </c>
      <c r="D314" s="50" t="s">
        <v>9403</v>
      </c>
    </row>
    <row r="315" spans="2:4">
      <c r="C315" s="50" t="s">
        <v>5670</v>
      </c>
    </row>
    <row r="316" spans="2:4">
      <c r="C316" s="50" t="s">
        <v>5668</v>
      </c>
      <c r="D316" s="280" t="s">
        <v>9402</v>
      </c>
    </row>
    <row r="318" spans="2:4">
      <c r="B318" s="283">
        <v>43967</v>
      </c>
      <c r="C318" s="282" t="s">
        <v>9404</v>
      </c>
    </row>
    <row r="319" spans="2:4">
      <c r="C319" s="50" t="s">
        <v>5669</v>
      </c>
      <c r="D319" s="50" t="s">
        <v>9405</v>
      </c>
    </row>
    <row r="320" spans="2:4">
      <c r="C320" s="50" t="s">
        <v>5670</v>
      </c>
    </row>
    <row r="321" spans="2:4">
      <c r="C321" s="50" t="s">
        <v>5668</v>
      </c>
      <c r="D321" s="280" t="s">
        <v>9406</v>
      </c>
    </row>
    <row r="323" spans="2:4">
      <c r="B323" s="283">
        <v>43963</v>
      </c>
      <c r="C323" s="282" t="s">
        <v>8078</v>
      </c>
    </row>
    <row r="324" spans="2:4">
      <c r="C324" s="50" t="s">
        <v>5669</v>
      </c>
      <c r="D324" s="50" t="s">
        <v>8079</v>
      </c>
    </row>
    <row r="325" spans="2:4">
      <c r="C325" s="50" t="s">
        <v>5670</v>
      </c>
    </row>
    <row r="326" spans="2:4">
      <c r="C326" s="50" t="s">
        <v>5668</v>
      </c>
      <c r="D326" s="280" t="s">
        <v>8080</v>
      </c>
    </row>
    <row r="327" spans="2:4">
      <c r="D327" s="280"/>
    </row>
    <row r="328" spans="2:4">
      <c r="B328" s="283">
        <v>43963</v>
      </c>
      <c r="C328" s="282" t="s">
        <v>8158</v>
      </c>
      <c r="D328" s="280"/>
    </row>
    <row r="329" spans="2:4">
      <c r="C329" s="50" t="s">
        <v>5669</v>
      </c>
      <c r="D329" s="320" t="s">
        <v>8160</v>
      </c>
    </row>
    <row r="330" spans="2:4">
      <c r="C330" s="50" t="s">
        <v>5670</v>
      </c>
      <c r="D330" s="280"/>
    </row>
    <row r="331" spans="2:4">
      <c r="C331" s="50" t="s">
        <v>5668</v>
      </c>
      <c r="D331" s="280" t="s">
        <v>8159</v>
      </c>
    </row>
    <row r="332" spans="2:4">
      <c r="D332" s="280"/>
    </row>
    <row r="333" spans="2:4">
      <c r="B333" s="283">
        <v>43877</v>
      </c>
      <c r="C333" s="282" t="s">
        <v>9113</v>
      </c>
    </row>
    <row r="334" spans="2:4">
      <c r="C334" s="50" t="s">
        <v>5669</v>
      </c>
      <c r="D334" s="50" t="s">
        <v>9114</v>
      </c>
    </row>
    <row r="335" spans="2:4">
      <c r="C335" s="50" t="s">
        <v>5670</v>
      </c>
    </row>
    <row r="336" spans="2:4">
      <c r="C336" s="50" t="s">
        <v>5668</v>
      </c>
      <c r="D336" s="50" t="s">
        <v>9115</v>
      </c>
    </row>
    <row r="338" spans="2:4">
      <c r="B338" s="283">
        <v>43865</v>
      </c>
      <c r="C338" s="282" t="s">
        <v>8155</v>
      </c>
    </row>
    <row r="339" spans="2:4">
      <c r="C339" s="50" t="s">
        <v>5669</v>
      </c>
      <c r="D339" s="50" t="s">
        <v>8156</v>
      </c>
    </row>
    <row r="340" spans="2:4">
      <c r="C340" s="50" t="s">
        <v>5670</v>
      </c>
    </row>
    <row r="341" spans="2:4">
      <c r="C341" s="50" t="s">
        <v>5668</v>
      </c>
      <c r="D341" s="50" t="s">
        <v>8157</v>
      </c>
    </row>
    <row r="343" spans="2:4">
      <c r="B343" s="50">
        <v>2020</v>
      </c>
      <c r="C343" s="282" t="s">
        <v>8188</v>
      </c>
    </row>
    <row r="344" spans="2:4">
      <c r="C344" s="50" t="s">
        <v>5669</v>
      </c>
      <c r="D344" s="50" t="s">
        <v>8189</v>
      </c>
    </row>
    <row r="345" spans="2:4">
      <c r="C345" s="50" t="s">
        <v>5670</v>
      </c>
    </row>
    <row r="346" spans="2:4">
      <c r="C346" s="50" t="s">
        <v>5668</v>
      </c>
    </row>
    <row r="348" spans="2:4">
      <c r="B348" s="283">
        <v>43802</v>
      </c>
      <c r="C348" s="282" t="s">
        <v>9394</v>
      </c>
    </row>
    <row r="349" spans="2:4">
      <c r="C349" s="50" t="s">
        <v>5669</v>
      </c>
      <c r="D349" s="50" t="s">
        <v>9395</v>
      </c>
    </row>
    <row r="350" spans="2:4">
      <c r="C350" s="50" t="s">
        <v>5670</v>
      </c>
    </row>
    <row r="351" spans="2:4">
      <c r="C351" s="50" t="s">
        <v>5668</v>
      </c>
      <c r="D351" s="50" t="s">
        <v>9396</v>
      </c>
    </row>
    <row r="353" spans="2:14">
      <c r="B353" s="283">
        <v>43761</v>
      </c>
      <c r="C353" s="282" t="s">
        <v>8161</v>
      </c>
    </row>
    <row r="354" spans="2:14">
      <c r="C354" s="50" t="s">
        <v>5669</v>
      </c>
      <c r="D354" s="50" t="s">
        <v>8162</v>
      </c>
    </row>
    <row r="355" spans="2:14">
      <c r="C355" s="50" t="s">
        <v>5670</v>
      </c>
    </row>
    <row r="356" spans="2:14">
      <c r="C356" s="50" t="s">
        <v>5668</v>
      </c>
      <c r="D356" s="280" t="s">
        <v>8163</v>
      </c>
    </row>
    <row r="358" spans="2:14">
      <c r="B358" s="283">
        <v>43746</v>
      </c>
      <c r="C358" s="282" t="s">
        <v>8191</v>
      </c>
    </row>
    <row r="359" spans="2:14">
      <c r="C359" s="50" t="s">
        <v>5669</v>
      </c>
      <c r="D359" s="50" t="s">
        <v>8193</v>
      </c>
    </row>
    <row r="360" spans="2:14">
      <c r="C360" s="50" t="s">
        <v>5670</v>
      </c>
      <c r="D360" s="50">
        <v>881</v>
      </c>
    </row>
    <row r="361" spans="2:14">
      <c r="C361" s="50" t="s">
        <v>5668</v>
      </c>
      <c r="D361" s="50" t="s">
        <v>8192</v>
      </c>
    </row>
    <row r="363" spans="2:14">
      <c r="B363" s="283">
        <v>43607</v>
      </c>
      <c r="C363" s="282" t="s">
        <v>8072</v>
      </c>
    </row>
    <row r="364" spans="2:14">
      <c r="B364" s="283"/>
      <c r="C364" s="50" t="s">
        <v>5669</v>
      </c>
      <c r="D364" s="50" t="s">
        <v>8073</v>
      </c>
      <c r="N364" s="284"/>
    </row>
    <row r="365" spans="2:14">
      <c r="B365" s="283"/>
      <c r="C365" s="50" t="s">
        <v>5670</v>
      </c>
      <c r="N365" s="262"/>
    </row>
    <row r="366" spans="2:14">
      <c r="C366" s="50" t="s">
        <v>5668</v>
      </c>
      <c r="D366" s="280" t="s">
        <v>8074</v>
      </c>
      <c r="N366" s="281"/>
    </row>
    <row r="367" spans="2:14">
      <c r="D367" s="280"/>
      <c r="N367" s="281"/>
    </row>
    <row r="368" spans="2:14">
      <c r="B368" s="283">
        <v>43587</v>
      </c>
      <c r="C368" s="282" t="s">
        <v>8146</v>
      </c>
      <c r="D368" s="280"/>
      <c r="N368" s="281"/>
    </row>
    <row r="369" spans="2:14">
      <c r="C369" s="50" t="s">
        <v>5669</v>
      </c>
      <c r="D369" s="50" t="s">
        <v>8148</v>
      </c>
      <c r="N369" s="281"/>
    </row>
    <row r="370" spans="2:14">
      <c r="C370" s="50" t="s">
        <v>5670</v>
      </c>
      <c r="D370" s="280"/>
      <c r="N370" s="281"/>
    </row>
    <row r="371" spans="2:14">
      <c r="C371" s="50" t="s">
        <v>5668</v>
      </c>
      <c r="D371" s="280" t="s">
        <v>8147</v>
      </c>
      <c r="N371" s="281"/>
    </row>
    <row r="372" spans="2:14">
      <c r="D372" s="280"/>
      <c r="N372" s="281"/>
    </row>
    <row r="373" spans="2:14">
      <c r="B373" s="283">
        <v>43467</v>
      </c>
      <c r="C373" s="282" t="s">
        <v>8182</v>
      </c>
      <c r="D373" s="280"/>
      <c r="N373" s="281"/>
    </row>
    <row r="374" spans="2:14">
      <c r="B374" s="283"/>
      <c r="C374" s="50" t="s">
        <v>5669</v>
      </c>
      <c r="D374" s="50" t="s">
        <v>8184</v>
      </c>
      <c r="N374" s="281"/>
    </row>
    <row r="375" spans="2:14">
      <c r="C375" s="50" t="s">
        <v>5670</v>
      </c>
      <c r="D375" s="280"/>
      <c r="N375" s="281"/>
    </row>
    <row r="376" spans="2:14">
      <c r="C376" s="50" t="s">
        <v>5668</v>
      </c>
      <c r="D376" s="280" t="s">
        <v>8183</v>
      </c>
      <c r="N376" s="281"/>
    </row>
    <row r="377" spans="2:14">
      <c r="N377" s="281"/>
    </row>
    <row r="378" spans="2:14">
      <c r="B378" s="283">
        <v>43428</v>
      </c>
      <c r="C378" s="282" t="s">
        <v>8102</v>
      </c>
      <c r="N378" s="281"/>
    </row>
    <row r="379" spans="2:14">
      <c r="C379" s="50" t="s">
        <v>5669</v>
      </c>
      <c r="D379" s="50" t="s">
        <v>8103</v>
      </c>
      <c r="N379" s="281"/>
    </row>
    <row r="380" spans="2:14">
      <c r="C380" s="50" t="s">
        <v>5670</v>
      </c>
      <c r="N380" s="281"/>
    </row>
    <row r="381" spans="2:14">
      <c r="C381" s="50" t="s">
        <v>5668</v>
      </c>
      <c r="D381" s="280" t="s">
        <v>8872</v>
      </c>
      <c r="N381" s="281"/>
    </row>
    <row r="382" spans="2:14">
      <c r="N382" s="281"/>
    </row>
    <row r="383" spans="2:14">
      <c r="B383" s="283">
        <v>43405</v>
      </c>
      <c r="C383" s="282" t="s">
        <v>9388</v>
      </c>
      <c r="N383" s="281"/>
    </row>
    <row r="384" spans="2:14">
      <c r="C384" s="50" t="s">
        <v>5669</v>
      </c>
      <c r="D384" s="50" t="s">
        <v>9389</v>
      </c>
      <c r="N384" s="281"/>
    </row>
    <row r="385" spans="2:14">
      <c r="C385" s="50" t="s">
        <v>5670</v>
      </c>
      <c r="N385" s="281"/>
    </row>
    <row r="386" spans="2:14">
      <c r="C386" s="50" t="s">
        <v>5668</v>
      </c>
      <c r="D386" s="280" t="s">
        <v>9390</v>
      </c>
      <c r="N386" s="281"/>
    </row>
    <row r="387" spans="2:14">
      <c r="N387" s="281"/>
    </row>
    <row r="388" spans="2:14">
      <c r="B388" s="283">
        <v>43404</v>
      </c>
      <c r="C388" s="282" t="s">
        <v>8094</v>
      </c>
    </row>
    <row r="389" spans="2:14">
      <c r="C389" s="50" t="s">
        <v>5669</v>
      </c>
      <c r="D389" s="50" t="s">
        <v>8096</v>
      </c>
    </row>
    <row r="390" spans="2:14">
      <c r="C390" s="50" t="s">
        <v>5670</v>
      </c>
    </row>
    <row r="391" spans="2:14">
      <c r="C391" s="50" t="s">
        <v>5668</v>
      </c>
      <c r="D391" s="50" t="s">
        <v>8097</v>
      </c>
    </row>
    <row r="393" spans="2:14">
      <c r="B393" s="283">
        <v>43404</v>
      </c>
      <c r="C393" s="282" t="s">
        <v>9351</v>
      </c>
    </row>
    <row r="394" spans="2:14">
      <c r="C394" s="50" t="s">
        <v>5669</v>
      </c>
      <c r="D394" s="50" t="s">
        <v>9352</v>
      </c>
    </row>
    <row r="395" spans="2:14">
      <c r="C395" s="50" t="s">
        <v>5670</v>
      </c>
    </row>
    <row r="396" spans="2:14">
      <c r="C396" s="50" t="s">
        <v>5668</v>
      </c>
      <c r="D396" s="280" t="s">
        <v>9353</v>
      </c>
    </row>
    <row r="397" spans="2:14">
      <c r="D397" s="280"/>
    </row>
    <row r="398" spans="2:14">
      <c r="B398" s="283">
        <v>43404</v>
      </c>
      <c r="C398" s="282" t="s">
        <v>9341</v>
      </c>
    </row>
    <row r="399" spans="2:14">
      <c r="C399" s="50" t="s">
        <v>5669</v>
      </c>
      <c r="D399" s="50" t="s">
        <v>9279</v>
      </c>
    </row>
    <row r="400" spans="2:14">
      <c r="C400" s="50" t="s">
        <v>5670</v>
      </c>
    </row>
    <row r="401" spans="2:4">
      <c r="C401" s="50" t="s">
        <v>5668</v>
      </c>
      <c r="D401" s="280" t="s">
        <v>9280</v>
      </c>
    </row>
    <row r="403" spans="2:4">
      <c r="B403" s="283">
        <v>43385</v>
      </c>
      <c r="C403" s="282" t="s">
        <v>8143</v>
      </c>
    </row>
    <row r="404" spans="2:4">
      <c r="C404" s="50" t="s">
        <v>5669</v>
      </c>
      <c r="D404" s="50" t="s">
        <v>8144</v>
      </c>
    </row>
    <row r="405" spans="2:4">
      <c r="C405" s="50" t="s">
        <v>5670</v>
      </c>
    </row>
    <row r="406" spans="2:4">
      <c r="C406" s="50" t="s">
        <v>5668</v>
      </c>
      <c r="D406" s="50" t="s">
        <v>8145</v>
      </c>
    </row>
    <row r="408" spans="2:4">
      <c r="B408" s="283">
        <v>43370</v>
      </c>
      <c r="C408" s="282" t="s">
        <v>8152</v>
      </c>
    </row>
    <row r="409" spans="2:4">
      <c r="C409" s="50" t="s">
        <v>5669</v>
      </c>
      <c r="D409" s="50" t="s">
        <v>8154</v>
      </c>
    </row>
    <row r="410" spans="2:4">
      <c r="C410" s="50" t="s">
        <v>5670</v>
      </c>
    </row>
    <row r="411" spans="2:4">
      <c r="C411" s="50" t="s">
        <v>5668</v>
      </c>
      <c r="D411" s="50" t="s">
        <v>8153</v>
      </c>
    </row>
    <row r="413" spans="2:4">
      <c r="B413" s="283">
        <v>43364</v>
      </c>
      <c r="C413" s="282" t="s">
        <v>9333</v>
      </c>
    </row>
    <row r="414" spans="2:4">
      <c r="C414" s="50" t="s">
        <v>5669</v>
      </c>
      <c r="D414" s="50" t="s">
        <v>9092</v>
      </c>
    </row>
    <row r="415" spans="2:4">
      <c r="C415" s="50" t="s">
        <v>5670</v>
      </c>
    </row>
    <row r="416" spans="2:4">
      <c r="C416" s="50" t="s">
        <v>5668</v>
      </c>
      <c r="D416" s="50" t="s">
        <v>9334</v>
      </c>
    </row>
    <row r="418" spans="2:4">
      <c r="B418" s="283">
        <v>43362</v>
      </c>
      <c r="C418" s="282" t="s">
        <v>8069</v>
      </c>
    </row>
    <row r="419" spans="2:4">
      <c r="C419" s="50" t="s">
        <v>5669</v>
      </c>
      <c r="D419" s="50" t="s">
        <v>8071</v>
      </c>
    </row>
    <row r="420" spans="2:4">
      <c r="C420" s="50" t="s">
        <v>5670</v>
      </c>
    </row>
    <row r="421" spans="2:4">
      <c r="C421" s="50" t="s">
        <v>5668</v>
      </c>
      <c r="D421" s="280" t="s">
        <v>8070</v>
      </c>
    </row>
    <row r="423" spans="2:4">
      <c r="B423" s="283">
        <v>43349</v>
      </c>
      <c r="C423" s="282" t="s">
        <v>9391</v>
      </c>
    </row>
    <row r="424" spans="2:4">
      <c r="C424" s="50" t="s">
        <v>5669</v>
      </c>
      <c r="D424" s="50" t="s">
        <v>9392</v>
      </c>
    </row>
    <row r="425" spans="2:4">
      <c r="C425" s="50" t="s">
        <v>5670</v>
      </c>
    </row>
    <row r="426" spans="2:4">
      <c r="C426" s="50" t="s">
        <v>5668</v>
      </c>
      <c r="D426" s="50" t="s">
        <v>9393</v>
      </c>
    </row>
    <row r="428" spans="2:4">
      <c r="B428" s="283">
        <v>43263</v>
      </c>
      <c r="C428" s="282" t="s">
        <v>8182</v>
      </c>
    </row>
    <row r="429" spans="2:4">
      <c r="C429" s="50" t="s">
        <v>5669</v>
      </c>
      <c r="D429" s="50" t="s">
        <v>8184</v>
      </c>
    </row>
    <row r="430" spans="2:4">
      <c r="C430" s="50" t="s">
        <v>5670</v>
      </c>
    </row>
    <row r="431" spans="2:4">
      <c r="C431" s="50" t="s">
        <v>5668</v>
      </c>
      <c r="D431" s="50" t="s">
        <v>8183</v>
      </c>
    </row>
    <row r="433" spans="2:4">
      <c r="B433" s="283">
        <v>43194</v>
      </c>
      <c r="C433" s="282" t="s">
        <v>9355</v>
      </c>
    </row>
    <row r="434" spans="2:4">
      <c r="C434" s="50" t="s">
        <v>5669</v>
      </c>
      <c r="D434" s="50" t="s">
        <v>9356</v>
      </c>
    </row>
    <row r="435" spans="2:4">
      <c r="C435" s="50" t="s">
        <v>5670</v>
      </c>
    </row>
    <row r="436" spans="2:4">
      <c r="C436" s="50" t="s">
        <v>5668</v>
      </c>
      <c r="D436" s="50" t="s">
        <v>9357</v>
      </c>
    </row>
    <row r="438" spans="2:4">
      <c r="B438" s="283">
        <v>43183</v>
      </c>
      <c r="C438" s="282" t="s">
        <v>8167</v>
      </c>
    </row>
    <row r="439" spans="2:4">
      <c r="C439" s="50" t="s">
        <v>5669</v>
      </c>
      <c r="D439" s="50" t="s">
        <v>8169</v>
      </c>
    </row>
    <row r="440" spans="2:4">
      <c r="C440" s="50" t="s">
        <v>5670</v>
      </c>
    </row>
    <row r="441" spans="2:4">
      <c r="C441" s="50" t="s">
        <v>5668</v>
      </c>
      <c r="D441" s="280" t="s">
        <v>8168</v>
      </c>
    </row>
    <row r="443" spans="2:4">
      <c r="B443" s="283">
        <v>43182</v>
      </c>
      <c r="C443" s="282" t="s">
        <v>8170</v>
      </c>
    </row>
    <row r="444" spans="2:4">
      <c r="C444" s="50" t="s">
        <v>5669</v>
      </c>
      <c r="D444" s="50" t="s">
        <v>8172</v>
      </c>
    </row>
    <row r="445" spans="2:4">
      <c r="C445" s="50" t="s">
        <v>5670</v>
      </c>
    </row>
    <row r="446" spans="2:4">
      <c r="C446" s="50" t="s">
        <v>5668</v>
      </c>
      <c r="D446" s="50" t="s">
        <v>8171</v>
      </c>
    </row>
    <row r="448" spans="2:4">
      <c r="B448" s="283">
        <v>43154</v>
      </c>
      <c r="C448" s="282" t="s">
        <v>9380</v>
      </c>
    </row>
    <row r="449" spans="2:4">
      <c r="C449" s="50" t="s">
        <v>5669</v>
      </c>
      <c r="D449" s="50" t="s">
        <v>9381</v>
      </c>
    </row>
    <row r="450" spans="2:4">
      <c r="C450" s="50" t="s">
        <v>5670</v>
      </c>
    </row>
    <row r="451" spans="2:4">
      <c r="C451" s="50" t="s">
        <v>5668</v>
      </c>
      <c r="D451" s="50" t="s">
        <v>9382</v>
      </c>
    </row>
    <row r="453" spans="2:4">
      <c r="B453" s="283">
        <v>43154</v>
      </c>
      <c r="C453" s="282" t="s">
        <v>8092</v>
      </c>
    </row>
    <row r="454" spans="2:4">
      <c r="C454" s="50" t="s">
        <v>5669</v>
      </c>
      <c r="D454" s="50" t="s">
        <v>8095</v>
      </c>
    </row>
    <row r="455" spans="2:4">
      <c r="C455" s="50" t="s">
        <v>5670</v>
      </c>
      <c r="D455" s="322">
        <v>908</v>
      </c>
    </row>
    <row r="456" spans="2:4">
      <c r="C456" s="50" t="s">
        <v>5668</v>
      </c>
      <c r="D456" s="50" t="s">
        <v>8093</v>
      </c>
    </row>
    <row r="458" spans="2:4">
      <c r="B458" s="283">
        <v>45337</v>
      </c>
      <c r="C458" s="282" t="s">
        <v>9363</v>
      </c>
    </row>
    <row r="459" spans="2:4">
      <c r="C459" s="50" t="s">
        <v>5669</v>
      </c>
      <c r="D459" s="50" t="s">
        <v>9364</v>
      </c>
    </row>
    <row r="460" spans="2:4">
      <c r="C460" s="50" t="s">
        <v>5670</v>
      </c>
    </row>
    <row r="461" spans="2:4">
      <c r="C461" s="50" t="s">
        <v>5668</v>
      </c>
      <c r="D461" s="50" t="s">
        <v>9365</v>
      </c>
    </row>
    <row r="463" spans="2:4">
      <c r="B463" s="283">
        <v>43144</v>
      </c>
      <c r="C463" s="282" t="s">
        <v>9325</v>
      </c>
    </row>
    <row r="464" spans="2:4">
      <c r="C464" s="50" t="s">
        <v>5669</v>
      </c>
      <c r="D464" s="50" t="s">
        <v>9326</v>
      </c>
    </row>
    <row r="465" spans="2:4">
      <c r="C465" s="50" t="s">
        <v>5670</v>
      </c>
    </row>
    <row r="466" spans="2:4">
      <c r="C466" s="50" t="s">
        <v>5668</v>
      </c>
      <c r="D466" s="50" t="s">
        <v>9327</v>
      </c>
    </row>
    <row r="468" spans="2:4">
      <c r="B468" s="283">
        <v>43130</v>
      </c>
      <c r="C468" s="282" t="s">
        <v>9385</v>
      </c>
    </row>
    <row r="469" spans="2:4">
      <c r="C469" s="50" t="s">
        <v>5669</v>
      </c>
      <c r="D469" s="50" t="s">
        <v>9386</v>
      </c>
    </row>
    <row r="470" spans="2:4">
      <c r="C470" s="50" t="s">
        <v>5670</v>
      </c>
    </row>
    <row r="471" spans="2:4">
      <c r="C471" s="50" t="s">
        <v>5668</v>
      </c>
      <c r="D471" s="50" t="s">
        <v>9387</v>
      </c>
    </row>
    <row r="473" spans="2:4">
      <c r="B473" s="283">
        <v>43085</v>
      </c>
      <c r="C473" s="282" t="s">
        <v>8059</v>
      </c>
    </row>
    <row r="474" spans="2:4">
      <c r="C474" s="50" t="s">
        <v>5669</v>
      </c>
      <c r="D474" s="50" t="s">
        <v>8061</v>
      </c>
    </row>
    <row r="475" spans="2:4">
      <c r="C475" s="50" t="s">
        <v>5670</v>
      </c>
      <c r="D475" s="321">
        <v>2831</v>
      </c>
    </row>
    <row r="476" spans="2:4">
      <c r="C476" s="50" t="s">
        <v>5668</v>
      </c>
      <c r="D476" s="280" t="s">
        <v>8060</v>
      </c>
    </row>
    <row r="477" spans="2:4">
      <c r="D477" s="280"/>
    </row>
    <row r="478" spans="2:4">
      <c r="B478" s="283">
        <v>43045</v>
      </c>
      <c r="C478" s="282" t="s">
        <v>9383</v>
      </c>
      <c r="D478" s="280"/>
    </row>
    <row r="479" spans="2:4">
      <c r="C479" s="50" t="s">
        <v>5669</v>
      </c>
      <c r="D479" s="50" t="s">
        <v>9279</v>
      </c>
    </row>
    <row r="480" spans="2:4">
      <c r="C480" s="50" t="s">
        <v>5670</v>
      </c>
      <c r="D480" s="280"/>
    </row>
    <row r="481" spans="2:4">
      <c r="C481" s="50" t="s">
        <v>5668</v>
      </c>
      <c r="D481" s="280" t="s">
        <v>9384</v>
      </c>
    </row>
    <row r="482" spans="2:4">
      <c r="D482" s="280"/>
    </row>
    <row r="483" spans="2:4">
      <c r="B483" s="283">
        <v>43044</v>
      </c>
      <c r="C483" s="282" t="s">
        <v>9377</v>
      </c>
      <c r="D483" s="280"/>
    </row>
    <row r="484" spans="2:4">
      <c r="C484" s="50" t="s">
        <v>5669</v>
      </c>
      <c r="D484" s="50" t="s">
        <v>9378</v>
      </c>
    </row>
    <row r="485" spans="2:4">
      <c r="C485" s="50" t="s">
        <v>5670</v>
      </c>
      <c r="D485" s="280"/>
    </row>
    <row r="486" spans="2:4">
      <c r="C486" s="50" t="s">
        <v>5668</v>
      </c>
      <c r="D486" s="280" t="s">
        <v>9379</v>
      </c>
    </row>
    <row r="487" spans="2:4">
      <c r="D487" s="280"/>
    </row>
    <row r="488" spans="2:4">
      <c r="B488" s="283">
        <v>43036</v>
      </c>
      <c r="C488" s="282" t="s">
        <v>8164</v>
      </c>
      <c r="D488" s="280"/>
    </row>
    <row r="489" spans="2:4">
      <c r="C489" s="50" t="s">
        <v>5669</v>
      </c>
      <c r="D489" s="50" t="s">
        <v>8166</v>
      </c>
    </row>
    <row r="490" spans="2:4">
      <c r="C490" s="50" t="s">
        <v>5670</v>
      </c>
      <c r="D490" s="280"/>
    </row>
    <row r="491" spans="2:4">
      <c r="C491" s="50" t="s">
        <v>5668</v>
      </c>
      <c r="D491" s="280" t="s">
        <v>8165</v>
      </c>
    </row>
    <row r="492" spans="2:4">
      <c r="D492" s="280"/>
    </row>
    <row r="493" spans="2:4">
      <c r="B493" s="283">
        <v>43036</v>
      </c>
      <c r="C493" s="282" t="s">
        <v>8179</v>
      </c>
      <c r="D493" s="280"/>
    </row>
    <row r="494" spans="2:4">
      <c r="C494" s="50" t="s">
        <v>5669</v>
      </c>
      <c r="D494" s="50" t="s">
        <v>8181</v>
      </c>
    </row>
    <row r="495" spans="2:4">
      <c r="C495" s="50" t="s">
        <v>5670</v>
      </c>
      <c r="D495" s="280"/>
    </row>
    <row r="496" spans="2:4">
      <c r="C496" s="50" t="s">
        <v>5668</v>
      </c>
      <c r="D496" s="280" t="s">
        <v>8180</v>
      </c>
    </row>
    <row r="497" spans="2:4">
      <c r="D497" s="280"/>
    </row>
    <row r="498" spans="2:4">
      <c r="B498" s="283">
        <v>42959</v>
      </c>
      <c r="C498" s="282" t="s">
        <v>9348</v>
      </c>
      <c r="D498" s="280"/>
    </row>
    <row r="499" spans="2:4">
      <c r="B499" s="283"/>
      <c r="C499" s="50" t="s">
        <v>5669</v>
      </c>
      <c r="D499" s="320" t="s">
        <v>9350</v>
      </c>
    </row>
    <row r="500" spans="2:4">
      <c r="C500" s="50" t="s">
        <v>5670</v>
      </c>
      <c r="D500" s="280"/>
    </row>
    <row r="501" spans="2:4">
      <c r="C501" s="50" t="s">
        <v>5668</v>
      </c>
      <c r="D501" s="280" t="s">
        <v>9349</v>
      </c>
    </row>
    <row r="503" spans="2:4">
      <c r="B503" s="283">
        <v>42935</v>
      </c>
      <c r="C503" s="282" t="s">
        <v>9346</v>
      </c>
      <c r="D503" s="280"/>
    </row>
    <row r="504" spans="2:4">
      <c r="C504" s="50" t="s">
        <v>5669</v>
      </c>
      <c r="D504" s="50" t="s">
        <v>9279</v>
      </c>
    </row>
    <row r="505" spans="2:4">
      <c r="C505" s="50" t="s">
        <v>5670</v>
      </c>
      <c r="D505" s="280"/>
    </row>
    <row r="506" spans="2:4">
      <c r="C506" s="50" t="s">
        <v>5668</v>
      </c>
      <c r="D506" s="280" t="s">
        <v>9347</v>
      </c>
    </row>
    <row r="507" spans="2:4">
      <c r="D507" s="280"/>
    </row>
    <row r="508" spans="2:4">
      <c r="B508" s="283">
        <v>42902</v>
      </c>
      <c r="C508" s="282" t="s">
        <v>9319</v>
      </c>
    </row>
    <row r="509" spans="2:4">
      <c r="C509" s="50" t="s">
        <v>5669</v>
      </c>
      <c r="D509" s="50" t="s">
        <v>9320</v>
      </c>
    </row>
    <row r="510" spans="2:4">
      <c r="C510" s="50" t="s">
        <v>5670</v>
      </c>
    </row>
    <row r="511" spans="2:4">
      <c r="C511" s="50" t="s">
        <v>5668</v>
      </c>
      <c r="D511" s="280" t="s">
        <v>9321</v>
      </c>
    </row>
    <row r="512" spans="2:4">
      <c r="D512" s="44"/>
    </row>
    <row r="513" spans="2:4">
      <c r="B513" s="283">
        <v>42894</v>
      </c>
      <c r="C513" s="282" t="s">
        <v>9366</v>
      </c>
      <c r="D513" s="280"/>
    </row>
    <row r="514" spans="2:4">
      <c r="B514" s="283"/>
      <c r="C514" s="50" t="s">
        <v>5669</v>
      </c>
      <c r="D514" s="320" t="s">
        <v>9367</v>
      </c>
    </row>
    <row r="515" spans="2:4">
      <c r="C515" s="50" t="s">
        <v>5670</v>
      </c>
      <c r="D515" s="280"/>
    </row>
    <row r="516" spans="2:4">
      <c r="C516" s="50" t="s">
        <v>5668</v>
      </c>
      <c r="D516" s="280" t="s">
        <v>9368</v>
      </c>
    </row>
    <row r="518" spans="2:4">
      <c r="B518" s="283">
        <v>42891</v>
      </c>
      <c r="C518" s="282" t="s">
        <v>9359</v>
      </c>
      <c r="D518" s="280"/>
    </row>
    <row r="519" spans="2:4">
      <c r="B519" s="283"/>
      <c r="C519" s="50" t="s">
        <v>5669</v>
      </c>
      <c r="D519" s="320" t="s">
        <v>9292</v>
      </c>
    </row>
    <row r="520" spans="2:4">
      <c r="C520" s="50" t="s">
        <v>5670</v>
      </c>
      <c r="D520" s="280"/>
    </row>
    <row r="521" spans="2:4">
      <c r="C521" s="50" t="s">
        <v>5668</v>
      </c>
      <c r="D521" s="280" t="s">
        <v>9360</v>
      </c>
    </row>
    <row r="523" spans="2:4">
      <c r="B523" s="283">
        <v>42891</v>
      </c>
      <c r="C523" s="282" t="s">
        <v>9372</v>
      </c>
      <c r="D523" s="280"/>
    </row>
    <row r="524" spans="2:4">
      <c r="B524" s="283"/>
      <c r="C524" s="50" t="s">
        <v>5669</v>
      </c>
      <c r="D524" s="320" t="s">
        <v>9279</v>
      </c>
    </row>
    <row r="525" spans="2:4">
      <c r="C525" s="50" t="s">
        <v>5670</v>
      </c>
      <c r="D525" s="280"/>
    </row>
    <row r="526" spans="2:4">
      <c r="C526" s="50" t="s">
        <v>5668</v>
      </c>
      <c r="D526" s="280" t="s">
        <v>9373</v>
      </c>
    </row>
    <row r="528" spans="2:4">
      <c r="B528" s="283">
        <v>42866</v>
      </c>
      <c r="C528" s="282" t="s">
        <v>9374</v>
      </c>
      <c r="D528" s="280"/>
    </row>
    <row r="529" spans="2:4">
      <c r="B529" s="283"/>
      <c r="C529" s="50" t="s">
        <v>5669</v>
      </c>
      <c r="D529" s="320" t="s">
        <v>9375</v>
      </c>
    </row>
    <row r="530" spans="2:4">
      <c r="C530" s="50" t="s">
        <v>5670</v>
      </c>
      <c r="D530" s="280"/>
    </row>
    <row r="531" spans="2:4">
      <c r="C531" s="50" t="s">
        <v>5668</v>
      </c>
      <c r="D531" s="280" t="s">
        <v>9376</v>
      </c>
    </row>
    <row r="533" spans="2:4">
      <c r="B533" s="283">
        <v>42860</v>
      </c>
      <c r="C533" s="282" t="s">
        <v>8149</v>
      </c>
      <c r="D533" s="280"/>
    </row>
    <row r="534" spans="2:4">
      <c r="B534" s="283"/>
      <c r="C534" s="50" t="s">
        <v>5669</v>
      </c>
      <c r="D534" s="320" t="s">
        <v>8151</v>
      </c>
    </row>
    <row r="535" spans="2:4">
      <c r="C535" s="50" t="s">
        <v>5670</v>
      </c>
      <c r="D535" s="280"/>
    </row>
    <row r="536" spans="2:4">
      <c r="C536" s="50" t="s">
        <v>5668</v>
      </c>
      <c r="D536" s="280" t="s">
        <v>8150</v>
      </c>
    </row>
    <row r="538" spans="2:4">
      <c r="B538" s="283">
        <v>42817</v>
      </c>
      <c r="C538" s="282" t="s">
        <v>9316</v>
      </c>
    </row>
    <row r="539" spans="2:4">
      <c r="C539" s="50" t="s">
        <v>5669</v>
      </c>
      <c r="D539" s="50" t="s">
        <v>9318</v>
      </c>
    </row>
    <row r="540" spans="2:4">
      <c r="C540" s="50" t="s">
        <v>5670</v>
      </c>
    </row>
    <row r="541" spans="2:4">
      <c r="C541" s="50" t="s">
        <v>5668</v>
      </c>
      <c r="D541" s="280" t="s">
        <v>9317</v>
      </c>
    </row>
    <row r="542" spans="2:4">
      <c r="D542" s="44"/>
    </row>
    <row r="543" spans="2:4">
      <c r="B543" s="283">
        <v>42815</v>
      </c>
      <c r="C543" s="282" t="s">
        <v>9344</v>
      </c>
      <c r="D543" s="44"/>
    </row>
    <row r="544" spans="2:4">
      <c r="C544" s="50" t="s">
        <v>5669</v>
      </c>
      <c r="D544" s="50" t="s">
        <v>9345</v>
      </c>
    </row>
    <row r="545" spans="2:4">
      <c r="C545" s="50" t="s">
        <v>5670</v>
      </c>
    </row>
    <row r="546" spans="2:4">
      <c r="C546" s="50" t="s">
        <v>5668</v>
      </c>
      <c r="D546" s="280"/>
    </row>
    <row r="547" spans="2:4">
      <c r="D547" s="44"/>
    </row>
    <row r="548" spans="2:4">
      <c r="B548" s="283">
        <v>42808</v>
      </c>
      <c r="C548" s="282" t="s">
        <v>9358</v>
      </c>
      <c r="D548" s="280"/>
    </row>
    <row r="549" spans="2:4">
      <c r="B549" s="283"/>
      <c r="C549" s="50" t="s">
        <v>5669</v>
      </c>
      <c r="D549" s="320" t="s">
        <v>8151</v>
      </c>
    </row>
    <row r="550" spans="2:4">
      <c r="C550" s="50" t="s">
        <v>5670</v>
      </c>
      <c r="D550" s="280"/>
    </row>
    <row r="551" spans="2:4">
      <c r="C551" s="50" t="s">
        <v>5668</v>
      </c>
      <c r="D551" s="280" t="s">
        <v>8150</v>
      </c>
    </row>
    <row r="553" spans="2:4">
      <c r="B553" s="283">
        <v>42790</v>
      </c>
      <c r="C553" s="282" t="s">
        <v>9369</v>
      </c>
      <c r="D553" s="280"/>
    </row>
    <row r="554" spans="2:4">
      <c r="B554" s="283"/>
      <c r="C554" s="50" t="s">
        <v>5669</v>
      </c>
      <c r="D554" s="320" t="s">
        <v>9370</v>
      </c>
    </row>
    <row r="555" spans="2:4">
      <c r="C555" s="50" t="s">
        <v>5670</v>
      </c>
      <c r="D555" s="280"/>
    </row>
    <row r="556" spans="2:4">
      <c r="C556" s="50" t="s">
        <v>5668</v>
      </c>
      <c r="D556" s="280" t="s">
        <v>9371</v>
      </c>
    </row>
    <row r="558" spans="2:4">
      <c r="B558" s="50">
        <v>2017</v>
      </c>
      <c r="C558" s="282" t="s">
        <v>9361</v>
      </c>
    </row>
    <row r="559" spans="2:4">
      <c r="C559" s="50" t="s">
        <v>5669</v>
      </c>
      <c r="D559" s="50" t="s">
        <v>9191</v>
      </c>
    </row>
    <row r="560" spans="2:4">
      <c r="C560" s="50" t="s">
        <v>5670</v>
      </c>
    </row>
    <row r="561" spans="2:4">
      <c r="C561" s="50" t="s">
        <v>5668</v>
      </c>
      <c r="D561" s="280" t="s">
        <v>9362</v>
      </c>
    </row>
    <row r="563" spans="2:4">
      <c r="B563" s="50">
        <v>2017</v>
      </c>
      <c r="C563" s="282" t="s">
        <v>9278</v>
      </c>
    </row>
    <row r="564" spans="2:4">
      <c r="C564" s="50" t="s">
        <v>5669</v>
      </c>
      <c r="D564" s="50" t="s">
        <v>9279</v>
      </c>
    </row>
    <row r="565" spans="2:4">
      <c r="C565" s="50" t="s">
        <v>5670</v>
      </c>
    </row>
    <row r="566" spans="2:4">
      <c r="C566" s="50" t="s">
        <v>5668</v>
      </c>
      <c r="D566" s="280" t="s">
        <v>9280</v>
      </c>
    </row>
    <row r="568" spans="2:4">
      <c r="B568" s="50">
        <v>2017</v>
      </c>
      <c r="C568" s="282" t="s">
        <v>9338</v>
      </c>
    </row>
    <row r="569" spans="2:4">
      <c r="C569" s="50" t="s">
        <v>5669</v>
      </c>
      <c r="D569" s="50" t="s">
        <v>9339</v>
      </c>
    </row>
    <row r="570" spans="2:4">
      <c r="C570" s="50" t="s">
        <v>5670</v>
      </c>
    </row>
    <row r="571" spans="2:4">
      <c r="C571" s="50" t="s">
        <v>5668</v>
      </c>
      <c r="D571" s="280" t="s">
        <v>9340</v>
      </c>
    </row>
    <row r="573" spans="2:4">
      <c r="B573" s="50">
        <v>2017</v>
      </c>
      <c r="C573" s="282" t="s">
        <v>8107</v>
      </c>
    </row>
    <row r="574" spans="2:4">
      <c r="C574" s="50" t="s">
        <v>5669</v>
      </c>
      <c r="D574" s="50" t="s">
        <v>8108</v>
      </c>
    </row>
    <row r="575" spans="2:4">
      <c r="C575" s="50" t="s">
        <v>5670</v>
      </c>
    </row>
    <row r="576" spans="2:4">
      <c r="C576" s="50" t="s">
        <v>5668</v>
      </c>
      <c r="D576" s="280" t="s">
        <v>8106</v>
      </c>
    </row>
    <row r="577" spans="2:4">
      <c r="D577" s="44"/>
    </row>
    <row r="578" spans="2:4">
      <c r="B578" s="50">
        <v>2017</v>
      </c>
      <c r="C578" s="282" t="s">
        <v>9322</v>
      </c>
      <c r="D578" s="44"/>
    </row>
    <row r="579" spans="2:4">
      <c r="C579" s="50" t="s">
        <v>5669</v>
      </c>
      <c r="D579" s="50" t="s">
        <v>9323</v>
      </c>
    </row>
    <row r="580" spans="2:4">
      <c r="C580" s="50" t="s">
        <v>5670</v>
      </c>
    </row>
    <row r="581" spans="2:4">
      <c r="C581" s="50" t="s">
        <v>5668</v>
      </c>
      <c r="D581" s="280" t="s">
        <v>9324</v>
      </c>
    </row>
    <row r="582" spans="2:4">
      <c r="D582" s="44"/>
    </row>
    <row r="583" spans="2:4">
      <c r="B583" s="50">
        <v>2017</v>
      </c>
      <c r="C583" s="282" t="s">
        <v>8185</v>
      </c>
      <c r="D583" s="44"/>
    </row>
    <row r="584" spans="2:4">
      <c r="C584" s="50" t="s">
        <v>5669</v>
      </c>
      <c r="D584" s="50" t="s">
        <v>8186</v>
      </c>
    </row>
    <row r="585" spans="2:4">
      <c r="C585" s="50" t="s">
        <v>5670</v>
      </c>
    </row>
    <row r="586" spans="2:4">
      <c r="C586" s="50" t="s">
        <v>5668</v>
      </c>
      <c r="D586" s="280" t="s">
        <v>8187</v>
      </c>
    </row>
    <row r="587" spans="2:4">
      <c r="D587" s="44"/>
    </row>
    <row r="588" spans="2:4">
      <c r="B588" s="50">
        <v>2017</v>
      </c>
      <c r="C588" s="282" t="s">
        <v>9335</v>
      </c>
      <c r="D588" s="44"/>
    </row>
    <row r="589" spans="2:4">
      <c r="C589" s="50" t="s">
        <v>5669</v>
      </c>
      <c r="D589" s="50" t="s">
        <v>9336</v>
      </c>
    </row>
    <row r="590" spans="2:4">
      <c r="C590" s="50" t="s">
        <v>5670</v>
      </c>
    </row>
    <row r="591" spans="2:4">
      <c r="C591" s="50" t="s">
        <v>5668</v>
      </c>
      <c r="D591" s="280" t="s">
        <v>9337</v>
      </c>
    </row>
    <row r="592" spans="2:4">
      <c r="D592" s="44"/>
    </row>
    <row r="593" spans="2:4">
      <c r="B593" s="50">
        <v>2017</v>
      </c>
      <c r="C593" s="282" t="s">
        <v>9313</v>
      </c>
      <c r="D593" s="44"/>
    </row>
    <row r="594" spans="2:4">
      <c r="C594" s="50" t="s">
        <v>5669</v>
      </c>
      <c r="D594" s="50" t="s">
        <v>9314</v>
      </c>
    </row>
    <row r="595" spans="2:4">
      <c r="C595" s="50" t="s">
        <v>5670</v>
      </c>
    </row>
    <row r="596" spans="2:4">
      <c r="C596" s="50" t="s">
        <v>5668</v>
      </c>
      <c r="D596" s="280" t="s">
        <v>9315</v>
      </c>
    </row>
    <row r="597" spans="2:4">
      <c r="D597" s="44"/>
    </row>
    <row r="598" spans="2:4">
      <c r="B598" s="50">
        <v>2017</v>
      </c>
      <c r="C598" s="282" t="s">
        <v>9307</v>
      </c>
      <c r="D598" s="44"/>
    </row>
    <row r="599" spans="2:4">
      <c r="C599" s="50" t="s">
        <v>5669</v>
      </c>
      <c r="D599" s="50" t="s">
        <v>9308</v>
      </c>
    </row>
    <row r="600" spans="2:4">
      <c r="C600" s="50" t="s">
        <v>5670</v>
      </c>
    </row>
    <row r="601" spans="2:4">
      <c r="C601" s="50" t="s">
        <v>5668</v>
      </c>
      <c r="D601" s="280" t="s">
        <v>9309</v>
      </c>
    </row>
    <row r="602" spans="2:4">
      <c r="D602" s="44"/>
    </row>
    <row r="603" spans="2:4">
      <c r="B603" s="50">
        <v>2017</v>
      </c>
      <c r="C603" s="282" t="s">
        <v>9310</v>
      </c>
      <c r="D603" s="44"/>
    </row>
    <row r="604" spans="2:4">
      <c r="C604" s="50" t="s">
        <v>5669</v>
      </c>
      <c r="D604" s="50" t="s">
        <v>9311</v>
      </c>
    </row>
    <row r="605" spans="2:4">
      <c r="C605" s="50" t="s">
        <v>5670</v>
      </c>
    </row>
    <row r="606" spans="2:4">
      <c r="C606" s="50" t="s">
        <v>5668</v>
      </c>
      <c r="D606" s="280" t="s">
        <v>9312</v>
      </c>
    </row>
    <row r="607" spans="2:4">
      <c r="D607" s="44"/>
    </row>
    <row r="608" spans="2:4">
      <c r="B608" s="50">
        <v>2017</v>
      </c>
      <c r="C608" s="282" t="s">
        <v>8176</v>
      </c>
      <c r="D608" s="285"/>
    </row>
    <row r="609" spans="2:4">
      <c r="C609" s="50" t="s">
        <v>5669</v>
      </c>
      <c r="D609" s="50" t="s">
        <v>8178</v>
      </c>
    </row>
    <row r="610" spans="2:4">
      <c r="C610" s="50" t="s">
        <v>5670</v>
      </c>
      <c r="D610" s="50">
        <v>28</v>
      </c>
    </row>
    <row r="611" spans="2:4">
      <c r="C611" s="50" t="s">
        <v>5668</v>
      </c>
      <c r="D611" s="280" t="s">
        <v>8177</v>
      </c>
    </row>
    <row r="613" spans="2:4">
      <c r="B613" s="50">
        <v>2017</v>
      </c>
      <c r="C613" s="282" t="s">
        <v>9330</v>
      </c>
    </row>
    <row r="614" spans="2:4">
      <c r="C614" s="50" t="s">
        <v>5669</v>
      </c>
      <c r="D614" s="50" t="s">
        <v>9331</v>
      </c>
    </row>
    <row r="615" spans="2:4">
      <c r="C615" s="50" t="s">
        <v>5670</v>
      </c>
    </row>
    <row r="616" spans="2:4">
      <c r="C616" s="50" t="s">
        <v>5668</v>
      </c>
      <c r="D616" s="50" t="s">
        <v>9332</v>
      </c>
    </row>
    <row r="618" spans="2:4">
      <c r="B618" s="50">
        <v>2017</v>
      </c>
      <c r="C618" s="282" t="s">
        <v>9260</v>
      </c>
    </row>
    <row r="619" spans="2:4">
      <c r="C619" s="50" t="s">
        <v>5669</v>
      </c>
      <c r="D619" s="50" t="s">
        <v>9261</v>
      </c>
    </row>
    <row r="620" spans="2:4">
      <c r="C620" s="50" t="s">
        <v>5670</v>
      </c>
    </row>
    <row r="621" spans="2:4">
      <c r="C621" s="50" t="s">
        <v>5668</v>
      </c>
      <c r="D621" s="50" t="s">
        <v>9262</v>
      </c>
    </row>
    <row r="623" spans="2:4">
      <c r="B623" s="50">
        <v>2017</v>
      </c>
      <c r="C623" s="282" t="s">
        <v>9263</v>
      </c>
    </row>
    <row r="624" spans="2:4">
      <c r="C624" s="50" t="s">
        <v>5669</v>
      </c>
      <c r="D624" s="50" t="s">
        <v>9264</v>
      </c>
    </row>
    <row r="625" spans="2:4">
      <c r="C625" s="50" t="s">
        <v>5670</v>
      </c>
      <c r="D625" s="296">
        <v>44</v>
      </c>
    </row>
    <row r="626" spans="2:4">
      <c r="C626" s="50" t="s">
        <v>5668</v>
      </c>
      <c r="D626" s="50" t="s">
        <v>9265</v>
      </c>
    </row>
    <row r="628" spans="2:4">
      <c r="B628" s="50">
        <v>2014</v>
      </c>
      <c r="C628" s="282" t="s">
        <v>9328</v>
      </c>
    </row>
    <row r="629" spans="2:4">
      <c r="C629" s="50" t="s">
        <v>5669</v>
      </c>
      <c r="D629" s="50" t="s">
        <v>9255</v>
      </c>
    </row>
    <row r="630" spans="2:4">
      <c r="C630" s="50" t="s">
        <v>5670</v>
      </c>
      <c r="D630" s="296"/>
    </row>
    <row r="631" spans="2:4">
      <c r="C631" s="50" t="s">
        <v>5668</v>
      </c>
      <c r="D631" s="50" t="s">
        <v>9329</v>
      </c>
    </row>
    <row r="633" spans="2:4">
      <c r="B633" s="50">
        <v>2017</v>
      </c>
      <c r="C633" s="282" t="s">
        <v>9284</v>
      </c>
    </row>
    <row r="634" spans="2:4">
      <c r="C634" s="50" t="s">
        <v>5669</v>
      </c>
      <c r="D634" s="50" t="s">
        <v>9282</v>
      </c>
    </row>
    <row r="635" spans="2:4">
      <c r="C635" s="50" t="s">
        <v>5670</v>
      </c>
      <c r="D635" s="296"/>
    </row>
    <row r="636" spans="2:4">
      <c r="C636" s="50" t="s">
        <v>5668</v>
      </c>
      <c r="D636" s="50" t="s">
        <v>9285</v>
      </c>
    </row>
    <row r="638" spans="2:4">
      <c r="B638" s="283">
        <v>42712</v>
      </c>
      <c r="C638" s="282" t="s">
        <v>9294</v>
      </c>
    </row>
    <row r="639" spans="2:4">
      <c r="C639" s="50" t="s">
        <v>5669</v>
      </c>
      <c r="D639" s="50" t="s">
        <v>9295</v>
      </c>
    </row>
    <row r="640" spans="2:4">
      <c r="C640" s="50" t="s">
        <v>5670</v>
      </c>
      <c r="D640" s="296"/>
    </row>
    <row r="641" spans="2:4">
      <c r="C641" s="50" t="s">
        <v>5668</v>
      </c>
      <c r="D641" s="50" t="s">
        <v>9296</v>
      </c>
    </row>
    <row r="643" spans="2:4">
      <c r="B643" s="283">
        <v>42660</v>
      </c>
      <c r="C643" s="282" t="s">
        <v>9275</v>
      </c>
    </row>
    <row r="644" spans="2:4">
      <c r="C644" s="50" t="s">
        <v>5669</v>
      </c>
      <c r="D644" s="50" t="s">
        <v>9276</v>
      </c>
    </row>
    <row r="645" spans="2:4">
      <c r="C645" s="50" t="s">
        <v>5670</v>
      </c>
      <c r="D645" s="296"/>
    </row>
    <row r="646" spans="2:4">
      <c r="C646" s="50" t="s">
        <v>5668</v>
      </c>
      <c r="D646" s="50" t="s">
        <v>9277</v>
      </c>
    </row>
    <row r="648" spans="2:4">
      <c r="B648" s="283">
        <v>42626</v>
      </c>
      <c r="C648" s="282" t="s">
        <v>9304</v>
      </c>
    </row>
    <row r="649" spans="2:4">
      <c r="C649" s="50" t="s">
        <v>5669</v>
      </c>
      <c r="D649" s="50" t="s">
        <v>9305</v>
      </c>
    </row>
    <row r="650" spans="2:4">
      <c r="C650" s="50" t="s">
        <v>5670</v>
      </c>
      <c r="D650" s="296"/>
    </row>
    <row r="651" spans="2:4">
      <c r="C651" s="50" t="s">
        <v>5668</v>
      </c>
      <c r="D651" s="50" t="s">
        <v>9306</v>
      </c>
    </row>
    <row r="653" spans="2:4">
      <c r="B653" s="283">
        <v>42625</v>
      </c>
      <c r="C653" s="282" t="s">
        <v>7544</v>
      </c>
    </row>
    <row r="654" spans="2:4">
      <c r="C654" s="50" t="s">
        <v>5669</v>
      </c>
      <c r="D654" s="50" t="s">
        <v>8090</v>
      </c>
    </row>
    <row r="655" spans="2:4">
      <c r="C655" s="50" t="s">
        <v>5670</v>
      </c>
    </row>
    <row r="656" spans="2:4">
      <c r="C656" s="50" t="s">
        <v>5668</v>
      </c>
      <c r="D656" s="50" t="s">
        <v>8091</v>
      </c>
    </row>
    <row r="658" spans="2:4">
      <c r="B658" s="50">
        <v>2016</v>
      </c>
      <c r="C658" s="282" t="s">
        <v>9266</v>
      </c>
    </row>
    <row r="659" spans="2:4">
      <c r="C659" s="50" t="s">
        <v>5669</v>
      </c>
      <c r="D659" s="50" t="s">
        <v>9267</v>
      </c>
    </row>
    <row r="660" spans="2:4">
      <c r="C660" s="50" t="s">
        <v>5670</v>
      </c>
      <c r="D660" s="296">
        <v>527</v>
      </c>
    </row>
    <row r="661" spans="2:4">
      <c r="C661" s="50" t="s">
        <v>5668</v>
      </c>
      <c r="D661" s="50" t="s">
        <v>9268</v>
      </c>
    </row>
    <row r="663" spans="2:4">
      <c r="B663" s="50">
        <v>2016</v>
      </c>
      <c r="C663" s="282" t="s">
        <v>9272</v>
      </c>
    </row>
    <row r="664" spans="2:4">
      <c r="C664" s="50" t="s">
        <v>5669</v>
      </c>
      <c r="D664" s="50" t="s">
        <v>9274</v>
      </c>
    </row>
    <row r="665" spans="2:4">
      <c r="C665" s="50" t="s">
        <v>5670</v>
      </c>
      <c r="D665" s="296">
        <v>2741</v>
      </c>
    </row>
    <row r="666" spans="2:4">
      <c r="C666" s="50" t="s">
        <v>5668</v>
      </c>
      <c r="D666" s="50" t="s">
        <v>9273</v>
      </c>
    </row>
    <row r="668" spans="2:4">
      <c r="B668" s="50">
        <v>2016</v>
      </c>
      <c r="C668" s="282" t="s">
        <v>9286</v>
      </c>
    </row>
    <row r="669" spans="2:4">
      <c r="C669" s="50" t="s">
        <v>5669</v>
      </c>
      <c r="D669" s="50" t="s">
        <v>9287</v>
      </c>
    </row>
    <row r="670" spans="2:4">
      <c r="C670" s="50" t="s">
        <v>5670</v>
      </c>
      <c r="D670" s="296"/>
    </row>
    <row r="671" spans="2:4">
      <c r="C671" s="50" t="s">
        <v>5668</v>
      </c>
      <c r="D671" s="50" t="s">
        <v>9288</v>
      </c>
    </row>
    <row r="673" spans="2:4">
      <c r="B673" s="50">
        <v>2016</v>
      </c>
      <c r="C673" s="282" t="s">
        <v>9269</v>
      </c>
    </row>
    <row r="674" spans="2:4">
      <c r="C674" s="50" t="s">
        <v>5669</v>
      </c>
      <c r="D674" s="50" t="s">
        <v>9270</v>
      </c>
    </row>
    <row r="675" spans="2:4">
      <c r="C675" s="50" t="s">
        <v>5670</v>
      </c>
      <c r="D675" s="296">
        <v>72</v>
      </c>
    </row>
    <row r="676" spans="2:4">
      <c r="C676" s="50" t="s">
        <v>5668</v>
      </c>
      <c r="D676" s="50" t="s">
        <v>9271</v>
      </c>
    </row>
    <row r="678" spans="2:4">
      <c r="B678" s="50">
        <v>2016</v>
      </c>
      <c r="C678" s="282" t="s">
        <v>9281</v>
      </c>
    </row>
    <row r="679" spans="2:4">
      <c r="C679" s="50" t="s">
        <v>5669</v>
      </c>
      <c r="D679" s="50" t="s">
        <v>9282</v>
      </c>
    </row>
    <row r="680" spans="2:4">
      <c r="C680" s="50" t="s">
        <v>5670</v>
      </c>
      <c r="D680" s="296">
        <v>995</v>
      </c>
    </row>
    <row r="681" spans="2:4">
      <c r="C681" s="50" t="s">
        <v>5668</v>
      </c>
      <c r="D681" s="50" t="s">
        <v>9283</v>
      </c>
    </row>
    <row r="683" spans="2:4">
      <c r="B683" s="50">
        <v>2016</v>
      </c>
      <c r="C683" s="282" t="s">
        <v>9297</v>
      </c>
    </row>
    <row r="684" spans="2:4">
      <c r="C684" s="50" t="s">
        <v>5669</v>
      </c>
      <c r="D684" s="50" t="s">
        <v>8927</v>
      </c>
    </row>
    <row r="685" spans="2:4">
      <c r="C685" s="50" t="s">
        <v>5670</v>
      </c>
      <c r="D685" s="296"/>
    </row>
    <row r="686" spans="2:4">
      <c r="C686" s="50" t="s">
        <v>5668</v>
      </c>
      <c r="D686" s="50" t="s">
        <v>9298</v>
      </c>
    </row>
    <row r="688" spans="2:4">
      <c r="B688" s="283">
        <v>42653</v>
      </c>
      <c r="C688" s="282" t="s">
        <v>9299</v>
      </c>
    </row>
    <row r="689" spans="2:4">
      <c r="C689" s="50" t="s">
        <v>5669</v>
      </c>
      <c r="D689" s="50" t="s">
        <v>9300</v>
      </c>
    </row>
    <row r="690" spans="2:4">
      <c r="C690" s="50" t="s">
        <v>5670</v>
      </c>
      <c r="D690" s="296"/>
    </row>
    <row r="691" spans="2:4">
      <c r="C691" s="50" t="s">
        <v>5668</v>
      </c>
      <c r="D691" s="50" t="s">
        <v>9301</v>
      </c>
    </row>
    <row r="693" spans="2:4">
      <c r="B693" s="283">
        <v>42653</v>
      </c>
      <c r="C693" s="282" t="s">
        <v>9302</v>
      </c>
    </row>
    <row r="694" spans="2:4">
      <c r="C694" s="50" t="s">
        <v>5669</v>
      </c>
      <c r="D694" s="50" t="s">
        <v>9264</v>
      </c>
    </row>
    <row r="695" spans="2:4">
      <c r="C695" s="50" t="s">
        <v>5670</v>
      </c>
      <c r="D695" s="296"/>
    </row>
    <row r="696" spans="2:4">
      <c r="C696" s="50" t="s">
        <v>5668</v>
      </c>
      <c r="D696" s="50" t="s">
        <v>9303</v>
      </c>
    </row>
    <row r="698" spans="2:4">
      <c r="B698" s="50">
        <v>2016</v>
      </c>
      <c r="C698" s="282" t="s">
        <v>9291</v>
      </c>
    </row>
    <row r="699" spans="2:4">
      <c r="C699" s="50" t="s">
        <v>5669</v>
      </c>
      <c r="D699" s="50" t="s">
        <v>9292</v>
      </c>
    </row>
    <row r="700" spans="2:4">
      <c r="C700" s="50" t="s">
        <v>5670</v>
      </c>
      <c r="D700" s="296">
        <v>81</v>
      </c>
    </row>
    <row r="701" spans="2:4">
      <c r="C701" s="50" t="s">
        <v>5668</v>
      </c>
      <c r="D701" s="50" t="s">
        <v>9293</v>
      </c>
    </row>
    <row r="703" spans="2:4">
      <c r="B703" s="283">
        <v>42295</v>
      </c>
      <c r="C703" s="282" t="s">
        <v>9249</v>
      </c>
    </row>
    <row r="704" spans="2:4">
      <c r="C704" s="50" t="s">
        <v>5669</v>
      </c>
      <c r="D704" s="50" t="s">
        <v>9250</v>
      </c>
    </row>
    <row r="705" spans="2:4">
      <c r="C705" s="50" t="s">
        <v>5670</v>
      </c>
    </row>
    <row r="706" spans="2:4">
      <c r="C706" s="50" t="s">
        <v>5668</v>
      </c>
      <c r="D706" s="50" t="s">
        <v>9251</v>
      </c>
    </row>
    <row r="708" spans="2:4">
      <c r="B708" s="379" t="s">
        <v>9237</v>
      </c>
      <c r="C708" s="282" t="s">
        <v>9259</v>
      </c>
    </row>
    <row r="709" spans="2:4">
      <c r="C709" s="50" t="s">
        <v>5669</v>
      </c>
      <c r="D709" s="50" t="s">
        <v>9258</v>
      </c>
    </row>
    <row r="710" spans="2:4">
      <c r="C710" s="50" t="s">
        <v>5670</v>
      </c>
    </row>
    <row r="711" spans="2:4">
      <c r="C711" s="50" t="s">
        <v>5668</v>
      </c>
      <c r="D711" s="50" t="s">
        <v>9257</v>
      </c>
    </row>
    <row r="713" spans="2:4">
      <c r="B713" s="50">
        <v>2015</v>
      </c>
      <c r="C713" s="282" t="s">
        <v>9289</v>
      </c>
    </row>
    <row r="714" spans="2:4">
      <c r="C714" s="50" t="s">
        <v>5669</v>
      </c>
      <c r="D714" s="50" t="s">
        <v>9279</v>
      </c>
    </row>
    <row r="715" spans="2:4">
      <c r="C715" s="50" t="s">
        <v>5670</v>
      </c>
      <c r="D715" s="296">
        <v>26</v>
      </c>
    </row>
    <row r="716" spans="2:4">
      <c r="C716" s="50" t="s">
        <v>5668</v>
      </c>
      <c r="D716" s="50" t="s">
        <v>9290</v>
      </c>
    </row>
    <row r="718" spans="2:4">
      <c r="B718" s="379" t="s">
        <v>9237</v>
      </c>
      <c r="C718" s="282" t="s">
        <v>9254</v>
      </c>
    </row>
    <row r="719" spans="2:4">
      <c r="C719" s="50" t="s">
        <v>5669</v>
      </c>
      <c r="D719" s="50" t="s">
        <v>9255</v>
      </c>
    </row>
    <row r="720" spans="2:4">
      <c r="C720" s="50" t="s">
        <v>5670</v>
      </c>
    </row>
    <row r="721" spans="2:4">
      <c r="C721" s="50" t="s">
        <v>5668</v>
      </c>
      <c r="D721" s="50" t="s">
        <v>9256</v>
      </c>
    </row>
    <row r="723" spans="2:4">
      <c r="B723" s="379" t="s">
        <v>9237</v>
      </c>
      <c r="C723" s="282" t="s">
        <v>9252</v>
      </c>
    </row>
    <row r="724" spans="2:4">
      <c r="C724" s="50" t="s">
        <v>5669</v>
      </c>
      <c r="D724" s="50" t="s">
        <v>9222</v>
      </c>
    </row>
    <row r="725" spans="2:4">
      <c r="C725" s="50" t="s">
        <v>5670</v>
      </c>
    </row>
    <row r="726" spans="2:4">
      <c r="C726" s="50" t="s">
        <v>5668</v>
      </c>
      <c r="D726" s="50" t="s">
        <v>9253</v>
      </c>
    </row>
    <row r="728" spans="2:4">
      <c r="B728" s="379" t="s">
        <v>9237</v>
      </c>
      <c r="C728" s="282" t="s">
        <v>9246</v>
      </c>
    </row>
    <row r="729" spans="2:4">
      <c r="C729" s="50" t="s">
        <v>5669</v>
      </c>
      <c r="D729" s="50" t="s">
        <v>9247</v>
      </c>
    </row>
    <row r="730" spans="2:4">
      <c r="C730" s="50" t="s">
        <v>5670</v>
      </c>
    </row>
    <row r="731" spans="2:4">
      <c r="C731" s="50" t="s">
        <v>5668</v>
      </c>
      <c r="D731" s="50" t="s">
        <v>9248</v>
      </c>
    </row>
    <row r="733" spans="2:4">
      <c r="B733" s="379" t="s">
        <v>9237</v>
      </c>
      <c r="C733" s="282" t="s">
        <v>9243</v>
      </c>
    </row>
    <row r="734" spans="2:4">
      <c r="C734" s="50" t="s">
        <v>5669</v>
      </c>
      <c r="D734" s="50" t="s">
        <v>9244</v>
      </c>
    </row>
    <row r="735" spans="2:4">
      <c r="C735" s="50" t="s">
        <v>5670</v>
      </c>
    </row>
    <row r="736" spans="2:4">
      <c r="C736" s="50" t="s">
        <v>5668</v>
      </c>
      <c r="D736" s="50" t="s">
        <v>9245</v>
      </c>
    </row>
    <row r="738" spans="2:4">
      <c r="B738" s="379" t="s">
        <v>9237</v>
      </c>
      <c r="C738" s="282" t="s">
        <v>9241</v>
      </c>
    </row>
    <row r="739" spans="2:4">
      <c r="C739" s="50" t="s">
        <v>5669</v>
      </c>
      <c r="D739" s="50" t="s">
        <v>5297</v>
      </c>
    </row>
    <row r="740" spans="2:4">
      <c r="C740" s="50" t="s">
        <v>5670</v>
      </c>
      <c r="D740" s="296">
        <v>810</v>
      </c>
    </row>
    <row r="741" spans="2:4">
      <c r="C741" s="50" t="s">
        <v>5668</v>
      </c>
      <c r="D741" s="50" t="s">
        <v>9242</v>
      </c>
    </row>
    <row r="743" spans="2:4">
      <c r="B743" s="379" t="s">
        <v>9237</v>
      </c>
      <c r="C743" s="282" t="s">
        <v>9238</v>
      </c>
    </row>
    <row r="744" spans="2:4">
      <c r="C744" s="50" t="s">
        <v>5669</v>
      </c>
      <c r="D744" s="50" t="s">
        <v>9240</v>
      </c>
    </row>
    <row r="745" spans="2:4">
      <c r="C745" s="50" t="s">
        <v>5670</v>
      </c>
    </row>
    <row r="746" spans="2:4">
      <c r="C746" s="50" t="s">
        <v>5668</v>
      </c>
      <c r="D746" s="50" t="s">
        <v>9239</v>
      </c>
    </row>
    <row r="748" spans="2:4">
      <c r="B748" s="283">
        <v>42179</v>
      </c>
      <c r="C748" s="282" t="s">
        <v>9235</v>
      </c>
    </row>
    <row r="749" spans="2:4">
      <c r="B749" s="283"/>
      <c r="C749" s="50" t="s">
        <v>5669</v>
      </c>
      <c r="D749" s="50" t="s">
        <v>9217</v>
      </c>
    </row>
    <row r="750" spans="2:4">
      <c r="C750" s="50" t="s">
        <v>5670</v>
      </c>
    </row>
    <row r="751" spans="2:4">
      <c r="C751" s="50" t="s">
        <v>5668</v>
      </c>
      <c r="D751" s="50" t="s">
        <v>9236</v>
      </c>
    </row>
    <row r="753" spans="2:4">
      <c r="B753" s="283">
        <v>41977</v>
      </c>
      <c r="C753" s="282" t="s">
        <v>9343</v>
      </c>
    </row>
    <row r="754" spans="2:4">
      <c r="C754" s="50" t="s">
        <v>5669</v>
      </c>
      <c r="D754" s="50" t="s">
        <v>9217</v>
      </c>
    </row>
    <row r="755" spans="2:4">
      <c r="C755" s="50" t="s">
        <v>5670</v>
      </c>
    </row>
    <row r="756" spans="2:4">
      <c r="C756" s="50" t="s">
        <v>5668</v>
      </c>
      <c r="D756" s="50" t="s">
        <v>9218</v>
      </c>
    </row>
    <row r="758" spans="2:4">
      <c r="B758" s="283">
        <v>41990</v>
      </c>
      <c r="C758" s="282" t="s">
        <v>8086</v>
      </c>
    </row>
    <row r="759" spans="2:4">
      <c r="C759" s="50" t="s">
        <v>5669</v>
      </c>
      <c r="D759" s="50" t="s">
        <v>8088</v>
      </c>
    </row>
    <row r="760" spans="2:4">
      <c r="C760" s="50" t="s">
        <v>5670</v>
      </c>
    </row>
    <row r="761" spans="2:4">
      <c r="C761" s="50" t="s">
        <v>5668</v>
      </c>
      <c r="D761" s="50" t="s">
        <v>8087</v>
      </c>
    </row>
    <row r="763" spans="2:4">
      <c r="B763" s="283">
        <v>41981</v>
      </c>
      <c r="C763" s="282" t="s">
        <v>9342</v>
      </c>
    </row>
    <row r="764" spans="2:4">
      <c r="C764" s="50" t="s">
        <v>5669</v>
      </c>
      <c r="D764" s="50" t="s">
        <v>9219</v>
      </c>
    </row>
    <row r="765" spans="2:4">
      <c r="C765" s="50" t="s">
        <v>5670</v>
      </c>
    </row>
    <row r="766" spans="2:4">
      <c r="C766" s="50" t="s">
        <v>5668</v>
      </c>
      <c r="D766" s="50" t="s">
        <v>9220</v>
      </c>
    </row>
    <row r="768" spans="2:4">
      <c r="B768" s="283">
        <v>41793</v>
      </c>
      <c r="C768" s="282" t="s">
        <v>8197</v>
      </c>
    </row>
    <row r="769" spans="2:4">
      <c r="C769" s="50" t="s">
        <v>5669</v>
      </c>
      <c r="D769" s="50" t="s">
        <v>8199</v>
      </c>
    </row>
    <row r="770" spans="2:4">
      <c r="C770" s="50" t="s">
        <v>5670</v>
      </c>
    </row>
    <row r="771" spans="2:4">
      <c r="C771" s="50" t="s">
        <v>5668</v>
      </c>
      <c r="D771" s="280" t="s">
        <v>8198</v>
      </c>
    </row>
    <row r="773" spans="2:4">
      <c r="B773" s="50">
        <v>2014</v>
      </c>
      <c r="C773" s="282" t="s">
        <v>9232</v>
      </c>
    </row>
    <row r="774" spans="2:4">
      <c r="C774" s="50" t="s">
        <v>5669</v>
      </c>
      <c r="D774" s="50" t="s">
        <v>9234</v>
      </c>
    </row>
    <row r="775" spans="2:4">
      <c r="C775" s="50" t="s">
        <v>5670</v>
      </c>
    </row>
    <row r="776" spans="2:4">
      <c r="C776" s="50" t="s">
        <v>5668</v>
      </c>
      <c r="D776" s="50" t="s">
        <v>9233</v>
      </c>
    </row>
    <row r="778" spans="2:4">
      <c r="B778" s="50">
        <v>2014</v>
      </c>
      <c r="C778" s="282" t="s">
        <v>9229</v>
      </c>
    </row>
    <row r="779" spans="2:4">
      <c r="C779" s="50" t="s">
        <v>5669</v>
      </c>
      <c r="D779" s="50" t="s">
        <v>9174</v>
      </c>
    </row>
    <row r="780" spans="2:4">
      <c r="C780" s="50" t="s">
        <v>9230</v>
      </c>
    </row>
    <row r="781" spans="2:4">
      <c r="C781" s="50" t="s">
        <v>5668</v>
      </c>
      <c r="D781" s="50" t="s">
        <v>9231</v>
      </c>
    </row>
    <row r="783" spans="2:4">
      <c r="B783" s="50">
        <v>2014</v>
      </c>
      <c r="C783" s="282" t="s">
        <v>9354</v>
      </c>
    </row>
    <row r="784" spans="2:4">
      <c r="C784" s="50" t="s">
        <v>5669</v>
      </c>
      <c r="D784" s="50" t="s">
        <v>9227</v>
      </c>
    </row>
    <row r="785" spans="2:4">
      <c r="C785" s="50" t="s">
        <v>5670</v>
      </c>
    </row>
    <row r="786" spans="2:4">
      <c r="C786" s="50" t="s">
        <v>5668</v>
      </c>
      <c r="D786" s="280" t="s">
        <v>9228</v>
      </c>
    </row>
    <row r="788" spans="2:4">
      <c r="B788" s="50">
        <v>2014</v>
      </c>
      <c r="C788" s="282" t="s">
        <v>9224</v>
      </c>
    </row>
    <row r="789" spans="2:4">
      <c r="C789" s="50" t="s">
        <v>5669</v>
      </c>
      <c r="D789" s="50" t="s">
        <v>9225</v>
      </c>
    </row>
    <row r="790" spans="2:4">
      <c r="C790" s="50" t="s">
        <v>5670</v>
      </c>
    </row>
    <row r="791" spans="2:4">
      <c r="C791" s="50" t="s">
        <v>5668</v>
      </c>
      <c r="D791" s="50" t="s">
        <v>9226</v>
      </c>
    </row>
    <row r="793" spans="2:4">
      <c r="B793" s="50">
        <v>2014</v>
      </c>
      <c r="C793" s="282" t="s">
        <v>9221</v>
      </c>
    </row>
    <row r="794" spans="2:4">
      <c r="C794" s="50" t="s">
        <v>5669</v>
      </c>
      <c r="D794" s="50" t="s">
        <v>9222</v>
      </c>
    </row>
    <row r="795" spans="2:4">
      <c r="C795" s="50" t="s">
        <v>5670</v>
      </c>
    </row>
    <row r="796" spans="2:4">
      <c r="C796" s="50" t="s">
        <v>5668</v>
      </c>
      <c r="D796" s="50" t="s">
        <v>9223</v>
      </c>
    </row>
    <row r="798" spans="2:4">
      <c r="B798" s="50">
        <v>2014</v>
      </c>
      <c r="C798" s="282" t="s">
        <v>9214</v>
      </c>
    </row>
    <row r="799" spans="2:4">
      <c r="C799" s="50" t="s">
        <v>5669</v>
      </c>
      <c r="D799" s="50" t="s">
        <v>9215</v>
      </c>
    </row>
    <row r="800" spans="2:4">
      <c r="C800" s="50" t="s">
        <v>5670</v>
      </c>
    </row>
    <row r="801" spans="2:4">
      <c r="C801" s="50" t="s">
        <v>5668</v>
      </c>
      <c r="D801" s="50" t="s">
        <v>9216</v>
      </c>
    </row>
    <row r="803" spans="2:4">
      <c r="B803" s="50">
        <v>2014</v>
      </c>
      <c r="C803" s="282" t="s">
        <v>9212</v>
      </c>
    </row>
    <row r="804" spans="2:4">
      <c r="C804" s="50" t="s">
        <v>5669</v>
      </c>
      <c r="D804" s="50" t="s">
        <v>9180</v>
      </c>
    </row>
    <row r="805" spans="2:4">
      <c r="C805" s="50" t="s">
        <v>5670</v>
      </c>
      <c r="D805" s="296">
        <v>1479</v>
      </c>
    </row>
    <row r="806" spans="2:4">
      <c r="C806" s="50" t="s">
        <v>5668</v>
      </c>
      <c r="D806" s="50" t="s">
        <v>9213</v>
      </c>
    </row>
    <row r="808" spans="2:4">
      <c r="B808" s="50">
        <v>2014</v>
      </c>
      <c r="C808" s="282" t="s">
        <v>9209</v>
      </c>
    </row>
    <row r="809" spans="2:4">
      <c r="C809" s="50" t="s">
        <v>5669</v>
      </c>
      <c r="D809" s="50" t="s">
        <v>9210</v>
      </c>
    </row>
    <row r="810" spans="2:4">
      <c r="C810" s="50" t="s">
        <v>5670</v>
      </c>
    </row>
    <row r="811" spans="2:4">
      <c r="C811" s="50" t="s">
        <v>5668</v>
      </c>
      <c r="D811" s="50" t="s">
        <v>9211</v>
      </c>
    </row>
    <row r="813" spans="2:4">
      <c r="B813" s="50">
        <v>2014</v>
      </c>
      <c r="C813" s="282" t="s">
        <v>9207</v>
      </c>
    </row>
    <row r="814" spans="2:4">
      <c r="C814" s="50" t="s">
        <v>5669</v>
      </c>
      <c r="D814" s="50" t="s">
        <v>9174</v>
      </c>
    </row>
    <row r="815" spans="2:4">
      <c r="C815" s="50" t="s">
        <v>5670</v>
      </c>
    </row>
    <row r="816" spans="2:4">
      <c r="C816" s="50" t="s">
        <v>5668</v>
      </c>
      <c r="D816" s="50" t="s">
        <v>9208</v>
      </c>
    </row>
    <row r="818" spans="2:4">
      <c r="B818" s="50">
        <v>2013</v>
      </c>
      <c r="C818" s="282" t="s">
        <v>9204</v>
      </c>
    </row>
    <row r="819" spans="2:4">
      <c r="C819" s="50" t="s">
        <v>5669</v>
      </c>
      <c r="D819" s="50" t="s">
        <v>9205</v>
      </c>
    </row>
    <row r="820" spans="2:4">
      <c r="C820" s="50" t="s">
        <v>5670</v>
      </c>
    </row>
    <row r="821" spans="2:4">
      <c r="C821" s="50" t="s">
        <v>5668</v>
      </c>
      <c r="D821" s="50" t="s">
        <v>9206</v>
      </c>
    </row>
    <row r="823" spans="2:4">
      <c r="B823" s="50">
        <v>2013</v>
      </c>
      <c r="C823" s="282" t="s">
        <v>9201</v>
      </c>
    </row>
    <row r="824" spans="2:4">
      <c r="C824" s="50" t="s">
        <v>5669</v>
      </c>
      <c r="D824" s="50" t="s">
        <v>9202</v>
      </c>
    </row>
    <row r="825" spans="2:4">
      <c r="C825" s="50" t="s">
        <v>5670</v>
      </c>
      <c r="D825" s="50">
        <v>244</v>
      </c>
    </row>
    <row r="826" spans="2:4">
      <c r="C826" s="50" t="s">
        <v>5668</v>
      </c>
      <c r="D826" s="50" t="s">
        <v>9203</v>
      </c>
    </row>
    <row r="828" spans="2:4">
      <c r="B828" s="50">
        <v>2013</v>
      </c>
      <c r="C828" s="282" t="s">
        <v>9198</v>
      </c>
    </row>
    <row r="829" spans="2:4">
      <c r="C829" s="50" t="s">
        <v>5669</v>
      </c>
      <c r="D829" s="50" t="s">
        <v>9199</v>
      </c>
    </row>
    <row r="830" spans="2:4">
      <c r="C830" s="50" t="s">
        <v>5670</v>
      </c>
    </row>
    <row r="831" spans="2:4">
      <c r="C831" s="50" t="s">
        <v>5668</v>
      </c>
      <c r="D831" s="50" t="s">
        <v>9200</v>
      </c>
    </row>
    <row r="833" spans="2:4">
      <c r="B833" s="50">
        <v>2013</v>
      </c>
      <c r="C833" s="282" t="s">
        <v>9195</v>
      </c>
    </row>
    <row r="834" spans="2:4">
      <c r="C834" s="50" t="s">
        <v>5669</v>
      </c>
      <c r="D834" s="50" t="s">
        <v>9196</v>
      </c>
    </row>
    <row r="835" spans="2:4">
      <c r="C835" s="50" t="s">
        <v>5670</v>
      </c>
      <c r="D835" s="296">
        <v>72</v>
      </c>
    </row>
    <row r="836" spans="2:4">
      <c r="C836" s="50" t="s">
        <v>5668</v>
      </c>
      <c r="D836" s="50" t="s">
        <v>9197</v>
      </c>
    </row>
    <row r="838" spans="2:4">
      <c r="B838" s="50">
        <v>2013</v>
      </c>
      <c r="C838" s="282" t="s">
        <v>9193</v>
      </c>
    </row>
    <row r="839" spans="2:4">
      <c r="C839" s="50" t="s">
        <v>5669</v>
      </c>
      <c r="D839" s="50" t="s">
        <v>9183</v>
      </c>
    </row>
    <row r="840" spans="2:4">
      <c r="C840" s="50" t="s">
        <v>5670</v>
      </c>
      <c r="D840" s="296">
        <v>732</v>
      </c>
    </row>
    <row r="841" spans="2:4">
      <c r="C841" s="50" t="s">
        <v>5668</v>
      </c>
      <c r="D841" s="50" t="s">
        <v>9194</v>
      </c>
    </row>
    <row r="843" spans="2:4">
      <c r="B843" s="50">
        <v>2013</v>
      </c>
      <c r="C843" s="282" t="s">
        <v>9190</v>
      </c>
    </row>
    <row r="844" spans="2:4">
      <c r="C844" s="50" t="s">
        <v>5669</v>
      </c>
      <c r="D844" s="50" t="s">
        <v>9191</v>
      </c>
    </row>
    <row r="845" spans="2:4">
      <c r="C845" s="50" t="s">
        <v>5670</v>
      </c>
      <c r="D845" s="296">
        <v>581</v>
      </c>
    </row>
    <row r="846" spans="2:4">
      <c r="C846" s="50" t="s">
        <v>5668</v>
      </c>
      <c r="D846" s="50" t="s">
        <v>9192</v>
      </c>
    </row>
    <row r="848" spans="2:4">
      <c r="B848" s="50">
        <v>2012</v>
      </c>
      <c r="C848" s="282" t="s">
        <v>9188</v>
      </c>
    </row>
    <row r="849" spans="2:4">
      <c r="C849" s="50" t="s">
        <v>5669</v>
      </c>
      <c r="D849" s="50" t="s">
        <v>5824</v>
      </c>
    </row>
    <row r="850" spans="2:4">
      <c r="C850" s="50" t="s">
        <v>5670</v>
      </c>
    </row>
    <row r="851" spans="2:4">
      <c r="C851" s="50" t="s">
        <v>5668</v>
      </c>
      <c r="D851" s="50" t="s">
        <v>9189</v>
      </c>
    </row>
    <row r="853" spans="2:4">
      <c r="B853" s="50">
        <v>2012</v>
      </c>
      <c r="C853" s="282" t="s">
        <v>9185</v>
      </c>
    </row>
    <row r="854" spans="2:4">
      <c r="C854" s="50" t="s">
        <v>5669</v>
      </c>
      <c r="D854" s="50" t="s">
        <v>9186</v>
      </c>
    </row>
    <row r="855" spans="2:4">
      <c r="C855" s="50" t="s">
        <v>5670</v>
      </c>
      <c r="D855" s="378">
        <v>6668</v>
      </c>
    </row>
    <row r="856" spans="2:4">
      <c r="C856" s="50" t="s">
        <v>5668</v>
      </c>
      <c r="D856" s="50" t="s">
        <v>9187</v>
      </c>
    </row>
    <row r="858" spans="2:4">
      <c r="B858" s="50">
        <v>2012</v>
      </c>
      <c r="C858" s="282" t="s">
        <v>9176</v>
      </c>
    </row>
    <row r="859" spans="2:4">
      <c r="C859" s="50" t="s">
        <v>5669</v>
      </c>
      <c r="D859" s="50" t="s">
        <v>9177</v>
      </c>
    </row>
    <row r="860" spans="2:4">
      <c r="C860" s="50" t="s">
        <v>5670</v>
      </c>
    </row>
    <row r="861" spans="2:4">
      <c r="C861" s="50" t="s">
        <v>5668</v>
      </c>
      <c r="D861" s="50" t="s">
        <v>9178</v>
      </c>
    </row>
    <row r="863" spans="2:4">
      <c r="B863" s="50">
        <v>2012</v>
      </c>
      <c r="C863" s="282" t="s">
        <v>9179</v>
      </c>
    </row>
    <row r="864" spans="2:4">
      <c r="C864" s="50" t="s">
        <v>5669</v>
      </c>
      <c r="D864" s="50" t="s">
        <v>9180</v>
      </c>
    </row>
    <row r="865" spans="2:4">
      <c r="C865" s="50" t="s">
        <v>5670</v>
      </c>
      <c r="D865" s="296">
        <v>467</v>
      </c>
    </row>
    <row r="866" spans="2:4">
      <c r="C866" s="50" t="s">
        <v>5668</v>
      </c>
      <c r="D866" s="50" t="s">
        <v>9181</v>
      </c>
    </row>
    <row r="868" spans="2:4">
      <c r="B868" s="50">
        <v>2011</v>
      </c>
      <c r="C868" s="282" t="s">
        <v>9182</v>
      </c>
    </row>
    <row r="869" spans="2:4">
      <c r="C869" s="50" t="s">
        <v>5669</v>
      </c>
      <c r="D869" s="50" t="s">
        <v>9183</v>
      </c>
    </row>
    <row r="870" spans="2:4">
      <c r="C870" s="50" t="s">
        <v>5670</v>
      </c>
      <c r="D870" s="378">
        <v>1930</v>
      </c>
    </row>
    <row r="871" spans="2:4">
      <c r="C871" s="50" t="s">
        <v>5668</v>
      </c>
      <c r="D871" s="50" t="s">
        <v>9184</v>
      </c>
    </row>
    <row r="873" spans="2:4">
      <c r="B873" s="50">
        <v>2010</v>
      </c>
      <c r="C873" s="282" t="s">
        <v>8173</v>
      </c>
    </row>
    <row r="874" spans="2:4">
      <c r="C874" s="50" t="s">
        <v>5669</v>
      </c>
      <c r="D874" s="50" t="s">
        <v>8175</v>
      </c>
    </row>
    <row r="875" spans="2:4">
      <c r="C875" s="50" t="s">
        <v>5670</v>
      </c>
      <c r="D875" s="378">
        <v>2152</v>
      </c>
    </row>
    <row r="876" spans="2:4">
      <c r="C876" s="50" t="s">
        <v>5668</v>
      </c>
      <c r="D876" s="50" t="s">
        <v>8174</v>
      </c>
    </row>
    <row r="878" spans="2:4">
      <c r="B878" s="50">
        <v>2008</v>
      </c>
      <c r="C878" s="282" t="s">
        <v>9166</v>
      </c>
    </row>
    <row r="879" spans="2:4">
      <c r="C879" s="50" t="s">
        <v>5669</v>
      </c>
      <c r="D879" s="50" t="s">
        <v>9167</v>
      </c>
    </row>
    <row r="880" spans="2:4">
      <c r="C880" s="50" t="s">
        <v>5670</v>
      </c>
      <c r="D880" s="296">
        <v>96</v>
      </c>
    </row>
    <row r="881" spans="2:4">
      <c r="C881" s="50" t="s">
        <v>9168</v>
      </c>
      <c r="D881" s="50" t="s">
        <v>9169</v>
      </c>
    </row>
    <row r="883" spans="2:4">
      <c r="B883" s="50">
        <v>2006</v>
      </c>
      <c r="C883" s="282" t="s">
        <v>9173</v>
      </c>
    </row>
    <row r="884" spans="2:4">
      <c r="C884" s="50" t="s">
        <v>5669</v>
      </c>
      <c r="D884" s="50" t="s">
        <v>9174</v>
      </c>
    </row>
    <row r="885" spans="2:4">
      <c r="C885" s="50" t="s">
        <v>5670</v>
      </c>
      <c r="D885" s="378">
        <v>6392</v>
      </c>
    </row>
    <row r="886" spans="2:4">
      <c r="C886" s="50" t="s">
        <v>9168</v>
      </c>
      <c r="D886" s="50" t="s">
        <v>9175</v>
      </c>
    </row>
    <row r="888" spans="2:4">
      <c r="B888" s="50">
        <v>2005</v>
      </c>
      <c r="C888" s="282" t="s">
        <v>9170</v>
      </c>
    </row>
    <row r="889" spans="2:4">
      <c r="C889" s="50" t="s">
        <v>5669</v>
      </c>
      <c r="D889" s="50" t="s">
        <v>9171</v>
      </c>
    </row>
    <row r="890" spans="2:4">
      <c r="C890" s="50" t="s">
        <v>5670</v>
      </c>
      <c r="D890" s="378">
        <v>5841</v>
      </c>
    </row>
    <row r="891" spans="2:4">
      <c r="C891" s="50" t="s">
        <v>5668</v>
      </c>
      <c r="D891" s="50" t="s">
        <v>9172</v>
      </c>
    </row>
    <row r="893" spans="2:4">
      <c r="B893" s="50">
        <v>1997</v>
      </c>
      <c r="C893" s="282" t="s">
        <v>9163</v>
      </c>
    </row>
    <row r="894" spans="2:4">
      <c r="C894" s="50" t="s">
        <v>5669</v>
      </c>
      <c r="D894" s="50" t="s">
        <v>9164</v>
      </c>
    </row>
    <row r="895" spans="2:4">
      <c r="C895" s="50" t="s">
        <v>5670</v>
      </c>
      <c r="D895" s="296">
        <v>408</v>
      </c>
    </row>
    <row r="896" spans="2:4">
      <c r="C896" s="50" t="s">
        <v>5668</v>
      </c>
      <c r="D896" s="50" t="s">
        <v>9165</v>
      </c>
    </row>
    <row r="898" spans="2:4">
      <c r="B898" s="50">
        <v>1996</v>
      </c>
      <c r="C898" s="282" t="s">
        <v>8104</v>
      </c>
    </row>
    <row r="899" spans="2:4">
      <c r="C899" s="50" t="s">
        <v>5669</v>
      </c>
      <c r="D899" s="50" t="s">
        <v>8105</v>
      </c>
    </row>
    <row r="901" spans="2:4">
      <c r="B901" s="50">
        <v>1994</v>
      </c>
      <c r="C901" s="282" t="s">
        <v>9160</v>
      </c>
    </row>
    <row r="902" spans="2:4">
      <c r="C902" s="50" t="s">
        <v>5669</v>
      </c>
      <c r="D902" s="50" t="s">
        <v>9161</v>
      </c>
    </row>
    <row r="903" spans="2:4">
      <c r="C903" s="50" t="s">
        <v>5670</v>
      </c>
      <c r="D903" s="378">
        <v>1256</v>
      </c>
    </row>
    <row r="904" spans="2:4">
      <c r="C904" s="50" t="s">
        <v>5668</v>
      </c>
      <c r="D904" s="50" t="s">
        <v>9162</v>
      </c>
    </row>
    <row r="906" spans="2:4">
      <c r="B906" s="50">
        <v>1991</v>
      </c>
      <c r="C906" s="282" t="s">
        <v>9157</v>
      </c>
    </row>
    <row r="907" spans="2:4">
      <c r="C907" s="50" t="s">
        <v>5669</v>
      </c>
      <c r="D907" s="50" t="s">
        <v>9159</v>
      </c>
    </row>
    <row r="908" spans="2:4">
      <c r="C908" s="50" t="s">
        <v>5670</v>
      </c>
      <c r="D908" s="296">
        <v>36</v>
      </c>
    </row>
    <row r="909" spans="2:4">
      <c r="C909" s="50" t="s">
        <v>5668</v>
      </c>
      <c r="D909" s="50" t="s">
        <v>9158</v>
      </c>
    </row>
    <row r="911" spans="2:4">
      <c r="B911" s="50">
        <v>1991</v>
      </c>
      <c r="C911" s="282" t="s">
        <v>9154</v>
      </c>
    </row>
    <row r="912" spans="2:4">
      <c r="C912" s="50" t="s">
        <v>5669</v>
      </c>
      <c r="D912" s="50" t="s">
        <v>9155</v>
      </c>
    </row>
    <row r="913" spans="2:4">
      <c r="C913" s="50" t="s">
        <v>5670</v>
      </c>
    </row>
    <row r="914" spans="2:4">
      <c r="C914" s="50" t="s">
        <v>5668</v>
      </c>
      <c r="D914" s="50" t="s">
        <v>9156</v>
      </c>
    </row>
    <row r="916" spans="2:4">
      <c r="B916" s="50">
        <v>1989</v>
      </c>
      <c r="C916" s="282" t="s">
        <v>9151</v>
      </c>
    </row>
    <row r="917" spans="2:4">
      <c r="C917" s="50" t="s">
        <v>5669</v>
      </c>
      <c r="D917" s="50" t="s">
        <v>9153</v>
      </c>
    </row>
    <row r="918" spans="2:4">
      <c r="C918" s="50" t="s">
        <v>5670</v>
      </c>
      <c r="D918" s="378">
        <v>2961</v>
      </c>
    </row>
    <row r="919" spans="2:4">
      <c r="C919" s="50" t="s">
        <v>5668</v>
      </c>
      <c r="D919" s="50" t="s">
        <v>9152</v>
      </c>
    </row>
    <row r="921" spans="2:4">
      <c r="B921" s="50">
        <v>1989</v>
      </c>
      <c r="C921" s="282" t="s">
        <v>9148</v>
      </c>
    </row>
    <row r="922" spans="2:4">
      <c r="C922" s="50" t="s">
        <v>5669</v>
      </c>
      <c r="D922" s="50" t="s">
        <v>9149</v>
      </c>
    </row>
    <row r="923" spans="2:4">
      <c r="C923" s="50" t="s">
        <v>5670</v>
      </c>
      <c r="D923" s="378">
        <v>13699</v>
      </c>
    </row>
    <row r="924" spans="2:4">
      <c r="C924" s="50" t="s">
        <v>5668</v>
      </c>
      <c r="D924" s="50" t="s">
        <v>9150</v>
      </c>
    </row>
    <row r="926" spans="2:4">
      <c r="B926" s="50">
        <v>1986</v>
      </c>
      <c r="C926" s="282" t="s">
        <v>9147</v>
      </c>
    </row>
    <row r="927" spans="2:4">
      <c r="C927" s="50" t="s">
        <v>5669</v>
      </c>
      <c r="D927" s="50" t="s">
        <v>9145</v>
      </c>
    </row>
    <row r="928" spans="2:4">
      <c r="C928" s="50" t="s">
        <v>5670</v>
      </c>
      <c r="D928" s="296">
        <v>358</v>
      </c>
    </row>
    <row r="929" spans="2:4">
      <c r="C929" s="50" t="s">
        <v>5668</v>
      </c>
      <c r="D929" s="50" t="s">
        <v>9146</v>
      </c>
    </row>
    <row r="931" spans="2:4">
      <c r="B931" s="50">
        <v>1986</v>
      </c>
      <c r="C931" s="282" t="s">
        <v>9142</v>
      </c>
    </row>
    <row r="932" spans="2:4">
      <c r="C932" s="50" t="s">
        <v>5669</v>
      </c>
      <c r="D932" s="50" t="s">
        <v>9143</v>
      </c>
    </row>
    <row r="933" spans="2:4">
      <c r="C933" s="50" t="s">
        <v>5670</v>
      </c>
    </row>
    <row r="934" spans="2:4">
      <c r="C934" s="50" t="s">
        <v>5668</v>
      </c>
      <c r="D934" s="50" t="s">
        <v>9144</v>
      </c>
    </row>
    <row r="936" spans="2:4">
      <c r="B936" s="50">
        <v>1983</v>
      </c>
      <c r="C936" s="282" t="s">
        <v>9139</v>
      </c>
    </row>
    <row r="937" spans="2:4">
      <c r="C937" s="50" t="s">
        <v>5669</v>
      </c>
      <c r="D937" s="50" t="s">
        <v>9140</v>
      </c>
    </row>
    <row r="938" spans="2:4">
      <c r="C938" s="50" t="s">
        <v>5670</v>
      </c>
      <c r="D938" s="296">
        <v>643</v>
      </c>
    </row>
    <row r="939" spans="2:4">
      <c r="C939" s="50" t="s">
        <v>5668</v>
      </c>
      <c r="D939" s="50" t="s">
        <v>9141</v>
      </c>
    </row>
    <row r="942" spans="2:4">
      <c r="B942" s="50">
        <v>1983</v>
      </c>
      <c r="C942" s="282" t="s">
        <v>9136</v>
      </c>
    </row>
    <row r="943" spans="2:4">
      <c r="C943" s="50" t="s">
        <v>5669</v>
      </c>
      <c r="D943" s="50" t="s">
        <v>9137</v>
      </c>
    </row>
    <row r="944" spans="2:4">
      <c r="C944" s="50" t="s">
        <v>5670</v>
      </c>
    </row>
    <row r="945" spans="3:4">
      <c r="C945" s="50" t="s">
        <v>5668</v>
      </c>
      <c r="D945" s="50" t="s">
        <v>9138</v>
      </c>
    </row>
    <row r="950" spans="3:4">
      <c r="C950" s="50" t="s">
        <v>8190</v>
      </c>
    </row>
  </sheetData>
  <hyperlinks>
    <hyperlink ref="D86" r:id="rId1" xr:uid="{56D3BAD7-9CD0-8F45-8D7A-0F1B952D68D2}"/>
    <hyperlink ref="D476" r:id="rId2" xr:uid="{06220F7B-8571-5B40-9C25-D0654EFA044A}"/>
    <hyperlink ref="D206" r:id="rId3" xr:uid="{472527B7-47E4-BD4D-88C2-010413011F86}"/>
    <hyperlink ref="D271" r:id="rId4" xr:uid="{998DDAB7-5A51-BC44-9D21-713E54103D18}"/>
    <hyperlink ref="D41" r:id="rId5" xr:uid="{AE19B69C-9E84-0647-A976-3B143177D766}"/>
    <hyperlink ref="D36" r:id="rId6" xr:uid="{3935FC03-2B80-744A-99F8-6C7EE2AEA4D6}"/>
    <hyperlink ref="A1" location="Main!A1" display="Main" xr:uid="{0A2DABEC-4618-0842-867A-0B0B698C7AD2}"/>
    <hyperlink ref="D421" r:id="rId7" xr:uid="{FA3FC65C-3CA2-5749-959A-1662ADBDE7B8}"/>
    <hyperlink ref="D366" r:id="rId8" xr:uid="{F94A1DF5-8FD3-A842-9FB0-ACDB6FE15311}"/>
    <hyperlink ref="D306" r:id="rId9" xr:uid="{A58119FB-BE94-274A-9BDE-C79788280F58}"/>
    <hyperlink ref="D326" r:id="rId10" xr:uid="{DBDF5758-B52B-974E-9CF7-164C5B1ACFDC}"/>
    <hyperlink ref="D266" r:id="rId11" xr:uid="{1A640137-3B3F-254C-A524-3C66C684E8B4}"/>
    <hyperlink ref="D301" r:id="rId12" xr:uid="{09BB46E4-35DF-BA49-BB81-4502D4562759}"/>
    <hyperlink ref="D576" r:id="rId13" xr:uid="{98301AE4-5D38-6948-BC7D-C1810616E333}"/>
    <hyperlink ref="D136" r:id="rId14" xr:uid="{1A4077B8-F1A8-EB42-9562-B818ACB2890E}"/>
    <hyperlink ref="D356" r:id="rId15" xr:uid="{70C079C3-4FCA-C54A-8A62-D33AB8569657}"/>
    <hyperlink ref="D491" r:id="rId16" xr:uid="{C559ACBB-4A86-6844-9DCC-D1B49F17E850}"/>
    <hyperlink ref="D441" r:id="rId17" xr:uid="{720C36B2-01C6-244A-82F8-07A0D9DAB472}"/>
    <hyperlink ref="D586" r:id="rId18" xr:uid="{B937A697-07D6-8B46-AF77-462D84D1B745}"/>
    <hyperlink ref="D771" r:id="rId19" xr:uid="{4A0EA7CA-7B63-254E-A609-F8945586BA95}"/>
    <hyperlink ref="D66" r:id="rId20" xr:uid="{1C045187-1B08-8D44-B43C-74E6FF2B00CD}"/>
    <hyperlink ref="D11" r:id="rId21" xr:uid="{887139F6-52DF-224F-A5D5-3F3D7C32160A}"/>
    <hyperlink ref="D10" r:id="rId22" xr:uid="{144A9F23-BB90-5E4F-805A-380A3A81A29D}"/>
    <hyperlink ref="D376" r:id="rId23" xr:uid="{B967C7A5-B4DC-5440-AE7B-B5FCD3FFD248}"/>
    <hyperlink ref="D381" r:id="rId24" xr:uid="{126A8B16-040E-0B44-AC84-AE9CE0D72D31}"/>
    <hyperlink ref="D166" r:id="rId25" xr:uid="{D4BABABC-1F5F-D945-8DE5-133340E3CEDB}"/>
    <hyperlink ref="D581" r:id="rId26" xr:uid="{873FC6EF-A9D6-104F-A18F-2EC0C2A4762D}"/>
    <hyperlink ref="D786" r:id="rId27" xr:uid="{0EEE05A7-334A-D44A-812C-E1039930C06D}"/>
    <hyperlink ref="D276" r:id="rId28" xr:uid="{C1768380-98D9-7743-9E5C-373A38966C3E}"/>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69"/>
  <sheetViews>
    <sheetView zoomScale="80" zoomScaleNormal="8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0.83203125" defaultRowHeight="16"/>
  <cols>
    <col min="1" max="1" width="5.33203125" style="286" bestFit="1" customWidth="1"/>
    <col min="2" max="2" width="24.6640625" style="286" customWidth="1"/>
    <col min="3" max="4" width="10.83203125" style="286"/>
    <col min="5" max="6" width="10.83203125" style="301"/>
    <col min="7" max="7" width="10.83203125" style="286"/>
    <col min="8" max="8" width="10.83203125" style="301"/>
    <col min="9" max="9" width="10.83203125" style="286"/>
    <col min="10" max="10" width="10.83203125" style="304"/>
    <col min="11" max="15" width="10.83203125" style="286"/>
    <col min="16" max="18" width="10.83203125" style="304"/>
    <col min="19" max="16384" width="10.83203125" style="286"/>
  </cols>
  <sheetData>
    <row r="1" spans="1:19">
      <c r="A1" s="285" t="s">
        <v>1165</v>
      </c>
      <c r="B1" s="50"/>
      <c r="C1" s="285"/>
      <c r="D1" s="50"/>
      <c r="E1" s="297"/>
      <c r="F1" s="296"/>
      <c r="G1" s="50"/>
      <c r="H1" s="296"/>
      <c r="I1" s="50"/>
      <c r="K1" s="50"/>
      <c r="L1" s="50"/>
      <c r="M1" s="50">
        <v>2013</v>
      </c>
      <c r="N1" s="283">
        <v>45334</v>
      </c>
    </row>
    <row r="2" spans="1:19">
      <c r="A2" s="50"/>
      <c r="B2" s="50"/>
      <c r="C2" s="287" t="s">
        <v>7680</v>
      </c>
      <c r="D2" s="287" t="s">
        <v>7679</v>
      </c>
      <c r="E2" s="298" t="s">
        <v>3968</v>
      </c>
      <c r="F2" s="298" t="s">
        <v>3973</v>
      </c>
      <c r="G2" s="287" t="s">
        <v>7432</v>
      </c>
      <c r="H2" s="298" t="s">
        <v>7685</v>
      </c>
      <c r="I2" s="287" t="s">
        <v>7686</v>
      </c>
      <c r="J2" s="305" t="s">
        <v>8117</v>
      </c>
      <c r="K2" s="287" t="s">
        <v>7682</v>
      </c>
      <c r="L2" s="287" t="s">
        <v>1150</v>
      </c>
      <c r="M2" s="287" t="s">
        <v>7711</v>
      </c>
      <c r="N2" s="287" t="s">
        <v>7711</v>
      </c>
      <c r="O2" s="298" t="s">
        <v>8266</v>
      </c>
      <c r="P2" s="305" t="s">
        <v>8310</v>
      </c>
    </row>
    <row r="3" spans="1:19">
      <c r="A3" s="50"/>
      <c r="B3" s="50" t="s">
        <v>3213</v>
      </c>
      <c r="C3" s="50">
        <v>2022</v>
      </c>
      <c r="D3" s="50" t="s">
        <v>6146</v>
      </c>
      <c r="E3" s="297" t="s">
        <v>5133</v>
      </c>
      <c r="F3" s="296" t="s">
        <v>7684</v>
      </c>
      <c r="G3" s="50">
        <v>330</v>
      </c>
      <c r="H3" s="296" t="s">
        <v>7770</v>
      </c>
      <c r="I3" s="50">
        <f>330/40</f>
        <v>8.25</v>
      </c>
      <c r="J3" s="337">
        <v>0.18</v>
      </c>
      <c r="K3" s="288" t="s">
        <v>8116</v>
      </c>
      <c r="L3" s="50"/>
      <c r="M3" s="289">
        <v>11.71</v>
      </c>
      <c r="N3" s="289">
        <v>17.22</v>
      </c>
      <c r="O3" s="329">
        <f>AVERAGE(838,842,855)</f>
        <v>845</v>
      </c>
      <c r="P3" s="329">
        <f>AVERAGE(14024,14189)</f>
        <v>14106.5</v>
      </c>
    </row>
    <row r="4" spans="1:19">
      <c r="A4" s="50"/>
      <c r="B4" s="50" t="s">
        <v>1542</v>
      </c>
      <c r="C4" s="50">
        <v>2017</v>
      </c>
      <c r="D4" s="50" t="s">
        <v>7692</v>
      </c>
      <c r="E4" s="297" t="s">
        <v>7716</v>
      </c>
      <c r="F4" s="296" t="s">
        <v>7704</v>
      </c>
      <c r="G4" s="50">
        <f>32*12</f>
        <v>384</v>
      </c>
      <c r="H4" s="296">
        <v>100</v>
      </c>
      <c r="I4" s="50">
        <f>G4/H4</f>
        <v>3.84</v>
      </c>
      <c r="J4" s="337" t="s">
        <v>1</v>
      </c>
      <c r="K4" s="288"/>
      <c r="L4" s="50" t="s">
        <v>8118</v>
      </c>
      <c r="M4" s="50">
        <v>5.9790000000000001</v>
      </c>
      <c r="N4" s="50">
        <v>6.1369999999999996</v>
      </c>
      <c r="O4" s="329" t="s">
        <v>1</v>
      </c>
      <c r="P4" s="329" t="s">
        <v>1</v>
      </c>
      <c r="Q4" s="306"/>
      <c r="R4" s="306"/>
      <c r="S4" s="303"/>
    </row>
    <row r="5" spans="1:19">
      <c r="A5" s="50"/>
      <c r="B5" s="50" t="s">
        <v>7440</v>
      </c>
      <c r="C5" s="50">
        <v>2020</v>
      </c>
      <c r="D5" s="50"/>
      <c r="E5" s="297" t="s">
        <v>5142</v>
      </c>
      <c r="F5" s="296" t="s">
        <v>7706</v>
      </c>
      <c r="G5" s="50">
        <v>39</v>
      </c>
      <c r="H5" s="296" t="s">
        <v>7705</v>
      </c>
      <c r="I5" s="50">
        <f>39/4</f>
        <v>9.75</v>
      </c>
      <c r="J5" s="337">
        <v>0.19</v>
      </c>
      <c r="K5" s="288" t="s">
        <v>7707</v>
      </c>
      <c r="L5" s="50"/>
      <c r="M5" s="50">
        <v>2.5950000000000002</v>
      </c>
      <c r="N5" s="50">
        <v>2.0179999999999998</v>
      </c>
      <c r="O5" s="329" t="s">
        <v>1</v>
      </c>
      <c r="P5" s="329" t="s">
        <v>1</v>
      </c>
      <c r="R5" s="307"/>
      <c r="S5"/>
    </row>
    <row r="6" spans="1:19">
      <c r="A6" s="50"/>
      <c r="B6" s="50" t="s">
        <v>620</v>
      </c>
      <c r="C6" s="50">
        <v>2022</v>
      </c>
      <c r="D6" s="50" t="s">
        <v>6146</v>
      </c>
      <c r="E6" s="297" t="s">
        <v>5141</v>
      </c>
      <c r="F6" s="296" t="s">
        <v>2683</v>
      </c>
      <c r="G6" s="50">
        <v>999</v>
      </c>
      <c r="H6" s="296" t="s">
        <v>7694</v>
      </c>
      <c r="I6" s="288">
        <f>999/225</f>
        <v>4.4400000000000004</v>
      </c>
      <c r="J6" s="337">
        <v>0.1</v>
      </c>
      <c r="K6" s="288" t="s">
        <v>7688</v>
      </c>
      <c r="L6" s="50"/>
      <c r="M6" s="50">
        <v>2.012</v>
      </c>
      <c r="N6" s="50">
        <v>1.927</v>
      </c>
      <c r="O6" s="329">
        <f>AVERAGE(7623, 6520, 6038,5998)</f>
        <v>6544.75</v>
      </c>
      <c r="P6" s="329">
        <f>AVERAGE(65064, 67021)</f>
        <v>66042.5</v>
      </c>
      <c r="Q6" s="286"/>
      <c r="R6" s="307"/>
      <c r="S6"/>
    </row>
    <row r="7" spans="1:19">
      <c r="A7" s="50"/>
      <c r="B7" s="50" t="s">
        <v>122</v>
      </c>
      <c r="C7" s="50"/>
      <c r="D7" s="50"/>
      <c r="E7" s="297" t="s">
        <v>4468</v>
      </c>
      <c r="F7" s="296"/>
      <c r="G7" s="50">
        <v>149</v>
      </c>
      <c r="H7" s="296" t="s">
        <v>7735</v>
      </c>
      <c r="I7" s="262">
        <f>149/20</f>
        <v>7.45</v>
      </c>
      <c r="J7" s="337">
        <v>7.4999999999999997E-2</v>
      </c>
      <c r="K7" s="288"/>
      <c r="L7" s="50" t="s">
        <v>7736</v>
      </c>
      <c r="M7" s="290">
        <v>0.96093700000000004</v>
      </c>
      <c r="N7" s="290">
        <v>0.79211799999999999</v>
      </c>
      <c r="O7" s="329">
        <f>AVERAGE(12545, 12495)</f>
        <v>12520</v>
      </c>
      <c r="P7" s="329">
        <f>(38598+91087+45608+47662)</f>
        <v>222955</v>
      </c>
    </row>
    <row r="8" spans="1:19">
      <c r="A8" s="50"/>
      <c r="B8" s="50" t="s">
        <v>481</v>
      </c>
      <c r="C8" s="50"/>
      <c r="D8" s="50"/>
      <c r="E8" s="297" t="s">
        <v>5143</v>
      </c>
      <c r="F8" s="296"/>
      <c r="G8" s="50">
        <v>6.0000000000000001E-3</v>
      </c>
      <c r="H8" s="296" t="s">
        <v>7717</v>
      </c>
      <c r="I8" s="262">
        <f>G8*60*60</f>
        <v>21.599999999999998</v>
      </c>
      <c r="J8" s="337">
        <v>8.9099999999999999E-2</v>
      </c>
      <c r="K8" s="288"/>
      <c r="L8" s="50"/>
      <c r="M8" s="290">
        <v>0.91888099999999995</v>
      </c>
      <c r="N8" s="290">
        <v>0.49071100000000001</v>
      </c>
      <c r="O8" s="330">
        <f>AVERAGE(921,1236,1020)</f>
        <v>1059</v>
      </c>
      <c r="P8" s="329">
        <f>AVERAGE(5702,5522)</f>
        <v>5612</v>
      </c>
      <c r="Q8" s="306"/>
    </row>
    <row r="9" spans="1:19">
      <c r="A9" s="50"/>
      <c r="B9" s="50" t="s">
        <v>7431</v>
      </c>
      <c r="C9" s="50">
        <v>2018</v>
      </c>
      <c r="D9" s="50" t="s">
        <v>7699</v>
      </c>
      <c r="E9" s="297" t="s">
        <v>7433</v>
      </c>
      <c r="F9" s="296" t="s">
        <v>7698</v>
      </c>
      <c r="G9" s="50">
        <v>99</v>
      </c>
      <c r="H9" s="302" t="s">
        <v>7696</v>
      </c>
      <c r="I9" s="262">
        <f>99/75</f>
        <v>1.32</v>
      </c>
      <c r="J9" s="337" t="s">
        <v>8122</v>
      </c>
      <c r="K9" s="288" t="s">
        <v>7697</v>
      </c>
      <c r="L9" s="50" t="s">
        <v>7700</v>
      </c>
      <c r="M9" s="290">
        <v>0.29441499999999998</v>
      </c>
      <c r="N9" s="290">
        <v>0.34598200000000001</v>
      </c>
      <c r="O9" s="329" t="s">
        <v>1</v>
      </c>
      <c r="P9" s="329" t="s">
        <v>1</v>
      </c>
    </row>
    <row r="10" spans="1:19">
      <c r="A10" s="50"/>
      <c r="B10" s="50" t="s">
        <v>8318</v>
      </c>
      <c r="C10" s="50"/>
      <c r="D10" s="50" t="s">
        <v>5194</v>
      </c>
      <c r="E10" s="297" t="s">
        <v>7740</v>
      </c>
      <c r="F10" s="296"/>
      <c r="G10" s="50">
        <v>36</v>
      </c>
      <c r="H10" s="296" t="s">
        <v>7741</v>
      </c>
      <c r="I10" s="262">
        <f>36/6</f>
        <v>6</v>
      </c>
      <c r="J10" s="337">
        <f>34/300000*1000</f>
        <v>0.11333333333333333</v>
      </c>
      <c r="K10" s="288"/>
      <c r="L10" s="50"/>
      <c r="M10" s="290">
        <v>6.5215999999999996E-2</v>
      </c>
      <c r="N10" s="289">
        <v>0.32053300000000001</v>
      </c>
      <c r="O10" s="329"/>
      <c r="P10" s="329"/>
    </row>
    <row r="11" spans="1:19">
      <c r="A11" s="50"/>
      <c r="B11" s="50" t="s">
        <v>7734</v>
      </c>
      <c r="C11" s="50"/>
      <c r="D11" s="50"/>
      <c r="E11" s="297" t="s">
        <v>7791</v>
      </c>
      <c r="F11" s="296"/>
      <c r="G11" s="50">
        <v>162</v>
      </c>
      <c r="H11" s="296" t="s">
        <v>7695</v>
      </c>
      <c r="I11" s="262">
        <f>162/20</f>
        <v>8.1</v>
      </c>
      <c r="J11" s="337">
        <v>0.18</v>
      </c>
      <c r="K11" s="288"/>
      <c r="L11" s="50"/>
      <c r="M11" s="290">
        <v>0.36320200000000002</v>
      </c>
      <c r="N11" s="289">
        <v>0.18176500000000001</v>
      </c>
      <c r="O11" s="329"/>
      <c r="P11" s="329"/>
      <c r="S11"/>
    </row>
    <row r="12" spans="1:19">
      <c r="A12" s="50"/>
      <c r="B12" s="291" t="s">
        <v>1966</v>
      </c>
      <c r="C12" s="291">
        <v>2020</v>
      </c>
      <c r="D12" s="291" t="s">
        <v>6146</v>
      </c>
      <c r="E12" s="299" t="s">
        <v>7689</v>
      </c>
      <c r="F12" s="300" t="s">
        <v>7681</v>
      </c>
      <c r="G12" s="291">
        <v>175</v>
      </c>
      <c r="H12" s="300" t="s">
        <v>7687</v>
      </c>
      <c r="I12" s="292">
        <f>175/25</f>
        <v>7</v>
      </c>
      <c r="J12" s="338">
        <v>0.14000000000000001</v>
      </c>
      <c r="K12" s="293" t="s">
        <v>7683</v>
      </c>
      <c r="L12" s="291"/>
      <c r="M12" s="294">
        <v>0.26786700000000002</v>
      </c>
      <c r="N12" s="290">
        <v>0.12159</v>
      </c>
      <c r="O12" s="329" t="s">
        <v>8317</v>
      </c>
      <c r="P12" s="329" t="s">
        <v>8317</v>
      </c>
      <c r="S12"/>
    </row>
    <row r="13" spans="1:19">
      <c r="A13" s="50"/>
      <c r="B13" s="50" t="s">
        <v>1293</v>
      </c>
      <c r="C13" s="50"/>
      <c r="D13" s="50"/>
      <c r="E13" s="297" t="s">
        <v>7745</v>
      </c>
      <c r="F13" s="296"/>
      <c r="G13" s="50">
        <v>119</v>
      </c>
      <c r="H13" s="296" t="s">
        <v>7746</v>
      </c>
      <c r="I13" s="262">
        <f>119/30</f>
        <v>3.9666666666666668</v>
      </c>
      <c r="J13" s="337"/>
      <c r="K13" s="288"/>
      <c r="L13" s="50"/>
      <c r="M13" s="290">
        <v>0.119672</v>
      </c>
      <c r="N13" s="289">
        <v>0.108222</v>
      </c>
      <c r="O13" s="329"/>
      <c r="P13" s="329"/>
    </row>
    <row r="14" spans="1:19">
      <c r="A14" s="50"/>
      <c r="B14" s="50" t="s">
        <v>7438</v>
      </c>
      <c r="C14" s="50">
        <v>2019</v>
      </c>
      <c r="D14" s="50"/>
      <c r="E14" s="297" t="s">
        <v>7789</v>
      </c>
      <c r="F14" s="296"/>
      <c r="G14" s="50">
        <v>199</v>
      </c>
      <c r="H14" s="296" t="s">
        <v>7705</v>
      </c>
      <c r="I14" s="262">
        <f>199/4</f>
        <v>49.75</v>
      </c>
      <c r="J14" s="337"/>
      <c r="K14" s="288" t="s">
        <v>7733</v>
      </c>
      <c r="L14" s="50"/>
      <c r="M14" s="290">
        <v>3.2071000000000002E-2</v>
      </c>
      <c r="N14" s="289">
        <v>9.2105000000000006E-2</v>
      </c>
      <c r="O14" s="329"/>
      <c r="P14" s="329"/>
    </row>
    <row r="15" spans="1:19">
      <c r="A15" s="50"/>
      <c r="B15" s="50" t="s">
        <v>2000</v>
      </c>
      <c r="C15" s="50"/>
      <c r="D15" s="50"/>
      <c r="E15" s="297" t="s">
        <v>7739</v>
      </c>
      <c r="F15" s="296"/>
      <c r="G15" s="50">
        <v>36</v>
      </c>
      <c r="H15" s="296" t="s">
        <v>7705</v>
      </c>
      <c r="I15" s="262">
        <f>G15/4</f>
        <v>9</v>
      </c>
      <c r="J15" s="337"/>
      <c r="K15" s="288"/>
      <c r="L15" s="50" t="s">
        <v>6645</v>
      </c>
      <c r="M15" s="290">
        <v>0.130269</v>
      </c>
      <c r="N15" s="289">
        <v>9.0467000000000006E-2</v>
      </c>
      <c r="O15" s="329"/>
      <c r="P15" s="329"/>
    </row>
    <row r="16" spans="1:19">
      <c r="A16" s="50"/>
      <c r="B16" s="50" t="s">
        <v>8263</v>
      </c>
      <c r="C16" s="50">
        <v>2023</v>
      </c>
      <c r="D16" s="50" t="s">
        <v>8312</v>
      </c>
      <c r="E16" s="297" t="s">
        <v>8311</v>
      </c>
      <c r="F16" s="296"/>
      <c r="G16" s="50"/>
      <c r="H16" s="296"/>
      <c r="I16" s="262"/>
      <c r="J16" s="339">
        <v>1E-3</v>
      </c>
      <c r="K16" s="288" t="s">
        <v>8357</v>
      </c>
      <c r="L16" s="50"/>
      <c r="M16" s="290"/>
      <c r="N16" s="289">
        <v>6.4905000000000004E-2</v>
      </c>
      <c r="O16" s="329">
        <f>AVERAGE(151,151,148,153)</f>
        <v>150.75</v>
      </c>
      <c r="P16" s="329">
        <f>AVERAGE(973,812,816)</f>
        <v>867</v>
      </c>
    </row>
    <row r="17" spans="1:16">
      <c r="A17" s="50"/>
      <c r="B17" s="50" t="s">
        <v>5173</v>
      </c>
      <c r="C17" s="50">
        <v>2022</v>
      </c>
      <c r="D17" s="50"/>
      <c r="E17" s="297" t="s">
        <v>7714</v>
      </c>
      <c r="F17" s="296" t="s">
        <v>7715</v>
      </c>
      <c r="G17" s="50">
        <v>4999</v>
      </c>
      <c r="H17" s="296" t="s">
        <v>7709</v>
      </c>
      <c r="I17" s="262">
        <f>5000/12500</f>
        <v>0.4</v>
      </c>
      <c r="J17" s="337">
        <v>7.9000000000000008E-3</v>
      </c>
      <c r="K17" s="288"/>
      <c r="L17" s="50" t="s">
        <v>7710</v>
      </c>
      <c r="M17" s="289">
        <v>1.6397999999999999E-2</v>
      </c>
      <c r="N17" s="289">
        <v>3.4521000000000003E-2</v>
      </c>
      <c r="O17" s="329"/>
      <c r="P17" s="329"/>
    </row>
    <row r="18" spans="1:16">
      <c r="A18" s="50"/>
      <c r="B18" s="50" t="s">
        <v>6216</v>
      </c>
      <c r="C18" s="50">
        <v>2021</v>
      </c>
      <c r="D18" s="50" t="s">
        <v>7692</v>
      </c>
      <c r="E18" s="297" t="s">
        <v>7693</v>
      </c>
      <c r="F18" s="296" t="s">
        <v>7690</v>
      </c>
      <c r="G18" s="50">
        <v>75</v>
      </c>
      <c r="H18" s="296" t="s">
        <v>7695</v>
      </c>
      <c r="I18" s="50">
        <f>75/20</f>
        <v>3.75</v>
      </c>
      <c r="J18" s="337">
        <v>7.4999999999999997E-2</v>
      </c>
      <c r="K18" s="288" t="s">
        <v>7691</v>
      </c>
      <c r="L18" s="50"/>
      <c r="M18" s="290">
        <v>5.1739999999999998E-3</v>
      </c>
      <c r="N18" s="290">
        <v>5.1739999999999998E-3</v>
      </c>
      <c r="O18" s="329">
        <v>370</v>
      </c>
      <c r="P18" s="329">
        <v>2822</v>
      </c>
    </row>
    <row r="19" spans="1:16">
      <c r="A19" s="50"/>
      <c r="B19" s="50" t="s">
        <v>7785</v>
      </c>
      <c r="C19" s="50"/>
      <c r="D19" s="50"/>
      <c r="E19" s="297" t="s">
        <v>7786</v>
      </c>
      <c r="F19" s="296"/>
      <c r="G19" s="50">
        <v>7</v>
      </c>
      <c r="H19" s="296" t="s">
        <v>7787</v>
      </c>
      <c r="I19" s="262">
        <f>7/0.6</f>
        <v>11.666666666666668</v>
      </c>
      <c r="J19" s="337"/>
      <c r="K19" s="288"/>
      <c r="L19" s="50" t="s">
        <v>7788</v>
      </c>
      <c r="M19" s="290"/>
      <c r="N19" s="289">
        <v>9.7940000000000006E-3</v>
      </c>
      <c r="O19" s="329"/>
      <c r="P19" s="329"/>
    </row>
    <row r="20" spans="1:16">
      <c r="A20" s="50"/>
      <c r="B20" s="50" t="s">
        <v>7771</v>
      </c>
      <c r="C20" s="50"/>
      <c r="D20" s="50"/>
      <c r="E20" s="297" t="s">
        <v>7790</v>
      </c>
      <c r="F20" s="296"/>
      <c r="G20" s="50">
        <v>99</v>
      </c>
      <c r="H20" s="296" t="s">
        <v>7772</v>
      </c>
      <c r="I20" s="262">
        <f>100/24</f>
        <v>4.166666666666667</v>
      </c>
      <c r="J20" s="337"/>
      <c r="K20" s="288"/>
      <c r="L20" s="50"/>
      <c r="M20" s="290"/>
      <c r="N20" s="289"/>
      <c r="O20" s="329"/>
      <c r="P20" s="329"/>
    </row>
    <row r="21" spans="1:16">
      <c r="A21" s="50"/>
      <c r="B21" s="50" t="s">
        <v>8315</v>
      </c>
      <c r="C21" s="50"/>
      <c r="D21" s="50"/>
      <c r="E21" s="297" t="s">
        <v>3936</v>
      </c>
      <c r="F21" s="296"/>
      <c r="G21" s="50"/>
      <c r="H21" s="296"/>
      <c r="I21" s="262"/>
      <c r="J21" s="337">
        <v>1.4999999999999999E-2</v>
      </c>
      <c r="K21" s="288" t="s">
        <v>1</v>
      </c>
      <c r="L21" s="50"/>
      <c r="M21" s="290"/>
      <c r="N21" s="289"/>
      <c r="O21" s="329">
        <f>AVERAGE(810,921,733)</f>
        <v>821.33333333333337</v>
      </c>
      <c r="P21" s="329">
        <f>AVERAGE(12281,11833,8494)</f>
        <v>10869.333333333334</v>
      </c>
    </row>
    <row r="22" spans="1:16">
      <c r="A22" s="50"/>
      <c r="B22" s="50" t="s">
        <v>8316</v>
      </c>
      <c r="C22" s="50"/>
      <c r="D22" s="50"/>
      <c r="E22" s="297" t="s">
        <v>3936</v>
      </c>
      <c r="F22" s="296"/>
      <c r="G22" s="50"/>
      <c r="H22" s="296"/>
      <c r="I22" s="262"/>
      <c r="J22" s="337">
        <v>0.03</v>
      </c>
      <c r="K22" s="288" t="s">
        <v>1</v>
      </c>
      <c r="L22" s="50"/>
      <c r="M22" s="290"/>
      <c r="N22" s="289"/>
      <c r="O22" s="329">
        <f>AVERAGE(1284,1360,1283)</f>
        <v>1309</v>
      </c>
      <c r="P22" s="329">
        <f>AVERAGE(11602,10651)</f>
        <v>11126.5</v>
      </c>
    </row>
    <row r="23" spans="1:16">
      <c r="A23" s="50"/>
      <c r="B23" s="50" t="s">
        <v>8271</v>
      </c>
      <c r="C23" s="50"/>
      <c r="D23" s="50"/>
      <c r="E23" s="296" t="s">
        <v>8313</v>
      </c>
      <c r="F23" s="296"/>
      <c r="G23" s="50"/>
      <c r="H23" s="296"/>
      <c r="I23" s="50"/>
      <c r="J23" s="337">
        <v>4.0000000000000001E-3</v>
      </c>
      <c r="K23" s="288" t="s">
        <v>1</v>
      </c>
      <c r="L23" s="50"/>
      <c r="M23" s="50"/>
      <c r="N23" s="289"/>
      <c r="O23" s="329">
        <v>91</v>
      </c>
      <c r="P23" s="329">
        <v>783</v>
      </c>
    </row>
    <row r="24" spans="1:16">
      <c r="A24" s="50"/>
      <c r="B24" s="50" t="s">
        <v>8272</v>
      </c>
      <c r="C24" s="50"/>
      <c r="D24" s="50"/>
      <c r="E24" s="296" t="s">
        <v>8313</v>
      </c>
      <c r="F24" s="296"/>
      <c r="G24" s="50"/>
      <c r="H24" s="296"/>
      <c r="I24" s="50"/>
      <c r="J24" s="337">
        <v>1.6E-2</v>
      </c>
      <c r="K24" s="288" t="s">
        <v>1</v>
      </c>
      <c r="L24" s="50"/>
      <c r="M24" s="50"/>
      <c r="N24" s="289"/>
      <c r="O24" s="329">
        <v>140</v>
      </c>
      <c r="P24" s="329">
        <v>2449</v>
      </c>
    </row>
    <row r="25" spans="1:16">
      <c r="A25" s="50"/>
      <c r="B25" s="50" t="s">
        <v>8250</v>
      </c>
      <c r="C25" s="50"/>
      <c r="D25" s="50"/>
      <c r="E25" s="296"/>
      <c r="F25" s="296"/>
      <c r="G25" s="50"/>
      <c r="H25" s="296"/>
      <c r="I25" s="50"/>
      <c r="J25" s="337"/>
      <c r="K25" s="50"/>
      <c r="L25" s="50"/>
      <c r="M25" s="50"/>
      <c r="N25" s="289">
        <v>3.25</v>
      </c>
      <c r="O25" s="329"/>
      <c r="P25" s="329"/>
    </row>
    <row r="26" spans="1:16">
      <c r="A26" s="50"/>
      <c r="B26" s="50" t="s">
        <v>3522</v>
      </c>
      <c r="C26" s="50"/>
      <c r="D26" s="50"/>
      <c r="E26" s="296"/>
      <c r="F26" s="296"/>
      <c r="G26" s="50"/>
      <c r="H26" s="296"/>
      <c r="I26" s="50"/>
      <c r="J26" s="337"/>
      <c r="K26" s="50"/>
      <c r="L26" s="50"/>
      <c r="M26" s="50"/>
      <c r="N26" s="50">
        <v>2.2210000000000001</v>
      </c>
      <c r="O26" s="329"/>
      <c r="P26" s="329"/>
    </row>
    <row r="27" spans="1:16">
      <c r="A27" s="50"/>
      <c r="B27" s="50" t="s">
        <v>8260</v>
      </c>
      <c r="C27" s="50"/>
      <c r="D27" s="50"/>
      <c r="E27" s="296"/>
      <c r="F27" s="296"/>
      <c r="G27" s="50"/>
      <c r="H27" s="296"/>
      <c r="I27" s="50"/>
      <c r="J27" s="337"/>
      <c r="K27" s="50"/>
      <c r="L27" s="50"/>
      <c r="M27" s="50"/>
      <c r="N27" s="289">
        <v>1.155</v>
      </c>
      <c r="O27" s="329"/>
      <c r="P27" s="329"/>
    </row>
    <row r="28" spans="1:16">
      <c r="A28" s="50"/>
      <c r="B28" s="50" t="s">
        <v>8262</v>
      </c>
      <c r="C28" s="50"/>
      <c r="D28" s="50"/>
      <c r="E28" s="296"/>
      <c r="F28" s="296"/>
      <c r="G28" s="50"/>
      <c r="H28" s="296"/>
      <c r="I28" s="50"/>
      <c r="J28" s="337"/>
      <c r="K28" s="50"/>
      <c r="L28" s="50"/>
      <c r="M28" s="50"/>
      <c r="N28" s="289">
        <v>0.46410600000000002</v>
      </c>
      <c r="O28" s="329"/>
      <c r="P28" s="329"/>
    </row>
    <row r="29" spans="1:16">
      <c r="A29" s="50"/>
      <c r="B29" s="50" t="s">
        <v>7701</v>
      </c>
      <c r="C29" s="50"/>
      <c r="D29" s="50"/>
      <c r="E29" s="296" t="s">
        <v>8314</v>
      </c>
      <c r="F29" s="296"/>
      <c r="G29" s="50"/>
      <c r="H29" s="296"/>
      <c r="I29" s="50"/>
      <c r="J29" s="337">
        <f>0.000004 * 1000</f>
        <v>4.0000000000000001E-3</v>
      </c>
      <c r="K29" s="288" t="s">
        <v>1</v>
      </c>
      <c r="L29" s="50"/>
      <c r="M29" s="50"/>
      <c r="N29" s="50"/>
      <c r="O29" s="329">
        <v>157</v>
      </c>
      <c r="P29" s="329">
        <v>1525</v>
      </c>
    </row>
    <row r="30" spans="1:16">
      <c r="A30" s="50"/>
      <c r="B30" s="50" t="s">
        <v>8265</v>
      </c>
      <c r="C30" s="50"/>
      <c r="D30" s="50"/>
      <c r="E30" s="296" t="s">
        <v>8261</v>
      </c>
      <c r="F30" s="296"/>
      <c r="G30" s="50"/>
      <c r="H30" s="296"/>
      <c r="I30" s="50"/>
      <c r="J30" s="337">
        <f>15/1000</f>
        <v>1.4999999999999999E-2</v>
      </c>
      <c r="K30" s="288" t="s">
        <v>1</v>
      </c>
      <c r="L30" s="50"/>
      <c r="M30" s="50"/>
      <c r="N30" s="50"/>
      <c r="O30" s="329">
        <v>465</v>
      </c>
      <c r="P30" s="329">
        <v>2342</v>
      </c>
    </row>
    <row r="31" spans="1:16">
      <c r="A31" s="50"/>
      <c r="B31" s="50" t="s">
        <v>8119</v>
      </c>
      <c r="C31" s="50"/>
      <c r="D31" s="50"/>
      <c r="E31" s="296"/>
      <c r="F31" s="296"/>
      <c r="G31" s="50"/>
      <c r="H31" s="296"/>
      <c r="I31" s="50"/>
      <c r="J31" s="337"/>
      <c r="K31" s="50"/>
      <c r="L31" s="50"/>
      <c r="M31" s="50"/>
      <c r="N31" s="50"/>
    </row>
    <row r="32" spans="1:16">
      <c r="A32" s="50"/>
      <c r="B32" s="50" t="s">
        <v>8120</v>
      </c>
      <c r="C32" s="50"/>
      <c r="D32" s="50"/>
      <c r="E32" s="296"/>
      <c r="F32" s="296"/>
      <c r="G32" s="50"/>
      <c r="H32" s="296"/>
      <c r="I32" s="50"/>
      <c r="J32" s="337"/>
      <c r="K32" s="50"/>
      <c r="L32" s="50"/>
      <c r="M32" s="50"/>
      <c r="N32" s="50"/>
    </row>
    <row r="33" spans="1:14">
      <c r="A33" s="50"/>
      <c r="B33" s="50"/>
      <c r="C33" s="50"/>
      <c r="D33" s="50"/>
      <c r="E33" s="296"/>
      <c r="F33" s="296"/>
      <c r="G33" s="50"/>
      <c r="H33" s="296"/>
      <c r="I33" s="50"/>
      <c r="J33" s="337"/>
      <c r="K33" s="50"/>
      <c r="L33" s="50"/>
      <c r="M33" s="50"/>
      <c r="N33" s="50"/>
    </row>
    <row r="34" spans="1:14">
      <c r="A34" s="50"/>
      <c r="B34" s="282" t="s">
        <v>7724</v>
      </c>
      <c r="C34" s="50"/>
      <c r="D34" s="50"/>
      <c r="E34" s="296"/>
      <c r="F34" s="296"/>
      <c r="G34" s="50"/>
      <c r="H34" s="296"/>
      <c r="I34" s="50"/>
      <c r="J34" s="337"/>
      <c r="K34" s="50"/>
      <c r="L34" s="50"/>
      <c r="M34" s="50"/>
      <c r="N34" s="50"/>
    </row>
    <row r="35" spans="1:14">
      <c r="A35" s="50"/>
      <c r="B35" s="50" t="s">
        <v>8121</v>
      </c>
      <c r="C35" s="50"/>
      <c r="D35" s="50"/>
      <c r="E35" s="296"/>
      <c r="F35" s="296"/>
      <c r="G35" s="50">
        <v>20</v>
      </c>
      <c r="H35" s="296" t="s">
        <v>7695</v>
      </c>
      <c r="I35" s="262">
        <v>1</v>
      </c>
      <c r="J35" s="337"/>
      <c r="K35" s="50" t="s">
        <v>1</v>
      </c>
      <c r="L35" s="50" t="s">
        <v>7708</v>
      </c>
      <c r="M35" s="50"/>
      <c r="N35" s="50"/>
    </row>
    <row r="36" spans="1:14">
      <c r="A36" s="50"/>
      <c r="B36" s="50" t="s">
        <v>3925</v>
      </c>
      <c r="C36" s="50"/>
      <c r="D36" s="50"/>
      <c r="E36" s="296"/>
      <c r="F36" s="296"/>
      <c r="G36" s="50"/>
      <c r="H36" s="296" t="s">
        <v>7719</v>
      </c>
      <c r="I36" s="288" t="s">
        <v>1</v>
      </c>
      <c r="J36" s="337"/>
      <c r="K36" s="50" t="s">
        <v>1</v>
      </c>
      <c r="L36" s="50" t="s">
        <v>7708</v>
      </c>
      <c r="M36" s="50"/>
      <c r="N36" s="50"/>
    </row>
    <row r="37" spans="1:14">
      <c r="A37" s="50"/>
      <c r="B37" s="50" t="s">
        <v>7439</v>
      </c>
      <c r="C37" s="50"/>
      <c r="D37" s="50"/>
      <c r="E37" s="296"/>
      <c r="F37" s="296"/>
      <c r="G37" s="50"/>
      <c r="H37" s="296"/>
      <c r="I37" s="50"/>
      <c r="J37" s="337"/>
      <c r="K37" s="50"/>
      <c r="L37" s="50"/>
      <c r="M37" s="50">
        <v>1.986</v>
      </c>
      <c r="N37" s="50" t="s">
        <v>7712</v>
      </c>
    </row>
    <row r="38" spans="1:14">
      <c r="A38" s="50"/>
      <c r="B38" s="50" t="s">
        <v>957</v>
      </c>
      <c r="C38" s="50"/>
      <c r="D38" s="50"/>
      <c r="E38" s="296"/>
      <c r="F38" s="296"/>
      <c r="G38" s="50"/>
      <c r="H38" s="296"/>
      <c r="I38" s="50"/>
      <c r="J38" s="337"/>
      <c r="K38" s="50"/>
      <c r="L38" s="50" t="s">
        <v>7720</v>
      </c>
      <c r="M38" s="50"/>
      <c r="N38" s="50"/>
    </row>
    <row r="39" spans="1:14">
      <c r="A39" s="50"/>
      <c r="B39" s="50" t="s">
        <v>1474</v>
      </c>
      <c r="C39" s="50">
        <v>2018</v>
      </c>
      <c r="D39" s="50"/>
      <c r="E39" s="296"/>
      <c r="F39" s="296" t="s">
        <v>7722</v>
      </c>
      <c r="G39" s="50">
        <v>0.09</v>
      </c>
      <c r="H39" s="296" t="s">
        <v>7717</v>
      </c>
      <c r="I39" s="262">
        <f>G39*60*60</f>
        <v>323.99999999999994</v>
      </c>
      <c r="J39" s="337"/>
      <c r="K39" s="50" t="s">
        <v>7721</v>
      </c>
      <c r="L39" s="50"/>
      <c r="M39" s="289">
        <v>0.109024</v>
      </c>
      <c r="N39" s="50" t="s">
        <v>7723</v>
      </c>
    </row>
    <row r="40" spans="1:14">
      <c r="A40" s="50"/>
      <c r="B40" s="50" t="s">
        <v>2003</v>
      </c>
      <c r="C40" s="50"/>
      <c r="D40" s="50"/>
      <c r="E40" s="297" t="s">
        <v>7718</v>
      </c>
      <c r="F40" s="296"/>
      <c r="G40" s="50"/>
      <c r="H40" s="296"/>
      <c r="I40" s="50"/>
      <c r="K40" s="50"/>
      <c r="L40" s="50"/>
      <c r="M40" s="50">
        <v>3.2669999999999999</v>
      </c>
      <c r="N40" s="50" t="s">
        <v>7725</v>
      </c>
    </row>
    <row r="41" spans="1:14">
      <c r="A41" s="50"/>
      <c r="B41" s="50" t="s">
        <v>1442</v>
      </c>
      <c r="C41" s="50"/>
      <c r="D41" s="50"/>
      <c r="E41" s="296"/>
      <c r="F41" s="296"/>
      <c r="G41" s="50">
        <v>99</v>
      </c>
      <c r="H41" s="296" t="s">
        <v>7726</v>
      </c>
      <c r="I41" s="262"/>
      <c r="K41" s="262"/>
      <c r="L41" s="50" t="s">
        <v>7727</v>
      </c>
      <c r="M41" s="50"/>
      <c r="N41" s="50"/>
    </row>
    <row r="42" spans="1:14">
      <c r="A42" s="50"/>
      <c r="B42" s="50" t="s">
        <v>5169</v>
      </c>
      <c r="C42" s="50"/>
      <c r="D42" s="50"/>
      <c r="E42" s="296"/>
      <c r="F42" s="296"/>
      <c r="G42" s="50"/>
      <c r="H42" s="296"/>
      <c r="I42" s="50"/>
      <c r="K42" s="50"/>
      <c r="L42" s="50" t="s">
        <v>7728</v>
      </c>
      <c r="M42" s="50"/>
      <c r="N42" s="50"/>
    </row>
    <row r="43" spans="1:14">
      <c r="A43" s="50"/>
      <c r="B43" s="50" t="s">
        <v>5891</v>
      </c>
      <c r="C43" s="50"/>
      <c r="D43" s="50"/>
      <c r="E43" s="296"/>
      <c r="F43" s="296"/>
      <c r="G43" s="50"/>
      <c r="H43" s="296"/>
      <c r="I43" s="50"/>
      <c r="K43" s="50"/>
      <c r="L43" s="50" t="s">
        <v>7729</v>
      </c>
      <c r="M43" s="50"/>
      <c r="N43" s="50"/>
    </row>
    <row r="44" spans="1:14">
      <c r="A44" s="50"/>
      <c r="B44" s="50" t="s">
        <v>386</v>
      </c>
      <c r="C44" s="50"/>
      <c r="D44" s="50"/>
      <c r="E44" s="296"/>
      <c r="F44" s="296"/>
      <c r="G44" s="50"/>
      <c r="H44" s="296"/>
      <c r="I44" s="50"/>
      <c r="K44" s="50"/>
      <c r="L44" s="50" t="s">
        <v>7730</v>
      </c>
      <c r="M44" s="50"/>
      <c r="N44" s="50"/>
    </row>
    <row r="45" spans="1:14">
      <c r="A45" s="50"/>
      <c r="B45" s="50" t="s">
        <v>928</v>
      </c>
      <c r="C45" s="50"/>
      <c r="D45" s="50"/>
      <c r="E45" s="296"/>
      <c r="F45" s="296"/>
      <c r="G45" s="50"/>
      <c r="H45" s="296"/>
      <c r="I45" s="50"/>
      <c r="K45" s="50"/>
      <c r="L45" s="50" t="s">
        <v>7731</v>
      </c>
      <c r="M45" s="50"/>
      <c r="N45" s="50"/>
    </row>
    <row r="46" spans="1:14">
      <c r="A46" s="50"/>
      <c r="B46" s="50" t="s">
        <v>3000</v>
      </c>
      <c r="C46" s="50"/>
      <c r="D46" s="50"/>
      <c r="E46" s="296"/>
      <c r="F46" s="296"/>
      <c r="G46" s="50"/>
      <c r="H46" s="296"/>
      <c r="I46" s="50"/>
      <c r="K46" s="50"/>
      <c r="L46" s="50" t="s">
        <v>7732</v>
      </c>
      <c r="M46" s="50"/>
      <c r="N46" s="50"/>
    </row>
    <row r="47" spans="1:14">
      <c r="A47" s="50"/>
      <c r="B47" s="295" t="s">
        <v>2526</v>
      </c>
      <c r="C47" s="50"/>
      <c r="D47" s="50"/>
      <c r="E47" s="296"/>
      <c r="F47" s="296"/>
      <c r="G47" s="50"/>
      <c r="H47" s="296"/>
      <c r="I47" s="50"/>
      <c r="K47" s="50"/>
      <c r="L47" s="50"/>
      <c r="M47" s="50"/>
      <c r="N47" s="50"/>
    </row>
    <row r="48" spans="1:14">
      <c r="A48" s="50"/>
      <c r="B48" s="50" t="s">
        <v>5077</v>
      </c>
      <c r="C48" s="50"/>
      <c r="D48" s="50"/>
      <c r="E48" s="296"/>
      <c r="F48" s="296"/>
      <c r="G48" s="50" t="s">
        <v>7738</v>
      </c>
      <c r="H48" s="296" t="s">
        <v>7737</v>
      </c>
      <c r="I48" s="50"/>
      <c r="K48" s="50"/>
      <c r="L48" s="50"/>
      <c r="M48" s="50"/>
      <c r="N48" s="50"/>
    </row>
    <row r="49" spans="1:14">
      <c r="A49" s="50"/>
      <c r="B49" s="50" t="s">
        <v>638</v>
      </c>
      <c r="C49" s="50"/>
      <c r="D49" s="50"/>
      <c r="E49" s="296"/>
      <c r="F49" s="296"/>
      <c r="G49" s="50"/>
      <c r="H49" s="296"/>
      <c r="I49" s="50"/>
      <c r="K49" s="50"/>
      <c r="L49" s="296" t="s">
        <v>7703</v>
      </c>
      <c r="M49" s="50"/>
      <c r="N49" s="50"/>
    </row>
    <row r="50" spans="1:14">
      <c r="A50" s="50"/>
      <c r="B50" s="50" t="s">
        <v>6713</v>
      </c>
      <c r="C50" s="50"/>
      <c r="D50" s="50"/>
      <c r="E50" s="296"/>
      <c r="F50" s="296"/>
      <c r="G50" s="50"/>
      <c r="H50" s="296"/>
      <c r="I50" s="50"/>
      <c r="K50" s="50"/>
      <c r="L50" s="50"/>
      <c r="M50" s="50">
        <v>1.5589999999999999</v>
      </c>
      <c r="N50" s="50" t="s">
        <v>7713</v>
      </c>
    </row>
    <row r="51" spans="1:14">
      <c r="A51" s="50"/>
      <c r="B51" s="50" t="s">
        <v>6746</v>
      </c>
      <c r="C51" s="50"/>
      <c r="D51" s="50"/>
      <c r="E51" s="296"/>
      <c r="F51" s="296"/>
      <c r="G51" s="50"/>
      <c r="H51" s="296"/>
      <c r="I51" s="50"/>
      <c r="K51" s="50"/>
      <c r="L51" s="50"/>
      <c r="M51" s="50"/>
      <c r="N51" s="50"/>
    </row>
    <row r="52" spans="1:14">
      <c r="A52" s="50"/>
      <c r="B52" s="50" t="s">
        <v>7747</v>
      </c>
      <c r="C52" s="50"/>
      <c r="D52" s="50"/>
      <c r="E52" s="296"/>
      <c r="F52" s="296"/>
      <c r="G52" s="50"/>
      <c r="H52" s="296"/>
      <c r="I52" s="50"/>
      <c r="K52" s="50"/>
      <c r="L52" s="50"/>
      <c r="M52" s="50">
        <v>2.0636000000000002E-2</v>
      </c>
      <c r="N52" s="50"/>
    </row>
    <row r="53" spans="1:14">
      <c r="A53" s="50"/>
      <c r="B53" s="50" t="s">
        <v>7748</v>
      </c>
      <c r="C53" s="50"/>
      <c r="D53" s="50"/>
      <c r="E53" s="296"/>
      <c r="F53" s="296"/>
      <c r="G53" s="50"/>
      <c r="H53" s="296"/>
      <c r="I53" s="50"/>
      <c r="K53" s="50"/>
      <c r="L53" s="50"/>
      <c r="M53" s="50">
        <v>0.89679900000000001</v>
      </c>
      <c r="N53" s="50"/>
    </row>
    <row r="54" spans="1:14">
      <c r="A54" s="50"/>
      <c r="B54" s="50" t="s">
        <v>1349</v>
      </c>
      <c r="C54" s="50"/>
      <c r="D54" s="50"/>
      <c r="E54" s="296"/>
      <c r="F54" s="296"/>
      <c r="G54" s="50"/>
      <c r="H54" s="296"/>
      <c r="I54" s="50"/>
      <c r="K54" s="50"/>
      <c r="L54" s="50"/>
      <c r="M54" s="50">
        <v>0.65854500000000005</v>
      </c>
      <c r="N54" s="50"/>
    </row>
    <row r="55" spans="1:14">
      <c r="A55" s="50"/>
      <c r="B55" s="50" t="s">
        <v>7749</v>
      </c>
      <c r="C55" s="50"/>
      <c r="D55" s="50"/>
      <c r="E55" s="297" t="s">
        <v>7750</v>
      </c>
      <c r="F55" s="296"/>
      <c r="G55" s="50"/>
      <c r="H55" s="296"/>
      <c r="I55" s="50"/>
      <c r="K55" s="50"/>
      <c r="L55" s="50"/>
      <c r="M55" s="50"/>
      <c r="N55" s="50"/>
    </row>
    <row r="56" spans="1:14">
      <c r="A56" s="50"/>
      <c r="B56" s="50" t="s">
        <v>7752</v>
      </c>
      <c r="C56" s="50"/>
      <c r="D56" s="50"/>
      <c r="E56" s="297" t="s">
        <v>7751</v>
      </c>
      <c r="F56" s="296"/>
      <c r="G56" s="50"/>
      <c r="H56" s="296"/>
      <c r="I56" s="50"/>
      <c r="K56" s="50"/>
      <c r="L56" s="50"/>
      <c r="M56" s="50"/>
      <c r="N56" s="50"/>
    </row>
    <row r="57" spans="1:14">
      <c r="A57" s="50"/>
      <c r="B57" s="50" t="s">
        <v>7753</v>
      </c>
      <c r="C57" s="50"/>
      <c r="D57" s="50"/>
      <c r="E57" s="296"/>
      <c r="F57" s="296"/>
      <c r="G57" s="50">
        <v>8.0000000000000007E-5</v>
      </c>
      <c r="H57" s="296" t="s">
        <v>7754</v>
      </c>
      <c r="I57" s="262">
        <f>G57*250000</f>
        <v>20</v>
      </c>
      <c r="K57" s="50"/>
      <c r="L57" s="50"/>
      <c r="M57" s="50"/>
      <c r="N57" s="50"/>
    </row>
    <row r="58" spans="1:14">
      <c r="A58" s="50"/>
      <c r="B58" s="50"/>
      <c r="C58" s="50"/>
      <c r="D58" s="50"/>
      <c r="E58" s="296"/>
      <c r="F58" s="296"/>
      <c r="G58" s="50"/>
      <c r="H58" s="296"/>
      <c r="I58" s="50"/>
      <c r="K58" s="50"/>
      <c r="L58" s="50"/>
      <c r="M58" s="50"/>
      <c r="N58" s="50"/>
    </row>
    <row r="59" spans="1:14">
      <c r="A59" s="50"/>
      <c r="B59" s="50"/>
      <c r="C59" s="50"/>
      <c r="D59" s="50"/>
      <c r="E59" s="296"/>
      <c r="F59" s="296"/>
      <c r="G59" s="50"/>
      <c r="H59" s="296"/>
      <c r="I59" s="50"/>
      <c r="K59" s="50"/>
      <c r="L59" s="50"/>
      <c r="M59" s="50"/>
      <c r="N59" s="50"/>
    </row>
    <row r="60" spans="1:14">
      <c r="A60" s="50"/>
      <c r="B60" t="s">
        <v>8250</v>
      </c>
      <c r="C60" s="50"/>
      <c r="D60" s="50"/>
      <c r="E60" s="296"/>
      <c r="F60" s="296"/>
      <c r="G60" s="50"/>
      <c r="H60" s="296"/>
      <c r="I60" s="50"/>
      <c r="K60" s="50"/>
      <c r="L60" s="50"/>
      <c r="M60" s="50"/>
      <c r="N60" s="50"/>
    </row>
    <row r="61" spans="1:14">
      <c r="A61" s="50"/>
      <c r="B61" t="s">
        <v>8249</v>
      </c>
      <c r="C61" s="50"/>
      <c r="D61" s="50"/>
      <c r="E61" s="296"/>
      <c r="F61" s="296"/>
      <c r="G61" s="50"/>
      <c r="H61" s="296"/>
      <c r="I61" s="50"/>
      <c r="K61" s="50"/>
      <c r="L61" s="50"/>
      <c r="M61" s="50"/>
      <c r="N61" s="50"/>
    </row>
    <row r="62" spans="1:14">
      <c r="A62" s="50"/>
      <c r="B62" t="s">
        <v>7734</v>
      </c>
      <c r="C62" s="50"/>
      <c r="D62" s="50"/>
      <c r="E62" s="296"/>
      <c r="F62" s="296"/>
      <c r="G62" s="50"/>
      <c r="H62" s="296"/>
      <c r="I62" s="50"/>
      <c r="K62" s="50"/>
      <c r="L62" s="50"/>
      <c r="M62" s="50"/>
      <c r="N62" s="50"/>
    </row>
    <row r="63" spans="1:14">
      <c r="B63" t="s">
        <v>8248</v>
      </c>
    </row>
    <row r="64" spans="1:14">
      <c r="B64" t="s">
        <v>1253</v>
      </c>
    </row>
    <row r="65" spans="2:2">
      <c r="B65" t="s">
        <v>403</v>
      </c>
    </row>
    <row r="66" spans="2:2">
      <c r="B66" t="s">
        <v>8247</v>
      </c>
    </row>
    <row r="67" spans="2:2">
      <c r="B67" t="s">
        <v>8246</v>
      </c>
    </row>
    <row r="68" spans="2:2">
      <c r="B68" t="s">
        <v>1383</v>
      </c>
    </row>
    <row r="69" spans="2:2">
      <c r="B69" t="s">
        <v>8245</v>
      </c>
    </row>
  </sheetData>
  <hyperlinks>
    <hyperlink ref="E6" r:id="rId1" xr:uid="{6F20C77C-3565-BB41-AF99-4414A4345CD9}"/>
    <hyperlink ref="E12" r:id="rId2" xr:uid="{DDE01190-AB56-2946-8E18-483FB6BF4735}"/>
    <hyperlink ref="E3" r:id="rId3" xr:uid="{1441F3F9-7BA7-E94F-BF15-B9F799E4FB47}"/>
    <hyperlink ref="E18" r:id="rId4" xr:uid="{E32980B6-F10A-2F48-8810-C8DBA5698EE7}"/>
    <hyperlink ref="E9" r:id="rId5" xr:uid="{A6E8EB31-6520-BF4F-BECA-84FA707781F3}"/>
    <hyperlink ref="E5" r:id="rId6" xr:uid="{A621B667-05F5-3742-B853-B856BFE0865D}"/>
    <hyperlink ref="E17" r:id="rId7" xr:uid="{251C4F88-B1DC-7040-9D8B-170B8EE37DD1}"/>
    <hyperlink ref="E4" r:id="rId8" xr:uid="{92FD8217-6E61-464C-A12B-2C1EAF4F40A8}"/>
    <hyperlink ref="E40" r:id="rId9" xr:uid="{08803D76-EB2D-AA46-BC85-AEDDA6CC301D}"/>
    <hyperlink ref="E15" r:id="rId10" xr:uid="{782AED29-31AC-2A42-8B06-70569AE34C48}"/>
    <hyperlink ref="E10" r:id="rId11" xr:uid="{7921B99A-E601-634A-BB7E-EAA0ECE834A5}"/>
    <hyperlink ref="E13" r:id="rId12" xr:uid="{BB1708BF-D0E4-804A-9168-6D105B8DE9D4}"/>
    <hyperlink ref="E55" r:id="rId13" xr:uid="{2C3AA4DD-5BC1-154A-98B6-E6E5E62BD0D8}"/>
    <hyperlink ref="E56" r:id="rId14" xr:uid="{6466BF3B-2C9F-4B42-8658-E7E90E2CAFA3}"/>
    <hyperlink ref="E19" r:id="rId15" xr:uid="{237EB54F-1B42-4C4B-AF91-C6AE1738DFBC}"/>
    <hyperlink ref="E14" r:id="rId16" xr:uid="{EEC42CC4-281B-BF4C-8362-7B0C8F581685}"/>
    <hyperlink ref="E20"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1" r:id="rId22" xr:uid="{27023BF2-6DB9-364C-AE42-D9F85A8EBE49}"/>
    <hyperlink ref="E22" r:id="rId23" xr:uid="{B01D08C8-3F96-CA43-9A42-DC97FDAFBFA1}"/>
  </hyperlinks>
  <pageMargins left="0.7" right="0.7" top="0.75" bottom="0.75" header="0.3" footer="0.3"/>
  <pageSetup orientation="portrait" horizontalDpi="0" verticalDpi="0"/>
  <legacyDrawing r:id="rId2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146" activePane="bottomRight" state="frozen"/>
      <selection pane="topRight" activeCell="C1" sqref="C1"/>
      <selection pane="bottomLeft" activeCell="A3" sqref="A3"/>
      <selection pane="bottomRight" activeCell="C164" sqref="C164"/>
    </sheetView>
  </sheetViews>
  <sheetFormatPr baseColWidth="10" defaultColWidth="10.83203125" defaultRowHeight="13"/>
  <cols>
    <col min="1" max="1" width="4.83203125" style="107" bestFit="1" customWidth="1"/>
    <col min="2" max="2" width="17.83203125" style="107" customWidth="1"/>
    <col min="3" max="3" width="22.33203125" style="107" customWidth="1"/>
    <col min="4" max="7" width="10.83203125" style="107"/>
    <col min="8" max="8" width="15.1640625" style="107" customWidth="1"/>
    <col min="9" max="10" width="10.83203125" style="107"/>
    <col min="11" max="11" width="6.1640625" style="107" customWidth="1"/>
    <col min="12" max="12" width="9.1640625" style="107" customWidth="1"/>
    <col min="13" max="16384" width="10.83203125" style="107"/>
  </cols>
  <sheetData>
    <row r="1" spans="1:12">
      <c r="A1" s="25" t="s">
        <v>1165</v>
      </c>
      <c r="B1" s="277"/>
      <c r="C1" s="277"/>
      <c r="D1" s="277"/>
      <c r="E1" s="277"/>
      <c r="F1" s="277"/>
      <c r="G1" s="277"/>
    </row>
    <row r="2" spans="1:12">
      <c r="A2" s="25"/>
      <c r="B2" s="142" t="s">
        <v>3978</v>
      </c>
      <c r="C2" s="142" t="s">
        <v>6215</v>
      </c>
      <c r="D2" s="142" t="s">
        <v>1800</v>
      </c>
      <c r="E2" s="142" t="s">
        <v>5668</v>
      </c>
      <c r="F2" s="142" t="s">
        <v>6321</v>
      </c>
      <c r="G2" s="142"/>
      <c r="H2" s="142" t="s">
        <v>8230</v>
      </c>
      <c r="I2" s="142" t="s">
        <v>5669</v>
      </c>
      <c r="J2" s="277"/>
      <c r="K2" s="277"/>
    </row>
    <row r="3" spans="1:12">
      <c r="A3" s="25"/>
      <c r="B3" s="277" t="s">
        <v>7932</v>
      </c>
      <c r="C3" s="25" t="s">
        <v>8358</v>
      </c>
      <c r="D3" s="277" t="s">
        <v>8697</v>
      </c>
      <c r="E3" s="142"/>
      <c r="F3" s="277">
        <v>56200</v>
      </c>
      <c r="G3" s="142"/>
      <c r="H3" s="277" t="s">
        <v>1</v>
      </c>
      <c r="I3" s="277" t="s">
        <v>0</v>
      </c>
      <c r="J3" s="277"/>
      <c r="K3" s="277"/>
    </row>
    <row r="4" spans="1:12">
      <c r="B4" s="277" t="s">
        <v>8327</v>
      </c>
      <c r="C4" s="25" t="s">
        <v>8328</v>
      </c>
      <c r="D4" s="277" t="s">
        <v>8873</v>
      </c>
      <c r="E4" s="25"/>
      <c r="F4" s="277">
        <v>50000</v>
      </c>
      <c r="G4" s="277"/>
      <c r="H4" s="277" t="s">
        <v>1</v>
      </c>
      <c r="I4" s="277" t="s">
        <v>8874</v>
      </c>
      <c r="J4" s="277"/>
      <c r="K4" s="277"/>
    </row>
    <row r="5" spans="1:12">
      <c r="B5" s="277" t="s">
        <v>8875</v>
      </c>
      <c r="C5" s="25" t="s">
        <v>8865</v>
      </c>
      <c r="D5" s="277" t="s">
        <v>8866</v>
      </c>
      <c r="E5" s="25"/>
      <c r="F5" s="277">
        <v>41000</v>
      </c>
      <c r="G5" s="277"/>
      <c r="H5" s="277" t="s">
        <v>1</v>
      </c>
      <c r="I5" s="277" t="s">
        <v>8876</v>
      </c>
      <c r="J5" s="277"/>
      <c r="K5" s="277"/>
    </row>
    <row r="6" spans="1:12">
      <c r="B6" s="277" t="s">
        <v>8329</v>
      </c>
      <c r="C6" s="25" t="s">
        <v>8330</v>
      </c>
      <c r="D6" s="277" t="s">
        <v>8879</v>
      </c>
      <c r="E6" s="25"/>
      <c r="F6" s="277">
        <v>33200</v>
      </c>
      <c r="G6" s="277"/>
      <c r="H6" s="277" t="s">
        <v>1</v>
      </c>
      <c r="I6" s="277" t="s">
        <v>8884</v>
      </c>
      <c r="J6" s="277"/>
      <c r="K6" s="277"/>
      <c r="L6" s="146"/>
    </row>
    <row r="7" spans="1:12">
      <c r="A7" s="277"/>
      <c r="B7" s="277" t="s">
        <v>7744</v>
      </c>
      <c r="C7" s="25" t="s">
        <v>8115</v>
      </c>
      <c r="D7" s="277" t="s">
        <v>8867</v>
      </c>
      <c r="E7" s="25"/>
      <c r="F7" s="277">
        <v>30600</v>
      </c>
      <c r="G7" s="277"/>
      <c r="H7" s="277" t="s">
        <v>8881</v>
      </c>
      <c r="I7" s="277" t="s">
        <v>8877</v>
      </c>
      <c r="J7" s="277"/>
      <c r="K7" s="277"/>
      <c r="L7" s="146"/>
    </row>
    <row r="8" spans="1:12" s="49" customFormat="1">
      <c r="B8" s="49" t="s">
        <v>8325</v>
      </c>
      <c r="C8" s="37" t="s">
        <v>8326</v>
      </c>
      <c r="D8" s="49" t="s">
        <v>2594</v>
      </c>
      <c r="E8" s="37"/>
      <c r="F8" s="49">
        <v>27000</v>
      </c>
      <c r="H8" s="49" t="s">
        <v>8909</v>
      </c>
      <c r="I8" s="49" t="s">
        <v>8869</v>
      </c>
      <c r="L8" s="347"/>
    </row>
    <row r="9" spans="1:12">
      <c r="B9" s="277" t="s">
        <v>8839</v>
      </c>
      <c r="C9" s="25" t="s">
        <v>8838</v>
      </c>
      <c r="D9" s="277" t="s">
        <v>8871</v>
      </c>
      <c r="E9" s="25"/>
      <c r="F9" s="277">
        <v>25200</v>
      </c>
      <c r="G9" s="277"/>
      <c r="H9" s="277" t="s">
        <v>1</v>
      </c>
      <c r="I9" s="277" t="s">
        <v>8880</v>
      </c>
      <c r="J9" s="277"/>
      <c r="K9" s="277"/>
      <c r="L9" s="146"/>
    </row>
    <row r="10" spans="1:12">
      <c r="B10" s="277" t="s">
        <v>8045</v>
      </c>
      <c r="C10" s="25" t="s">
        <v>8044</v>
      </c>
      <c r="D10" s="277"/>
      <c r="E10" s="25"/>
      <c r="F10" s="277">
        <v>23900</v>
      </c>
      <c r="G10" s="277"/>
      <c r="H10" s="277" t="s">
        <v>1</v>
      </c>
      <c r="I10" s="277" t="s">
        <v>8870</v>
      </c>
      <c r="J10" s="277"/>
      <c r="K10" s="277"/>
      <c r="L10" s="146"/>
    </row>
    <row r="11" spans="1:12">
      <c r="A11" s="277"/>
      <c r="B11" s="277" t="s">
        <v>6222</v>
      </c>
      <c r="C11" s="25" t="s">
        <v>6223</v>
      </c>
      <c r="D11" s="277"/>
      <c r="E11" s="277"/>
      <c r="F11" s="277">
        <v>22800</v>
      </c>
      <c r="G11" s="277"/>
      <c r="H11" s="277"/>
      <c r="I11" s="277" t="s">
        <v>8885</v>
      </c>
      <c r="J11" s="277"/>
      <c r="K11" s="277"/>
      <c r="L11" s="146"/>
    </row>
    <row r="12" spans="1:12">
      <c r="A12" s="277"/>
      <c r="B12" s="277" t="s">
        <v>8840</v>
      </c>
      <c r="C12" s="25" t="s">
        <v>8841</v>
      </c>
      <c r="D12" s="277"/>
      <c r="E12" s="277"/>
      <c r="F12" s="277">
        <v>18800</v>
      </c>
      <c r="G12" s="277"/>
      <c r="H12" s="277"/>
      <c r="I12" s="277" t="s">
        <v>782</v>
      </c>
      <c r="J12" s="277"/>
      <c r="K12" s="277"/>
    </row>
    <row r="13" spans="1:12">
      <c r="A13" s="277"/>
      <c r="B13" s="277" t="s">
        <v>5274</v>
      </c>
      <c r="C13" s="25" t="s">
        <v>8864</v>
      </c>
      <c r="D13" s="277"/>
      <c r="E13" s="277"/>
      <c r="F13" s="277">
        <v>16500</v>
      </c>
      <c r="G13" s="277"/>
      <c r="H13" s="277"/>
      <c r="I13" s="277"/>
      <c r="J13" s="277"/>
      <c r="K13" s="277"/>
    </row>
    <row r="14" spans="1:12">
      <c r="B14" s="277" t="s">
        <v>8331</v>
      </c>
      <c r="C14" s="25" t="s">
        <v>8332</v>
      </c>
      <c r="D14" s="277"/>
      <c r="E14" s="25"/>
      <c r="F14" s="277">
        <v>14400</v>
      </c>
      <c r="G14" s="277"/>
      <c r="H14" s="277"/>
      <c r="I14" s="277"/>
      <c r="J14" s="277"/>
      <c r="K14" s="277"/>
    </row>
    <row r="15" spans="1:12">
      <c r="B15" s="277" t="s">
        <v>8333</v>
      </c>
      <c r="C15" s="25" t="s">
        <v>8868</v>
      </c>
      <c r="D15" s="277"/>
      <c r="E15" s="25"/>
      <c r="F15" s="277">
        <v>14300</v>
      </c>
      <c r="G15" s="277"/>
      <c r="H15" s="277"/>
      <c r="I15" s="277"/>
      <c r="J15" s="277"/>
      <c r="K15" s="277"/>
    </row>
    <row r="16" spans="1:12">
      <c r="B16" s="277" t="s">
        <v>8843</v>
      </c>
      <c r="C16" s="25" t="s">
        <v>8842</v>
      </c>
      <c r="D16" s="277"/>
      <c r="E16" s="25"/>
      <c r="F16" s="277">
        <v>13700</v>
      </c>
      <c r="G16" s="277"/>
      <c r="H16" s="277" t="s">
        <v>1</v>
      </c>
      <c r="I16" s="277"/>
      <c r="J16" s="277"/>
      <c r="K16" s="277"/>
    </row>
    <row r="17" spans="1:11">
      <c r="B17" s="277" t="s">
        <v>8359</v>
      </c>
      <c r="C17" s="25" t="s">
        <v>8360</v>
      </c>
      <c r="D17" s="277"/>
      <c r="E17" s="25"/>
      <c r="F17" s="277">
        <v>13500</v>
      </c>
      <c r="G17" s="277"/>
      <c r="H17" s="277"/>
      <c r="I17" s="277"/>
      <c r="J17" s="277"/>
      <c r="K17" s="277"/>
    </row>
    <row r="18" spans="1:11">
      <c r="B18" s="277" t="s">
        <v>8845</v>
      </c>
      <c r="C18" s="25" t="s">
        <v>8844</v>
      </c>
      <c r="D18" s="277"/>
      <c r="E18" s="25"/>
      <c r="F18" s="277">
        <v>12400</v>
      </c>
      <c r="G18" s="277"/>
      <c r="H18" s="277"/>
      <c r="I18" s="277"/>
      <c r="J18" s="277"/>
      <c r="K18" s="277"/>
    </row>
    <row r="19" spans="1:11">
      <c r="A19" s="277"/>
      <c r="B19" s="277" t="s">
        <v>6146</v>
      </c>
      <c r="C19" s="25" t="s">
        <v>6211</v>
      </c>
      <c r="E19" s="25" t="s">
        <v>8099</v>
      </c>
      <c r="F19" s="277">
        <v>11100</v>
      </c>
      <c r="G19" s="277" t="s">
        <v>8878</v>
      </c>
      <c r="H19" s="277" t="s">
        <v>8231</v>
      </c>
      <c r="I19" s="277" t="s">
        <v>8109</v>
      </c>
      <c r="J19" s="277"/>
      <c r="K19" s="277"/>
    </row>
    <row r="20" spans="1:11">
      <c r="B20" s="277" t="s">
        <v>8335</v>
      </c>
      <c r="C20" s="25" t="s">
        <v>8334</v>
      </c>
      <c r="D20" s="277"/>
      <c r="E20" s="25"/>
      <c r="F20" s="277">
        <v>9700</v>
      </c>
      <c r="G20" s="277"/>
      <c r="H20" s="277"/>
      <c r="I20" s="277"/>
      <c r="J20" s="277"/>
      <c r="K20" s="277"/>
    </row>
    <row r="21" spans="1:11">
      <c r="B21" s="277" t="s">
        <v>8234</v>
      </c>
      <c r="C21" s="25" t="s">
        <v>8361</v>
      </c>
      <c r="D21" s="277"/>
      <c r="E21" s="25"/>
      <c r="F21" s="277">
        <v>9700</v>
      </c>
      <c r="G21" s="277"/>
      <c r="H21" s="277" t="s">
        <v>8881</v>
      </c>
      <c r="I21" s="277" t="s">
        <v>782</v>
      </c>
      <c r="J21" s="277"/>
      <c r="K21" s="277"/>
    </row>
    <row r="22" spans="1:11" s="49" customFormat="1">
      <c r="B22" s="49" t="s">
        <v>8362</v>
      </c>
      <c r="C22" s="37" t="s">
        <v>8363</v>
      </c>
      <c r="E22" s="37"/>
      <c r="F22" s="49">
        <v>9700</v>
      </c>
    </row>
    <row r="23" spans="1:11">
      <c r="A23" s="277"/>
      <c r="B23" s="277" t="s">
        <v>7742</v>
      </c>
      <c r="C23" s="25" t="s">
        <v>8113</v>
      </c>
      <c r="D23" s="277" t="s">
        <v>8114</v>
      </c>
      <c r="E23" s="25" t="s">
        <v>7743</v>
      </c>
      <c r="F23" s="277">
        <v>9300</v>
      </c>
      <c r="G23" s="277"/>
      <c r="H23" s="277"/>
      <c r="I23" s="277" t="s">
        <v>1088</v>
      </c>
      <c r="J23" s="277"/>
      <c r="K23" s="277"/>
    </row>
    <row r="24" spans="1:11">
      <c r="B24" s="277" t="s">
        <v>8336</v>
      </c>
      <c r="C24" s="25" t="s">
        <v>8337</v>
      </c>
      <c r="D24" s="277"/>
      <c r="E24" s="25"/>
      <c r="F24" s="277">
        <v>8600</v>
      </c>
      <c r="G24" s="277"/>
      <c r="H24" s="277" t="s">
        <v>1</v>
      </c>
      <c r="I24" s="277" t="s">
        <v>8870</v>
      </c>
      <c r="J24" s="277"/>
      <c r="K24" s="277"/>
    </row>
    <row r="25" spans="1:11">
      <c r="B25" s="277" t="s">
        <v>8847</v>
      </c>
      <c r="C25" s="25" t="s">
        <v>8846</v>
      </c>
      <c r="D25" s="277"/>
      <c r="E25" s="25"/>
      <c r="F25" s="277">
        <v>8200</v>
      </c>
      <c r="G25" s="277"/>
      <c r="H25" s="277"/>
      <c r="I25" s="277"/>
      <c r="J25" s="277"/>
      <c r="K25" s="277"/>
    </row>
    <row r="26" spans="1:11">
      <c r="B26" s="277" t="s">
        <v>8857</v>
      </c>
      <c r="C26" s="25" t="s">
        <v>8856</v>
      </c>
      <c r="D26" s="277"/>
      <c r="E26" s="25"/>
      <c r="F26" s="277">
        <v>8000</v>
      </c>
      <c r="G26" s="277"/>
      <c r="H26" s="277"/>
      <c r="I26" s="277"/>
      <c r="J26" s="277"/>
      <c r="K26" s="277"/>
    </row>
    <row r="27" spans="1:11">
      <c r="B27" s="277" t="s">
        <v>8364</v>
      </c>
      <c r="C27" s="25" t="s">
        <v>8365</v>
      </c>
      <c r="D27" s="277" t="s">
        <v>8697</v>
      </c>
      <c r="E27" s="25"/>
      <c r="F27" s="277">
        <v>7900</v>
      </c>
      <c r="G27" s="277"/>
      <c r="H27" s="277" t="s">
        <v>1</v>
      </c>
      <c r="I27" s="277"/>
      <c r="J27" s="277"/>
      <c r="K27" s="277"/>
    </row>
    <row r="28" spans="1:11">
      <c r="B28" s="277" t="s">
        <v>8366</v>
      </c>
      <c r="C28" s="25" t="s">
        <v>8367</v>
      </c>
      <c r="D28" s="277" t="s">
        <v>8697</v>
      </c>
      <c r="E28" s="25"/>
      <c r="F28" s="277">
        <v>7900</v>
      </c>
      <c r="G28" s="277"/>
      <c r="H28" s="277" t="s">
        <v>1</v>
      </c>
      <c r="I28" s="277"/>
      <c r="J28" s="277"/>
      <c r="K28" s="277"/>
    </row>
    <row r="29" spans="1:11">
      <c r="B29" s="277" t="s">
        <v>8368</v>
      </c>
      <c r="C29" s="25" t="s">
        <v>8369</v>
      </c>
      <c r="D29" s="277"/>
      <c r="E29" s="25"/>
      <c r="F29" s="277">
        <v>7600</v>
      </c>
      <c r="G29" s="277"/>
      <c r="H29" s="277"/>
      <c r="I29" s="277"/>
      <c r="J29" s="277"/>
      <c r="K29" s="277"/>
    </row>
    <row r="30" spans="1:11">
      <c r="B30" s="277" t="s">
        <v>8849</v>
      </c>
      <c r="C30" s="25" t="s">
        <v>8848</v>
      </c>
      <c r="D30" s="277"/>
      <c r="E30" s="25"/>
      <c r="F30" s="277">
        <v>7400</v>
      </c>
      <c r="G30" s="277"/>
      <c r="H30" s="277"/>
      <c r="I30" s="277" t="s">
        <v>0</v>
      </c>
      <c r="J30" s="277"/>
      <c r="K30" s="277"/>
    </row>
    <row r="31" spans="1:11">
      <c r="B31" s="277" t="s">
        <v>8371</v>
      </c>
      <c r="C31" s="25" t="s">
        <v>8370</v>
      </c>
      <c r="D31" s="277"/>
      <c r="E31" s="25"/>
      <c r="F31" s="277">
        <v>7300</v>
      </c>
      <c r="G31" s="277"/>
      <c r="H31" s="277" t="s">
        <v>1</v>
      </c>
      <c r="I31" s="277"/>
      <c r="J31" s="277"/>
      <c r="K31" s="277"/>
    </row>
    <row r="32" spans="1:11">
      <c r="B32" s="277" t="s">
        <v>8372</v>
      </c>
      <c r="C32" s="25" t="s">
        <v>8373</v>
      </c>
      <c r="D32" s="277"/>
      <c r="E32" s="25"/>
      <c r="F32" s="277">
        <v>7300</v>
      </c>
      <c r="G32" s="277"/>
      <c r="H32" s="277"/>
      <c r="I32" s="277"/>
      <c r="J32" s="277"/>
      <c r="K32" s="277"/>
    </row>
    <row r="33" spans="1:11">
      <c r="B33" s="277" t="s">
        <v>8338</v>
      </c>
      <c r="C33" s="25" t="s">
        <v>8339</v>
      </c>
      <c r="D33" s="277"/>
      <c r="E33" s="25"/>
      <c r="F33" s="277">
        <v>6900</v>
      </c>
      <c r="G33" s="277"/>
      <c r="H33" s="277"/>
      <c r="I33" s="277"/>
      <c r="J33" s="277"/>
      <c r="K33" s="277"/>
    </row>
    <row r="34" spans="1:11">
      <c r="B34" s="277" t="s">
        <v>8374</v>
      </c>
      <c r="C34" s="25" t="s">
        <v>8375</v>
      </c>
      <c r="D34" s="277"/>
      <c r="E34" s="25"/>
      <c r="F34" s="277">
        <v>6900</v>
      </c>
      <c r="G34" s="277"/>
      <c r="H34" s="277"/>
      <c r="I34" s="277"/>
      <c r="J34" s="277"/>
      <c r="K34" s="277"/>
    </row>
    <row r="35" spans="1:11">
      <c r="B35" s="277" t="s">
        <v>8376</v>
      </c>
      <c r="C35" s="25" t="s">
        <v>8377</v>
      </c>
      <c r="D35" s="277"/>
      <c r="E35" s="25"/>
      <c r="F35" s="277">
        <v>6700</v>
      </c>
      <c r="G35" s="277"/>
      <c r="H35" s="277"/>
      <c r="I35" s="277"/>
      <c r="J35" s="277"/>
      <c r="K35" s="277"/>
    </row>
    <row r="36" spans="1:11">
      <c r="B36" s="277" t="s">
        <v>8378</v>
      </c>
      <c r="C36" s="25" t="s">
        <v>8379</v>
      </c>
      <c r="D36" s="277"/>
      <c r="E36" s="25"/>
      <c r="F36" s="277">
        <v>6500</v>
      </c>
      <c r="G36" s="277"/>
      <c r="H36" s="277"/>
      <c r="I36" s="277"/>
      <c r="J36" s="277"/>
      <c r="K36" s="277"/>
    </row>
    <row r="37" spans="1:11">
      <c r="B37" s="277" t="s">
        <v>8851</v>
      </c>
      <c r="C37" s="25" t="s">
        <v>8850</v>
      </c>
      <c r="D37" s="277"/>
      <c r="E37" s="25"/>
      <c r="F37" s="277">
        <v>6500</v>
      </c>
      <c r="G37" s="277"/>
      <c r="H37" s="277" t="s">
        <v>1</v>
      </c>
      <c r="I37" s="277"/>
      <c r="J37" s="277"/>
      <c r="K37" s="277"/>
    </row>
    <row r="38" spans="1:11">
      <c r="B38" s="277" t="s">
        <v>8381</v>
      </c>
      <c r="C38" s="25" t="s">
        <v>8380</v>
      </c>
      <c r="D38" s="277" t="s">
        <v>8697</v>
      </c>
      <c r="E38" s="25"/>
      <c r="F38" s="277">
        <v>6500</v>
      </c>
      <c r="G38" s="277"/>
      <c r="H38" s="277" t="s">
        <v>1</v>
      </c>
      <c r="I38" s="277"/>
      <c r="J38" s="277"/>
      <c r="K38" s="277"/>
    </row>
    <row r="39" spans="1:11">
      <c r="B39" s="277" t="s">
        <v>8382</v>
      </c>
      <c r="C39" s="25" t="s">
        <v>8383</v>
      </c>
      <c r="D39" s="277"/>
      <c r="E39" s="25"/>
      <c r="F39" s="277">
        <v>6300</v>
      </c>
      <c r="G39" s="277"/>
      <c r="H39" s="277"/>
      <c r="I39" s="277"/>
      <c r="J39" s="277"/>
      <c r="K39" s="277"/>
    </row>
    <row r="40" spans="1:11">
      <c r="A40" s="277"/>
      <c r="B40" s="277" t="s">
        <v>5258</v>
      </c>
      <c r="C40" s="25" t="s">
        <v>6217</v>
      </c>
      <c r="D40" s="277" t="s">
        <v>2594</v>
      </c>
      <c r="E40" s="277"/>
      <c r="F40" s="277">
        <v>6000</v>
      </c>
      <c r="G40" s="277"/>
      <c r="H40" s="277" t="s">
        <v>8232</v>
      </c>
      <c r="I40" s="277"/>
      <c r="J40" s="277"/>
      <c r="K40" s="277"/>
    </row>
    <row r="41" spans="1:11">
      <c r="A41" s="277"/>
      <c r="B41" s="277" t="s">
        <v>8340</v>
      </c>
      <c r="C41" s="25" t="s">
        <v>8341</v>
      </c>
      <c r="D41" s="277"/>
      <c r="E41" s="25"/>
      <c r="F41" s="277">
        <v>5900</v>
      </c>
      <c r="G41" s="277"/>
      <c r="H41" s="277"/>
      <c r="I41" s="277"/>
      <c r="J41" s="277"/>
      <c r="K41" s="277"/>
    </row>
    <row r="42" spans="1:11">
      <c r="A42" s="277"/>
      <c r="B42" s="277" t="s">
        <v>8384</v>
      </c>
      <c r="C42" s="25" t="s">
        <v>8342</v>
      </c>
      <c r="D42" s="277"/>
      <c r="E42" s="25"/>
      <c r="F42" s="277">
        <v>5900</v>
      </c>
      <c r="G42" s="277"/>
      <c r="H42" s="277"/>
      <c r="I42" s="277"/>
      <c r="J42" s="277"/>
      <c r="K42" s="277"/>
    </row>
    <row r="43" spans="1:11">
      <c r="A43" s="277"/>
      <c r="B43" s="277" t="s">
        <v>8853</v>
      </c>
      <c r="C43" s="25" t="s">
        <v>8852</v>
      </c>
      <c r="D43" s="277"/>
      <c r="E43" s="25"/>
      <c r="F43" s="277">
        <v>5600</v>
      </c>
      <c r="G43" s="277"/>
      <c r="H43" s="277"/>
      <c r="I43" s="277"/>
      <c r="J43" s="277"/>
      <c r="K43" s="277"/>
    </row>
    <row r="44" spans="1:11">
      <c r="A44" s="277"/>
      <c r="B44" s="277" t="s">
        <v>8343</v>
      </c>
      <c r="C44" s="25" t="s">
        <v>8344</v>
      </c>
      <c r="D44" s="277"/>
      <c r="E44" s="25"/>
      <c r="F44" s="277">
        <v>5500</v>
      </c>
      <c r="G44" s="277"/>
      <c r="H44" s="277"/>
      <c r="I44" s="277"/>
      <c r="J44" s="277"/>
      <c r="K44" s="277"/>
    </row>
    <row r="45" spans="1:11">
      <c r="A45" s="277"/>
      <c r="B45" s="277" t="s">
        <v>8346</v>
      </c>
      <c r="C45" s="25" t="s">
        <v>8345</v>
      </c>
      <c r="D45" s="277"/>
      <c r="E45" s="25"/>
      <c r="F45" s="277">
        <v>5500</v>
      </c>
      <c r="G45" s="277"/>
      <c r="H45" s="277"/>
      <c r="I45" s="277"/>
      <c r="J45" s="277"/>
      <c r="K45" s="277"/>
    </row>
    <row r="46" spans="1:11">
      <c r="A46" s="277"/>
      <c r="B46" s="277" t="s">
        <v>8855</v>
      </c>
      <c r="C46" s="25" t="s">
        <v>8854</v>
      </c>
      <c r="D46" s="277"/>
      <c r="E46" s="25"/>
      <c r="F46" s="277">
        <v>4700</v>
      </c>
      <c r="G46" s="277"/>
      <c r="H46" s="277"/>
      <c r="I46" s="277" t="s">
        <v>8882</v>
      </c>
      <c r="J46" s="277"/>
      <c r="K46" s="277"/>
    </row>
    <row r="47" spans="1:11">
      <c r="A47" s="277"/>
      <c r="B47" s="277" t="s">
        <v>8385</v>
      </c>
      <c r="C47" s="25" t="s">
        <v>8386</v>
      </c>
      <c r="D47" s="277"/>
      <c r="E47" s="25"/>
      <c r="F47" s="277">
        <v>4600</v>
      </c>
      <c r="G47" s="277"/>
      <c r="H47" s="277"/>
      <c r="I47" s="277"/>
      <c r="J47" s="277"/>
      <c r="K47" s="277"/>
    </row>
    <row r="48" spans="1:11">
      <c r="B48" s="277" t="s">
        <v>8347</v>
      </c>
      <c r="C48" s="25" t="s">
        <v>8348</v>
      </c>
      <c r="D48" s="277"/>
      <c r="E48" s="25"/>
      <c r="F48" s="277">
        <v>4400</v>
      </c>
      <c r="G48" s="277"/>
      <c r="H48" s="277"/>
      <c r="I48" s="277"/>
      <c r="J48" s="277"/>
      <c r="K48" s="277"/>
    </row>
    <row r="49" spans="1:11">
      <c r="A49" s="277"/>
      <c r="B49" s="277" t="s">
        <v>6220</v>
      </c>
      <c r="C49" s="25" t="s">
        <v>6221</v>
      </c>
      <c r="D49" s="277"/>
      <c r="E49" s="277"/>
      <c r="F49" s="277">
        <v>4300</v>
      </c>
      <c r="G49" s="277"/>
      <c r="H49" s="277"/>
      <c r="I49" s="277"/>
      <c r="J49" s="277"/>
      <c r="K49" s="277"/>
    </row>
    <row r="50" spans="1:11">
      <c r="A50" s="277"/>
      <c r="B50" s="277" t="s">
        <v>8349</v>
      </c>
      <c r="C50" s="277"/>
      <c r="D50" s="277"/>
      <c r="E50" s="25"/>
      <c r="F50" s="277">
        <v>4000</v>
      </c>
      <c r="G50" s="277"/>
      <c r="H50" s="277"/>
      <c r="I50" s="277"/>
      <c r="J50" s="277"/>
      <c r="K50" s="277"/>
    </row>
    <row r="51" spans="1:11" ht="15">
      <c r="A51" s="277"/>
      <c r="B51" s="277" t="s">
        <v>8390</v>
      </c>
      <c r="C51" s="44" t="s">
        <v>8389</v>
      </c>
      <c r="D51" s="277"/>
      <c r="E51" s="25"/>
      <c r="F51" s="277">
        <v>3900</v>
      </c>
      <c r="G51" s="277"/>
      <c r="H51" s="277"/>
      <c r="I51" s="277"/>
      <c r="J51" s="277"/>
      <c r="K51" s="277"/>
    </row>
    <row r="52" spans="1:11" ht="15">
      <c r="A52" s="277"/>
      <c r="B52" s="277" t="s">
        <v>8388</v>
      </c>
      <c r="C52" s="44" t="s">
        <v>8387</v>
      </c>
      <c r="D52" s="277"/>
      <c r="E52" s="25"/>
      <c r="F52" s="277">
        <v>3700</v>
      </c>
      <c r="G52" s="277"/>
      <c r="H52" s="277"/>
      <c r="I52" s="277" t="s">
        <v>3847</v>
      </c>
      <c r="J52" s="277"/>
      <c r="K52" s="277"/>
    </row>
    <row r="53" spans="1:11">
      <c r="A53" s="277"/>
      <c r="B53" s="277" t="s">
        <v>8350</v>
      </c>
      <c r="C53" s="277"/>
      <c r="D53" s="277"/>
      <c r="E53" s="25"/>
      <c r="F53" s="277">
        <v>3600</v>
      </c>
      <c r="G53" s="277"/>
      <c r="H53" s="277"/>
      <c r="I53" s="277"/>
      <c r="J53" s="277"/>
      <c r="K53" s="277"/>
    </row>
    <row r="54" spans="1:11">
      <c r="A54" s="277"/>
      <c r="B54" s="277" t="s">
        <v>7886</v>
      </c>
      <c r="C54" s="25" t="s">
        <v>7887</v>
      </c>
      <c r="D54" s="277"/>
      <c r="E54" s="277"/>
      <c r="F54" s="277">
        <v>3600</v>
      </c>
      <c r="G54" s="277" t="s">
        <v>8233</v>
      </c>
      <c r="H54" s="277" t="s">
        <v>8232</v>
      </c>
      <c r="I54" s="277" t="s">
        <v>8883</v>
      </c>
      <c r="J54" s="277"/>
      <c r="K54" s="277"/>
    </row>
    <row r="55" spans="1:11">
      <c r="A55" s="277"/>
      <c r="B55" s="277" t="s">
        <v>8391</v>
      </c>
      <c r="C55" s="25" t="s">
        <v>8392</v>
      </c>
      <c r="D55" s="277"/>
      <c r="E55" s="277"/>
      <c r="F55" s="277">
        <v>3600</v>
      </c>
      <c r="G55" s="277"/>
      <c r="H55" s="277"/>
      <c r="I55" s="277"/>
      <c r="J55" s="277"/>
      <c r="K55" s="277"/>
    </row>
    <row r="56" spans="1:11">
      <c r="A56" s="277"/>
      <c r="B56" s="277" t="s">
        <v>8394</v>
      </c>
      <c r="C56" s="25" t="s">
        <v>8393</v>
      </c>
      <c r="D56" s="277"/>
      <c r="E56" s="277"/>
      <c r="F56" s="277">
        <v>3500</v>
      </c>
      <c r="G56" s="277"/>
      <c r="H56" s="277"/>
      <c r="I56" s="277"/>
      <c r="J56" s="277"/>
      <c r="K56" s="277"/>
    </row>
    <row r="57" spans="1:11" ht="14">
      <c r="A57" s="277"/>
      <c r="B57" s="277" t="s">
        <v>8100</v>
      </c>
      <c r="C57" s="28" t="s">
        <v>8101</v>
      </c>
      <c r="D57" s="277"/>
      <c r="E57" s="25"/>
      <c r="F57" s="277">
        <v>3100</v>
      </c>
      <c r="G57" s="277"/>
      <c r="H57" s="277"/>
      <c r="I57" s="277"/>
      <c r="J57" s="277"/>
      <c r="K57" s="277"/>
    </row>
    <row r="58" spans="1:11" ht="14">
      <c r="B58" s="277" t="s">
        <v>8351</v>
      </c>
      <c r="C58" s="28"/>
      <c r="D58" s="277"/>
      <c r="E58" s="25"/>
      <c r="F58" s="277">
        <v>3000</v>
      </c>
      <c r="G58" s="277"/>
      <c r="H58" s="277"/>
      <c r="I58" s="277"/>
      <c r="J58" s="277"/>
      <c r="K58" s="277"/>
    </row>
    <row r="59" spans="1:11">
      <c r="B59" s="277" t="s">
        <v>8352</v>
      </c>
      <c r="C59" s="277" t="s">
        <v>8395</v>
      </c>
      <c r="D59" s="277" t="s">
        <v>8353</v>
      </c>
      <c r="E59" s="277"/>
      <c r="F59" s="277">
        <v>2900</v>
      </c>
      <c r="G59" s="277"/>
      <c r="H59" s="277"/>
      <c r="I59" s="277"/>
      <c r="J59" s="277"/>
      <c r="K59" s="277"/>
    </row>
    <row r="60" spans="1:11">
      <c r="B60" s="277" t="s">
        <v>8396</v>
      </c>
      <c r="C60" s="277" t="s">
        <v>8397</v>
      </c>
      <c r="D60" s="277"/>
      <c r="E60" s="277"/>
      <c r="F60" s="277">
        <v>2800</v>
      </c>
      <c r="G60" s="277"/>
      <c r="H60" s="277"/>
      <c r="I60" s="277"/>
      <c r="J60" s="277"/>
      <c r="K60" s="277"/>
    </row>
    <row r="61" spans="1:11" ht="14">
      <c r="B61" s="277" t="s">
        <v>8338</v>
      </c>
      <c r="C61" s="28"/>
      <c r="D61" s="277"/>
      <c r="E61" s="25"/>
      <c r="F61" s="277">
        <v>2800</v>
      </c>
      <c r="G61" s="277"/>
      <c r="H61" s="277"/>
      <c r="I61" s="277"/>
      <c r="J61" s="277"/>
      <c r="K61" s="277"/>
    </row>
    <row r="62" spans="1:11" ht="14">
      <c r="B62" s="277" t="s">
        <v>8354</v>
      </c>
      <c r="C62" s="28"/>
      <c r="D62" s="277"/>
      <c r="E62" s="25"/>
      <c r="F62" s="277">
        <v>2800</v>
      </c>
      <c r="G62" s="277"/>
      <c r="H62" s="277"/>
      <c r="I62" s="277"/>
      <c r="J62" s="277"/>
      <c r="K62" s="277"/>
    </row>
    <row r="63" spans="1:11" ht="14">
      <c r="B63" s="277" t="s">
        <v>8399</v>
      </c>
      <c r="C63" s="28" t="s">
        <v>8398</v>
      </c>
      <c r="D63" s="277"/>
      <c r="E63" s="25"/>
      <c r="F63" s="277">
        <v>2700</v>
      </c>
      <c r="G63" s="277"/>
      <c r="H63" s="277"/>
      <c r="I63" s="277"/>
      <c r="J63" s="277"/>
      <c r="K63" s="277"/>
    </row>
    <row r="64" spans="1:11" ht="14">
      <c r="B64" s="277" t="s">
        <v>8858</v>
      </c>
      <c r="C64" s="28" t="s">
        <v>8859</v>
      </c>
      <c r="D64" s="277"/>
      <c r="E64" s="25"/>
      <c r="F64" s="277">
        <v>2600</v>
      </c>
      <c r="G64" s="277"/>
      <c r="H64" s="277"/>
      <c r="I64" s="277"/>
      <c r="J64" s="277"/>
      <c r="K64" s="277"/>
    </row>
    <row r="65" spans="2:11" ht="14">
      <c r="B65" s="277" t="s">
        <v>8400</v>
      </c>
      <c r="C65" s="28" t="s">
        <v>8401</v>
      </c>
      <c r="D65" s="277"/>
      <c r="E65" s="25"/>
      <c r="F65" s="277">
        <v>2600</v>
      </c>
      <c r="G65" s="277"/>
      <c r="H65" s="277"/>
      <c r="I65" s="277"/>
      <c r="J65" s="277"/>
      <c r="K65" s="277"/>
    </row>
    <row r="66" spans="2:11" ht="14">
      <c r="B66" s="277" t="s">
        <v>8402</v>
      </c>
      <c r="C66" s="28" t="s">
        <v>8403</v>
      </c>
      <c r="D66" s="277"/>
      <c r="E66" s="25"/>
      <c r="F66" s="277">
        <v>2500</v>
      </c>
      <c r="G66" s="277"/>
      <c r="H66" s="277"/>
      <c r="I66" s="277"/>
      <c r="J66" s="277"/>
      <c r="K66" s="277"/>
    </row>
    <row r="67" spans="2:11" ht="14">
      <c r="B67" s="277" t="s">
        <v>8405</v>
      </c>
      <c r="C67" s="28" t="s">
        <v>8404</v>
      </c>
      <c r="D67" s="277"/>
      <c r="E67" s="25"/>
      <c r="F67" s="277">
        <v>2400</v>
      </c>
      <c r="G67" s="277"/>
      <c r="H67" s="277"/>
      <c r="I67" s="277"/>
      <c r="J67" s="277"/>
      <c r="K67" s="277"/>
    </row>
    <row r="68" spans="2:11">
      <c r="B68" s="277" t="s">
        <v>8258</v>
      </c>
      <c r="C68" s="277" t="s">
        <v>8259</v>
      </c>
      <c r="D68" s="277"/>
      <c r="E68" s="277"/>
      <c r="F68" s="277">
        <v>2300</v>
      </c>
      <c r="G68" s="277"/>
      <c r="H68" s="277"/>
      <c r="I68" s="277"/>
      <c r="J68" s="277"/>
      <c r="K68" s="277"/>
    </row>
    <row r="69" spans="2:11">
      <c r="B69" s="277" t="s">
        <v>8406</v>
      </c>
      <c r="C69" s="277" t="s">
        <v>8408</v>
      </c>
      <c r="D69" s="277"/>
      <c r="E69" s="277"/>
      <c r="F69" s="277">
        <v>2300</v>
      </c>
      <c r="G69" s="277"/>
      <c r="H69" s="277"/>
      <c r="I69" s="277"/>
      <c r="J69" s="277"/>
      <c r="K69" s="277"/>
    </row>
    <row r="70" spans="2:11">
      <c r="B70" s="277" t="s">
        <v>8407</v>
      </c>
      <c r="C70" s="277" t="s">
        <v>8409</v>
      </c>
      <c r="D70" s="277"/>
      <c r="E70" s="277"/>
      <c r="F70" s="277">
        <v>2300</v>
      </c>
      <c r="G70" s="277"/>
      <c r="H70" s="277"/>
      <c r="I70" s="277" t="s">
        <v>782</v>
      </c>
      <c r="J70" s="277"/>
      <c r="K70" s="277"/>
    </row>
    <row r="71" spans="2:11">
      <c r="B71" s="277" t="s">
        <v>8410</v>
      </c>
      <c r="C71" s="277" t="s">
        <v>8411</v>
      </c>
      <c r="D71" s="277"/>
      <c r="E71" s="277"/>
      <c r="F71" s="277">
        <v>2300</v>
      </c>
      <c r="G71" s="277"/>
      <c r="H71" s="277"/>
      <c r="I71" s="277"/>
      <c r="J71" s="277"/>
      <c r="K71" s="277"/>
    </row>
    <row r="72" spans="2:11">
      <c r="B72" s="277" t="s">
        <v>5194</v>
      </c>
      <c r="C72" s="277" t="s">
        <v>8412</v>
      </c>
      <c r="D72" s="277"/>
      <c r="E72" s="277"/>
      <c r="F72" s="277">
        <v>2300</v>
      </c>
      <c r="G72" s="277"/>
      <c r="H72" s="277"/>
      <c r="I72" s="277"/>
      <c r="J72" s="277"/>
      <c r="K72" s="277"/>
    </row>
    <row r="73" spans="2:11">
      <c r="B73" s="277" t="s">
        <v>8861</v>
      </c>
      <c r="C73" s="277" t="s">
        <v>8860</v>
      </c>
      <c r="D73" s="277"/>
      <c r="E73" s="277"/>
      <c r="F73" s="277">
        <v>2300</v>
      </c>
      <c r="G73" s="277"/>
      <c r="H73" s="277"/>
      <c r="I73" s="277"/>
      <c r="J73" s="277"/>
      <c r="K73" s="277"/>
    </row>
    <row r="74" spans="2:11">
      <c r="B74" s="277" t="s">
        <v>8355</v>
      </c>
      <c r="C74" s="277" t="s">
        <v>8415</v>
      </c>
      <c r="D74" s="277"/>
      <c r="E74" s="277"/>
      <c r="F74" s="277">
        <v>2200</v>
      </c>
      <c r="G74" s="277"/>
      <c r="H74" s="277"/>
      <c r="I74" s="277"/>
      <c r="J74" s="277"/>
      <c r="K74" s="277"/>
    </row>
    <row r="75" spans="2:11">
      <c r="B75" s="277" t="s">
        <v>8414</v>
      </c>
      <c r="C75" s="277" t="s">
        <v>8413</v>
      </c>
      <c r="D75" s="277"/>
      <c r="E75" s="277"/>
      <c r="F75" s="277">
        <v>2200</v>
      </c>
      <c r="G75" s="277"/>
      <c r="H75" s="277"/>
      <c r="I75" s="277"/>
      <c r="J75" s="277"/>
      <c r="K75" s="277"/>
    </row>
    <row r="76" spans="2:11">
      <c r="B76" s="277" t="s">
        <v>8417</v>
      </c>
      <c r="C76" s="277" t="s">
        <v>8416</v>
      </c>
      <c r="D76" s="277"/>
      <c r="E76" s="277"/>
      <c r="F76" s="277">
        <v>2200</v>
      </c>
      <c r="G76" s="277"/>
      <c r="H76" s="277"/>
      <c r="I76" s="277"/>
      <c r="J76" s="277"/>
      <c r="K76" s="277"/>
    </row>
    <row r="77" spans="2:11">
      <c r="B77" s="277" t="s">
        <v>8419</v>
      </c>
      <c r="C77" s="277" t="s">
        <v>8418</v>
      </c>
      <c r="D77" s="277"/>
      <c r="E77" s="277"/>
      <c r="F77" s="277">
        <v>2100</v>
      </c>
      <c r="G77" s="277"/>
      <c r="H77" s="277"/>
      <c r="I77" s="277"/>
      <c r="J77" s="277"/>
      <c r="K77" s="277"/>
    </row>
    <row r="78" spans="2:11">
      <c r="B78" s="277" t="s">
        <v>8420</v>
      </c>
      <c r="C78" s="277" t="s">
        <v>8423</v>
      </c>
      <c r="D78" s="277"/>
      <c r="E78" s="277"/>
      <c r="F78" s="277">
        <v>2100</v>
      </c>
      <c r="G78" s="277"/>
      <c r="H78" s="277"/>
      <c r="I78" s="277"/>
      <c r="J78" s="277"/>
      <c r="K78" s="277"/>
    </row>
    <row r="79" spans="2:11">
      <c r="B79" s="277" t="s">
        <v>8421</v>
      </c>
      <c r="C79" s="277" t="s">
        <v>8422</v>
      </c>
      <c r="D79" s="277"/>
      <c r="E79" s="277"/>
      <c r="F79" s="277">
        <v>2100</v>
      </c>
      <c r="G79" s="277"/>
      <c r="H79" s="277"/>
      <c r="I79" s="277"/>
      <c r="J79" s="277"/>
      <c r="K79" s="277"/>
    </row>
    <row r="80" spans="2:11">
      <c r="B80" s="277" t="s">
        <v>8424</v>
      </c>
      <c r="C80" s="277" t="s">
        <v>8425</v>
      </c>
      <c r="D80" s="277"/>
      <c r="E80" s="277"/>
      <c r="F80" s="277">
        <v>2100</v>
      </c>
      <c r="G80" s="277"/>
      <c r="H80" s="277"/>
      <c r="I80" s="277"/>
      <c r="J80" s="277"/>
      <c r="K80" s="277"/>
    </row>
    <row r="81" spans="1:11">
      <c r="B81" s="277" t="s">
        <v>8427</v>
      </c>
      <c r="C81" s="277" t="s">
        <v>8426</v>
      </c>
      <c r="D81" s="277"/>
      <c r="E81" s="277"/>
      <c r="F81" s="277">
        <v>2000</v>
      </c>
      <c r="G81" s="277"/>
      <c r="H81" s="277"/>
      <c r="I81" s="277"/>
      <c r="J81" s="277"/>
      <c r="K81" s="277"/>
    </row>
    <row r="82" spans="1:11">
      <c r="B82" s="277" t="s">
        <v>8429</v>
      </c>
      <c r="C82" s="277" t="s">
        <v>8428</v>
      </c>
      <c r="D82" s="277"/>
      <c r="E82" s="277"/>
      <c r="F82" s="277">
        <v>1900</v>
      </c>
      <c r="G82" s="277"/>
      <c r="H82" s="277"/>
      <c r="I82" s="277"/>
      <c r="J82" s="277"/>
      <c r="K82" s="277"/>
    </row>
    <row r="83" spans="1:11">
      <c r="B83" s="49" t="s">
        <v>8430</v>
      </c>
      <c r="C83" s="49" t="s">
        <v>8431</v>
      </c>
      <c r="D83" s="277"/>
      <c r="E83" s="277"/>
      <c r="F83" s="49">
        <v>1900</v>
      </c>
      <c r="G83" s="277"/>
      <c r="H83" s="277"/>
      <c r="I83" s="277"/>
      <c r="J83" s="277"/>
      <c r="K83" s="277"/>
    </row>
    <row r="84" spans="1:11">
      <c r="B84" s="277" t="s">
        <v>8432</v>
      </c>
      <c r="C84" s="277" t="s">
        <v>8433</v>
      </c>
      <c r="D84" s="277"/>
      <c r="E84" s="277"/>
      <c r="F84" s="277">
        <v>1800</v>
      </c>
      <c r="G84" s="277"/>
      <c r="H84" s="277"/>
      <c r="I84" s="277"/>
      <c r="J84" s="277"/>
      <c r="K84" s="277"/>
    </row>
    <row r="85" spans="1:11">
      <c r="B85" s="277" t="s">
        <v>8434</v>
      </c>
      <c r="C85" s="277" t="s">
        <v>8435</v>
      </c>
      <c r="D85" s="277"/>
      <c r="E85" s="277"/>
      <c r="F85" s="277">
        <v>1800</v>
      </c>
      <c r="G85" s="277"/>
      <c r="H85" s="277"/>
      <c r="I85" s="277"/>
      <c r="J85" s="277"/>
      <c r="K85" s="277"/>
    </row>
    <row r="86" spans="1:11">
      <c r="B86" s="277" t="s">
        <v>8436</v>
      </c>
      <c r="C86" s="277" t="s">
        <v>8437</v>
      </c>
      <c r="D86" s="277"/>
      <c r="E86" s="277"/>
      <c r="F86" s="277">
        <v>1800</v>
      </c>
      <c r="G86" s="277"/>
      <c r="H86" s="277"/>
      <c r="I86" s="277"/>
      <c r="J86" s="277"/>
      <c r="K86" s="277"/>
    </row>
    <row r="87" spans="1:11">
      <c r="B87" s="277" t="s">
        <v>8438</v>
      </c>
      <c r="C87" s="277" t="s">
        <v>8439</v>
      </c>
      <c r="D87" s="277"/>
      <c r="E87" s="277"/>
      <c r="F87" s="277">
        <v>1800</v>
      </c>
      <c r="G87" s="277"/>
      <c r="H87" s="277"/>
      <c r="I87" s="277"/>
      <c r="J87" s="277"/>
      <c r="K87" s="277"/>
    </row>
    <row r="88" spans="1:11">
      <c r="B88" s="277" t="s">
        <v>8440</v>
      </c>
      <c r="C88" s="277" t="s">
        <v>8441</v>
      </c>
      <c r="D88" s="277"/>
      <c r="E88" s="277"/>
      <c r="F88" s="277">
        <v>1700</v>
      </c>
      <c r="G88" s="277"/>
      <c r="H88" s="277"/>
      <c r="I88" s="277"/>
      <c r="J88" s="277"/>
      <c r="K88" s="277"/>
    </row>
    <row r="89" spans="1:11">
      <c r="B89" s="277" t="s">
        <v>8338</v>
      </c>
      <c r="C89" s="277" t="s">
        <v>8442</v>
      </c>
      <c r="D89" s="277"/>
      <c r="E89" s="277"/>
      <c r="F89" s="277">
        <v>1700</v>
      </c>
      <c r="G89" s="277"/>
      <c r="H89" s="277"/>
      <c r="I89" s="277"/>
      <c r="J89" s="277"/>
      <c r="K89" s="277"/>
    </row>
    <row r="90" spans="1:11">
      <c r="B90" s="277" t="s">
        <v>8444</v>
      </c>
      <c r="C90" s="277" t="s">
        <v>8443</v>
      </c>
      <c r="D90" s="277"/>
      <c r="E90" s="277"/>
      <c r="F90" s="277">
        <v>1700</v>
      </c>
      <c r="G90" s="277"/>
      <c r="H90" s="277"/>
      <c r="I90" s="277"/>
      <c r="J90" s="277"/>
      <c r="K90" s="277"/>
    </row>
    <row r="91" spans="1:11">
      <c r="B91" s="277" t="s">
        <v>8445</v>
      </c>
      <c r="C91" s="277" t="s">
        <v>8446</v>
      </c>
      <c r="D91" s="277"/>
      <c r="E91" s="277"/>
      <c r="F91" s="277">
        <v>1600</v>
      </c>
      <c r="G91" s="277"/>
      <c r="H91" s="277"/>
      <c r="I91" s="277"/>
      <c r="J91" s="277"/>
      <c r="K91" s="277"/>
    </row>
    <row r="92" spans="1:11">
      <c r="B92" s="277" t="s">
        <v>8447</v>
      </c>
      <c r="C92" s="277" t="s">
        <v>8448</v>
      </c>
      <c r="D92" s="277"/>
      <c r="E92" s="277"/>
      <c r="F92" s="277">
        <v>1600</v>
      </c>
      <c r="G92" s="277"/>
      <c r="H92" s="277"/>
      <c r="I92" s="277"/>
      <c r="J92" s="277"/>
      <c r="K92" s="277"/>
    </row>
    <row r="93" spans="1:11">
      <c r="B93" s="277" t="s">
        <v>8449</v>
      </c>
      <c r="C93" s="277" t="s">
        <v>8450</v>
      </c>
      <c r="D93" s="277"/>
      <c r="E93" s="277"/>
      <c r="F93" s="277">
        <v>1600</v>
      </c>
      <c r="G93" s="277"/>
      <c r="H93" s="277"/>
      <c r="I93" s="277"/>
      <c r="J93" s="277"/>
      <c r="K93" s="277"/>
    </row>
    <row r="94" spans="1:11" ht="14">
      <c r="A94" s="277"/>
      <c r="B94" s="277" t="s">
        <v>5206</v>
      </c>
      <c r="C94" s="28" t="s">
        <v>8323</v>
      </c>
      <c r="D94" s="277"/>
      <c r="E94" s="25"/>
      <c r="F94" s="277">
        <v>1600</v>
      </c>
      <c r="G94" s="277"/>
      <c r="H94" s="277"/>
      <c r="I94" s="277"/>
      <c r="J94" s="277"/>
      <c r="K94" s="277"/>
    </row>
    <row r="95" spans="1:11" ht="14">
      <c r="A95" s="277"/>
      <c r="B95" s="277" t="s">
        <v>8451</v>
      </c>
      <c r="C95" s="28" t="s">
        <v>8452</v>
      </c>
      <c r="D95" s="277"/>
      <c r="E95" s="25"/>
      <c r="F95" s="277">
        <v>1500</v>
      </c>
      <c r="G95" s="277"/>
      <c r="H95" s="277"/>
      <c r="I95" s="277"/>
      <c r="J95" s="277"/>
      <c r="K95" s="277"/>
    </row>
    <row r="96" spans="1:11" ht="14">
      <c r="A96" s="277"/>
      <c r="B96" s="277" t="s">
        <v>8454</v>
      </c>
      <c r="C96" s="28" t="s">
        <v>8453</v>
      </c>
      <c r="D96" s="277"/>
      <c r="E96" s="25"/>
      <c r="F96" s="277">
        <v>1500</v>
      </c>
      <c r="G96" s="277"/>
      <c r="H96" s="277"/>
      <c r="I96" s="277"/>
      <c r="J96" s="277"/>
      <c r="K96" s="277"/>
    </row>
    <row r="97" spans="1:11" ht="14">
      <c r="A97" s="277"/>
      <c r="B97" s="277" t="s">
        <v>8863</v>
      </c>
      <c r="C97" s="28" t="s">
        <v>8862</v>
      </c>
      <c r="D97" s="277"/>
      <c r="E97" s="25"/>
      <c r="F97" s="277">
        <v>1500</v>
      </c>
      <c r="G97" s="277"/>
      <c r="H97" s="277"/>
      <c r="I97" s="277"/>
      <c r="J97" s="277"/>
      <c r="K97" s="277"/>
    </row>
    <row r="98" spans="1:11" ht="14">
      <c r="A98" s="277"/>
      <c r="B98" s="277" t="s">
        <v>8455</v>
      </c>
      <c r="C98" s="28" t="s">
        <v>8456</v>
      </c>
      <c r="D98" s="277"/>
      <c r="E98" s="25"/>
      <c r="F98" s="277">
        <v>1500</v>
      </c>
      <c r="G98" s="277"/>
      <c r="H98" s="277"/>
      <c r="I98" s="277"/>
      <c r="J98" s="277"/>
      <c r="K98" s="277"/>
    </row>
    <row r="99" spans="1:11" ht="14">
      <c r="A99" s="277"/>
      <c r="B99" s="277" t="s">
        <v>8458</v>
      </c>
      <c r="C99" s="28" t="s">
        <v>8457</v>
      </c>
      <c r="D99" s="277"/>
      <c r="E99" s="25"/>
      <c r="F99" s="277">
        <v>1500</v>
      </c>
      <c r="G99" s="277"/>
      <c r="H99" s="277"/>
      <c r="I99" s="277"/>
      <c r="J99" s="277"/>
      <c r="K99" s="277"/>
    </row>
    <row r="100" spans="1:11" ht="14">
      <c r="A100" s="277"/>
      <c r="B100" s="277" t="s">
        <v>8460</v>
      </c>
      <c r="C100" s="28" t="s">
        <v>8459</v>
      </c>
      <c r="D100" s="277"/>
      <c r="E100" s="25"/>
      <c r="F100" s="277">
        <v>1400</v>
      </c>
      <c r="G100" s="277"/>
      <c r="H100" s="277"/>
      <c r="I100" s="277"/>
      <c r="J100" s="277"/>
      <c r="K100" s="277"/>
    </row>
    <row r="101" spans="1:11" ht="14">
      <c r="A101" s="277"/>
      <c r="B101" s="277" t="s">
        <v>8462</v>
      </c>
      <c r="C101" s="28" t="s">
        <v>8461</v>
      </c>
      <c r="D101" s="277"/>
      <c r="E101" s="25"/>
      <c r="F101" s="277">
        <v>1400</v>
      </c>
      <c r="G101" s="277"/>
      <c r="H101" s="277"/>
      <c r="I101" s="277"/>
      <c r="J101" s="277"/>
      <c r="K101" s="277"/>
    </row>
    <row r="102" spans="1:11" ht="14">
      <c r="A102" s="277"/>
      <c r="B102" s="277" t="s">
        <v>8463</v>
      </c>
      <c r="C102" s="28" t="s">
        <v>8464</v>
      </c>
      <c r="D102" s="277"/>
      <c r="E102" s="25"/>
      <c r="F102" s="277">
        <v>1400</v>
      </c>
      <c r="G102" s="277"/>
      <c r="H102" s="277"/>
      <c r="I102" s="277"/>
      <c r="J102" s="277"/>
      <c r="K102" s="277"/>
    </row>
    <row r="103" spans="1:11" ht="14">
      <c r="A103" s="277"/>
      <c r="B103" s="277" t="s">
        <v>8465</v>
      </c>
      <c r="C103" s="28" t="s">
        <v>8466</v>
      </c>
      <c r="D103" s="277"/>
      <c r="E103" s="25"/>
      <c r="F103" s="277">
        <v>1400</v>
      </c>
      <c r="G103" s="277"/>
      <c r="H103" s="277"/>
      <c r="I103" s="277"/>
      <c r="J103" s="277"/>
      <c r="K103" s="277"/>
    </row>
    <row r="104" spans="1:11" ht="14">
      <c r="A104" s="277"/>
      <c r="B104" s="277" t="s">
        <v>8468</v>
      </c>
      <c r="C104" s="28" t="s">
        <v>8467</v>
      </c>
      <c r="D104" s="277"/>
      <c r="E104" s="25"/>
      <c r="F104" s="277">
        <v>1300</v>
      </c>
      <c r="G104" s="277"/>
      <c r="H104" s="277"/>
      <c r="I104" s="277"/>
      <c r="J104" s="277"/>
      <c r="K104" s="277"/>
    </row>
    <row r="105" spans="1:11" ht="14">
      <c r="A105" s="277"/>
      <c r="B105" s="277" t="s">
        <v>8469</v>
      </c>
      <c r="C105" s="28" t="s">
        <v>8470</v>
      </c>
      <c r="D105" s="277"/>
      <c r="E105" s="25"/>
      <c r="F105" s="277">
        <v>1300</v>
      </c>
      <c r="G105" s="277"/>
      <c r="H105" s="277"/>
      <c r="I105" s="277"/>
      <c r="J105" s="277"/>
      <c r="K105" s="277"/>
    </row>
    <row r="106" spans="1:11" ht="14">
      <c r="A106" s="277"/>
      <c r="B106" s="277" t="s">
        <v>8472</v>
      </c>
      <c r="C106" s="28" t="s">
        <v>8471</v>
      </c>
      <c r="D106" s="277"/>
      <c r="E106" s="25"/>
      <c r="F106" s="277">
        <v>1300</v>
      </c>
      <c r="G106" s="277"/>
      <c r="H106" s="277"/>
      <c r="I106" s="277"/>
      <c r="J106" s="277"/>
      <c r="K106" s="277"/>
    </row>
    <row r="107" spans="1:11" ht="14">
      <c r="A107" s="277"/>
      <c r="B107" s="277" t="s">
        <v>8473</v>
      </c>
      <c r="C107" s="28" t="s">
        <v>8474</v>
      </c>
      <c r="D107" s="277"/>
      <c r="E107" s="25"/>
      <c r="F107" s="277">
        <v>1300</v>
      </c>
      <c r="G107" s="277"/>
      <c r="H107" s="277"/>
      <c r="I107" s="277"/>
      <c r="J107" s="277"/>
      <c r="K107" s="277"/>
    </row>
    <row r="108" spans="1:11" ht="14">
      <c r="A108" s="277"/>
      <c r="B108" s="277" t="s">
        <v>8475</v>
      </c>
      <c r="C108" s="28" t="s">
        <v>8476</v>
      </c>
      <c r="D108" s="277"/>
      <c r="E108" s="25"/>
      <c r="F108" s="277">
        <v>1200</v>
      </c>
      <c r="G108" s="277"/>
      <c r="H108" s="277"/>
      <c r="I108" s="277"/>
      <c r="J108" s="277"/>
      <c r="K108" s="277"/>
    </row>
    <row r="109" spans="1:11" ht="14">
      <c r="A109" s="277"/>
      <c r="B109" s="277" t="s">
        <v>8477</v>
      </c>
      <c r="C109" s="28" t="s">
        <v>8478</v>
      </c>
      <c r="D109" s="277"/>
      <c r="E109" s="25"/>
      <c r="F109" s="277">
        <v>1200</v>
      </c>
      <c r="G109" s="277"/>
      <c r="H109" s="277"/>
      <c r="I109" s="277"/>
      <c r="J109" s="277"/>
      <c r="K109" s="277"/>
    </row>
    <row r="110" spans="1:11" ht="14">
      <c r="A110" s="277"/>
      <c r="B110" s="277" t="s">
        <v>8479</v>
      </c>
      <c r="C110" s="28" t="s">
        <v>8480</v>
      </c>
      <c r="D110" s="277"/>
      <c r="E110" s="25"/>
      <c r="F110" s="277">
        <v>1200</v>
      </c>
      <c r="G110" s="277"/>
      <c r="H110" s="277"/>
      <c r="I110" s="277"/>
      <c r="J110" s="277"/>
      <c r="K110" s="277"/>
    </row>
    <row r="111" spans="1:11" ht="14">
      <c r="A111" s="277"/>
      <c r="B111" s="277" t="s">
        <v>8481</v>
      </c>
      <c r="C111" s="28" t="s">
        <v>8482</v>
      </c>
      <c r="D111" s="277"/>
      <c r="E111" s="25"/>
      <c r="F111" s="277">
        <v>1200</v>
      </c>
      <c r="G111" s="277"/>
      <c r="H111" s="277"/>
      <c r="I111" s="277"/>
      <c r="J111" s="277"/>
      <c r="K111" s="277"/>
    </row>
    <row r="112" spans="1:11" ht="14">
      <c r="A112" s="277"/>
      <c r="B112" s="277" t="s">
        <v>8484</v>
      </c>
      <c r="C112" s="28" t="s">
        <v>8483</v>
      </c>
      <c r="D112" s="277"/>
      <c r="E112" s="25"/>
      <c r="F112" s="277">
        <v>1200</v>
      </c>
      <c r="G112" s="277"/>
      <c r="H112" s="277"/>
      <c r="I112" s="277"/>
      <c r="J112" s="277"/>
      <c r="K112" s="277"/>
    </row>
    <row r="113" spans="1:11" ht="14">
      <c r="A113" s="277"/>
      <c r="B113" s="277" t="s">
        <v>8485</v>
      </c>
      <c r="C113" s="28" t="s">
        <v>8486</v>
      </c>
      <c r="D113" s="277"/>
      <c r="E113" s="25"/>
      <c r="F113" s="277">
        <v>1200</v>
      </c>
      <c r="G113" s="277"/>
      <c r="H113" s="277"/>
      <c r="I113" s="277"/>
      <c r="J113" s="277"/>
      <c r="K113" s="277"/>
    </row>
    <row r="114" spans="1:11" ht="14">
      <c r="A114" s="277"/>
      <c r="B114" s="277" t="s">
        <v>8488</v>
      </c>
      <c r="C114" s="28" t="s">
        <v>8487</v>
      </c>
      <c r="D114" s="277"/>
      <c r="E114" s="25"/>
      <c r="F114" s="277">
        <v>1200</v>
      </c>
      <c r="G114" s="277"/>
      <c r="H114" s="277"/>
      <c r="I114" s="277"/>
      <c r="J114" s="277"/>
      <c r="K114" s="277"/>
    </row>
    <row r="115" spans="1:11" ht="14">
      <c r="A115" s="277"/>
      <c r="B115" s="277" t="s">
        <v>8489</v>
      </c>
      <c r="C115" s="28" t="s">
        <v>8490</v>
      </c>
      <c r="D115" s="277"/>
      <c r="E115" s="25"/>
      <c r="F115" s="277">
        <v>1200</v>
      </c>
      <c r="G115" s="277"/>
      <c r="H115" s="277"/>
      <c r="I115" s="277"/>
      <c r="J115" s="277"/>
      <c r="K115" s="277"/>
    </row>
    <row r="116" spans="1:11" ht="14">
      <c r="A116" s="277"/>
      <c r="B116" s="277" t="s">
        <v>8492</v>
      </c>
      <c r="C116" s="28" t="s">
        <v>8491</v>
      </c>
      <c r="D116" s="277"/>
      <c r="E116" s="25"/>
      <c r="F116" s="277">
        <v>1200</v>
      </c>
      <c r="G116" s="277"/>
      <c r="H116" s="277"/>
      <c r="I116" s="277"/>
      <c r="J116" s="277"/>
      <c r="K116" s="277"/>
    </row>
    <row r="117" spans="1:11" ht="14">
      <c r="A117" s="277"/>
      <c r="B117" s="277" t="s">
        <v>8494</v>
      </c>
      <c r="C117" s="28" t="s">
        <v>8493</v>
      </c>
      <c r="D117" s="277"/>
      <c r="E117" s="25"/>
      <c r="F117" s="277">
        <v>1200</v>
      </c>
      <c r="G117" s="277"/>
      <c r="H117" s="277"/>
      <c r="I117" s="277"/>
      <c r="J117" s="277"/>
      <c r="K117" s="277"/>
    </row>
    <row r="118" spans="1:11" ht="14">
      <c r="A118" s="277"/>
      <c r="B118" s="277" t="s">
        <v>8496</v>
      </c>
      <c r="C118" s="28" t="s">
        <v>8495</v>
      </c>
      <c r="D118" s="277"/>
      <c r="E118" s="25"/>
      <c r="F118" s="277">
        <v>1100</v>
      </c>
      <c r="G118" s="277"/>
      <c r="H118" s="277"/>
      <c r="I118" s="277"/>
      <c r="J118" s="277"/>
      <c r="K118" s="277"/>
    </row>
    <row r="119" spans="1:11" ht="14">
      <c r="A119" s="277"/>
      <c r="B119" s="49" t="s">
        <v>8269</v>
      </c>
      <c r="C119" s="340" t="s">
        <v>8497</v>
      </c>
      <c r="D119" s="49"/>
      <c r="E119" s="25" t="s">
        <v>8270</v>
      </c>
      <c r="F119" s="49">
        <v>1100</v>
      </c>
      <c r="G119" s="277"/>
      <c r="H119" s="277"/>
      <c r="I119" s="277"/>
      <c r="J119" s="277"/>
      <c r="K119" s="277"/>
    </row>
    <row r="120" spans="1:11" ht="14">
      <c r="A120" s="277"/>
      <c r="B120" s="277" t="s">
        <v>8498</v>
      </c>
      <c r="C120" s="28" t="s">
        <v>8499</v>
      </c>
      <c r="D120" s="49"/>
      <c r="E120" s="37"/>
      <c r="F120" s="277">
        <v>1100</v>
      </c>
      <c r="G120" s="277"/>
      <c r="H120" s="277"/>
      <c r="I120" s="277"/>
      <c r="J120" s="277"/>
      <c r="K120" s="277"/>
    </row>
    <row r="121" spans="1:11" ht="14">
      <c r="A121" s="277"/>
      <c r="B121" s="277" t="s">
        <v>8500</v>
      </c>
      <c r="C121" s="28" t="s">
        <v>8501</v>
      </c>
      <c r="D121" s="49"/>
      <c r="E121" s="37"/>
      <c r="F121" s="277">
        <v>1100</v>
      </c>
      <c r="G121" s="277"/>
      <c r="H121" s="277"/>
      <c r="I121" s="277"/>
      <c r="J121" s="277"/>
      <c r="K121" s="277"/>
    </row>
    <row r="122" spans="1:11" ht="14">
      <c r="A122" s="277"/>
      <c r="B122" s="277" t="s">
        <v>8502</v>
      </c>
      <c r="C122" s="28" t="s">
        <v>8503</v>
      </c>
      <c r="D122" s="49"/>
      <c r="E122" s="37"/>
      <c r="F122" s="277">
        <v>1100</v>
      </c>
      <c r="G122" s="277"/>
      <c r="H122" s="277"/>
      <c r="I122" s="277"/>
      <c r="J122" s="277"/>
      <c r="K122" s="277"/>
    </row>
    <row r="123" spans="1:11" ht="14">
      <c r="A123" s="277"/>
      <c r="B123" s="277" t="s">
        <v>8504</v>
      </c>
      <c r="C123" s="28" t="s">
        <v>8505</v>
      </c>
      <c r="D123" s="49"/>
      <c r="E123" s="37"/>
      <c r="F123" s="277">
        <v>1100</v>
      </c>
      <c r="G123" s="277"/>
      <c r="H123" s="277"/>
      <c r="I123" s="277"/>
      <c r="J123" s="277"/>
      <c r="K123" s="277"/>
    </row>
    <row r="124" spans="1:11" ht="14">
      <c r="A124" s="277"/>
      <c r="B124" s="277" t="s">
        <v>8507</v>
      </c>
      <c r="C124" s="28" t="s">
        <v>8506</v>
      </c>
      <c r="D124" s="49"/>
      <c r="E124" s="37"/>
      <c r="F124" s="277">
        <v>1100</v>
      </c>
      <c r="G124" s="277"/>
      <c r="H124" s="277"/>
      <c r="I124" s="277"/>
      <c r="J124" s="277"/>
      <c r="K124" s="277"/>
    </row>
    <row r="125" spans="1:11" ht="14">
      <c r="A125" s="277"/>
      <c r="B125" s="277" t="s">
        <v>8508</v>
      </c>
      <c r="C125" s="28" t="s">
        <v>8509</v>
      </c>
      <c r="D125" s="49"/>
      <c r="E125" s="37"/>
      <c r="F125" s="277">
        <v>1100</v>
      </c>
      <c r="G125" s="277"/>
      <c r="H125" s="277"/>
      <c r="I125" s="277"/>
      <c r="J125" s="277"/>
      <c r="K125" s="277"/>
    </row>
    <row r="126" spans="1:11" ht="14">
      <c r="A126" s="277"/>
      <c r="B126" s="277" t="s">
        <v>6150</v>
      </c>
      <c r="C126" s="25" t="s">
        <v>6010</v>
      </c>
      <c r="D126" s="277" t="s">
        <v>6224</v>
      </c>
      <c r="E126" s="28" t="s">
        <v>6013</v>
      </c>
      <c r="F126" s="277">
        <v>1100</v>
      </c>
      <c r="G126" s="277"/>
      <c r="H126" s="277"/>
      <c r="I126" s="277"/>
      <c r="J126" s="277"/>
      <c r="K126" s="277"/>
    </row>
    <row r="127" spans="1:11" ht="14">
      <c r="A127" s="277"/>
      <c r="B127" s="277" t="s">
        <v>8510</v>
      </c>
      <c r="C127" s="28" t="s">
        <v>8511</v>
      </c>
      <c r="D127" s="49"/>
      <c r="E127" s="37"/>
      <c r="F127" s="277">
        <v>1000</v>
      </c>
      <c r="G127" s="277"/>
      <c r="H127" s="277"/>
      <c r="I127" s="277"/>
      <c r="J127" s="277"/>
      <c r="K127" s="277"/>
    </row>
    <row r="128" spans="1:11" ht="14">
      <c r="A128" s="277"/>
      <c r="B128" s="277" t="s">
        <v>8512</v>
      </c>
      <c r="C128" s="28" t="s">
        <v>8513</v>
      </c>
      <c r="D128" s="49"/>
      <c r="E128" s="37"/>
      <c r="F128" s="277">
        <v>980</v>
      </c>
      <c r="G128" s="277"/>
      <c r="H128" s="277"/>
      <c r="I128" s="277"/>
      <c r="J128" s="277"/>
      <c r="K128" s="277"/>
    </row>
    <row r="129" spans="1:11">
      <c r="A129" s="277"/>
      <c r="B129" s="277" t="s">
        <v>8514</v>
      </c>
      <c r="C129" s="25" t="s">
        <v>8519</v>
      </c>
      <c r="D129" s="277"/>
      <c r="E129" s="277"/>
      <c r="F129" s="277">
        <v>975</v>
      </c>
      <c r="G129" s="277"/>
      <c r="H129" s="277"/>
      <c r="I129" s="277"/>
      <c r="J129" s="277"/>
      <c r="K129" s="277"/>
    </row>
    <row r="130" spans="1:11">
      <c r="A130" s="277"/>
      <c r="B130" s="277" t="s">
        <v>8515</v>
      </c>
      <c r="C130" s="25" t="s">
        <v>8518</v>
      </c>
      <c r="D130" s="277"/>
      <c r="E130" s="277"/>
      <c r="F130" s="277">
        <v>966</v>
      </c>
      <c r="G130" s="277"/>
      <c r="H130" s="277"/>
      <c r="I130" s="277"/>
      <c r="J130" s="277"/>
      <c r="K130" s="277"/>
    </row>
    <row r="131" spans="1:11">
      <c r="B131" s="277" t="s">
        <v>8098</v>
      </c>
      <c r="C131" s="277" t="s">
        <v>8517</v>
      </c>
      <c r="D131" s="277"/>
      <c r="E131" s="25"/>
      <c r="F131" s="277">
        <v>942</v>
      </c>
      <c r="G131" s="277"/>
      <c r="H131" s="277"/>
      <c r="I131" s="277"/>
      <c r="J131" s="277"/>
      <c r="K131" s="277"/>
    </row>
    <row r="132" spans="1:11">
      <c r="A132" s="277"/>
      <c r="B132" s="277" t="s">
        <v>8516</v>
      </c>
      <c r="C132" s="25" t="s">
        <v>8520</v>
      </c>
      <c r="D132" s="277"/>
      <c r="E132" s="277"/>
      <c r="F132" s="277">
        <v>941</v>
      </c>
      <c r="G132" s="277"/>
      <c r="H132" s="277"/>
      <c r="I132" s="277"/>
      <c r="J132" s="277"/>
      <c r="K132" s="277"/>
    </row>
    <row r="133" spans="1:11">
      <c r="A133" s="277"/>
      <c r="B133" s="277" t="s">
        <v>8521</v>
      </c>
      <c r="C133" s="25" t="s">
        <v>8522</v>
      </c>
      <c r="D133" s="277"/>
      <c r="E133" s="277"/>
      <c r="F133" s="277">
        <v>941</v>
      </c>
      <c r="G133" s="277"/>
      <c r="H133" s="277"/>
      <c r="I133" s="277"/>
      <c r="J133" s="277"/>
      <c r="K133" s="277"/>
    </row>
    <row r="134" spans="1:11">
      <c r="A134" s="277"/>
      <c r="B134" s="277" t="s">
        <v>8524</v>
      </c>
      <c r="C134" s="25" t="s">
        <v>8523</v>
      </c>
      <c r="D134" s="277"/>
      <c r="E134" s="277"/>
      <c r="F134" s="277">
        <v>940</v>
      </c>
      <c r="G134" s="277"/>
      <c r="H134" s="277"/>
      <c r="I134" s="277"/>
      <c r="J134" s="277"/>
      <c r="K134" s="277"/>
    </row>
    <row r="135" spans="1:11">
      <c r="A135" s="277"/>
      <c r="B135" s="277" t="s">
        <v>8525</v>
      </c>
      <c r="C135" s="25" t="s">
        <v>8526</v>
      </c>
      <c r="D135" s="277"/>
      <c r="E135" s="277"/>
      <c r="F135" s="277">
        <v>939</v>
      </c>
      <c r="G135" s="277"/>
      <c r="H135" s="277"/>
      <c r="I135" s="277"/>
      <c r="J135" s="277"/>
      <c r="K135" s="277"/>
    </row>
    <row r="136" spans="1:11">
      <c r="A136" s="277"/>
      <c r="B136" s="277" t="s">
        <v>6225</v>
      </c>
      <c r="C136" s="25" t="s">
        <v>6226</v>
      </c>
      <c r="D136" s="277"/>
      <c r="E136" s="277"/>
      <c r="F136" s="277">
        <v>932</v>
      </c>
      <c r="G136" s="277"/>
      <c r="H136" s="277"/>
      <c r="I136" s="277"/>
      <c r="J136" s="277"/>
      <c r="K136" s="277"/>
    </row>
    <row r="137" spans="1:11">
      <c r="A137" s="277"/>
      <c r="B137" s="277" t="s">
        <v>8527</v>
      </c>
      <c r="C137" s="25" t="s">
        <v>8528</v>
      </c>
      <c r="D137" s="277"/>
      <c r="E137" s="277"/>
      <c r="F137" s="277">
        <v>928</v>
      </c>
      <c r="G137" s="277"/>
      <c r="H137" s="277"/>
      <c r="I137" s="277"/>
      <c r="J137" s="277"/>
      <c r="K137" s="277"/>
    </row>
    <row r="138" spans="1:11">
      <c r="A138" s="277"/>
      <c r="B138" s="277" t="s">
        <v>8530</v>
      </c>
      <c r="C138" s="25" t="s">
        <v>8531</v>
      </c>
      <c r="D138" s="277"/>
      <c r="E138" s="277"/>
      <c r="F138" s="277">
        <v>910</v>
      </c>
      <c r="G138" s="277"/>
      <c r="H138" s="277"/>
      <c r="I138" s="277"/>
      <c r="J138" s="277"/>
      <c r="K138" s="277"/>
    </row>
    <row r="139" spans="1:11">
      <c r="A139" s="277"/>
      <c r="B139" s="277" t="s">
        <v>8532</v>
      </c>
      <c r="C139" s="25" t="s">
        <v>8533</v>
      </c>
      <c r="D139" s="277"/>
      <c r="E139" s="277"/>
      <c r="F139" s="277">
        <v>891</v>
      </c>
      <c r="G139" s="277"/>
      <c r="H139" s="277"/>
      <c r="I139" s="277"/>
      <c r="J139" s="277"/>
      <c r="K139" s="277"/>
    </row>
    <row r="140" spans="1:11">
      <c r="A140" s="277"/>
      <c r="B140" s="277" t="s">
        <v>8534</v>
      </c>
      <c r="C140" s="25" t="s">
        <v>8535</v>
      </c>
      <c r="D140" s="277"/>
      <c r="E140" s="277"/>
      <c r="F140" s="277">
        <v>891</v>
      </c>
      <c r="G140" s="277"/>
      <c r="H140" s="277"/>
      <c r="I140" s="277"/>
      <c r="J140" s="277"/>
      <c r="K140" s="277"/>
    </row>
    <row r="141" spans="1:11">
      <c r="A141" s="277"/>
      <c r="B141" s="277" t="s">
        <v>8537</v>
      </c>
      <c r="C141" s="25" t="s">
        <v>8538</v>
      </c>
      <c r="D141" s="277"/>
      <c r="E141" s="277"/>
      <c r="F141" s="277">
        <v>881</v>
      </c>
      <c r="G141" s="277"/>
      <c r="H141" s="277"/>
      <c r="I141" s="277"/>
      <c r="J141" s="277"/>
      <c r="K141" s="277"/>
    </row>
    <row r="142" spans="1:11">
      <c r="A142" s="277"/>
      <c r="B142" s="277" t="s">
        <v>8536</v>
      </c>
      <c r="C142" s="25" t="s">
        <v>8539</v>
      </c>
      <c r="D142" s="277"/>
      <c r="E142" s="277"/>
      <c r="F142" s="277">
        <v>873</v>
      </c>
      <c r="G142" s="277"/>
      <c r="H142" s="277"/>
      <c r="I142" s="277"/>
      <c r="J142" s="277"/>
      <c r="K142" s="277"/>
    </row>
    <row r="143" spans="1:11">
      <c r="A143" s="277"/>
      <c r="B143" s="277" t="s">
        <v>8541</v>
      </c>
      <c r="C143" s="25" t="s">
        <v>8540</v>
      </c>
      <c r="D143" s="277"/>
      <c r="E143" s="277"/>
      <c r="F143" s="277">
        <v>871</v>
      </c>
      <c r="G143" s="277"/>
      <c r="H143" s="277"/>
      <c r="I143" s="277"/>
      <c r="J143" s="277"/>
      <c r="K143" s="277"/>
    </row>
    <row r="144" spans="1:11">
      <c r="A144" s="277"/>
      <c r="B144" s="277" t="s">
        <v>8542</v>
      </c>
      <c r="C144" s="25" t="s">
        <v>8543</v>
      </c>
      <c r="D144" s="277"/>
      <c r="E144" s="277"/>
      <c r="F144" s="277">
        <v>845</v>
      </c>
      <c r="G144" s="277"/>
      <c r="H144" s="277"/>
      <c r="I144" s="277"/>
      <c r="J144" s="277"/>
      <c r="K144" s="277"/>
    </row>
    <row r="145" spans="1:11" ht="14">
      <c r="A145" s="277"/>
      <c r="B145" s="277" t="s">
        <v>5205</v>
      </c>
      <c r="C145" s="28" t="s">
        <v>8324</v>
      </c>
      <c r="D145" s="277"/>
      <c r="E145" s="25"/>
      <c r="F145" s="277">
        <v>834</v>
      </c>
      <c r="G145" s="277"/>
      <c r="H145" s="277"/>
      <c r="I145" s="277"/>
      <c r="J145" s="277"/>
      <c r="K145" s="277"/>
    </row>
    <row r="146" spans="1:11" ht="14">
      <c r="A146" s="277"/>
      <c r="B146" s="277" t="s">
        <v>8544</v>
      </c>
      <c r="C146" s="28" t="s">
        <v>8547</v>
      </c>
      <c r="D146" s="277"/>
      <c r="E146" s="25"/>
      <c r="F146" s="277">
        <v>834</v>
      </c>
      <c r="G146" s="277"/>
      <c r="H146" s="277"/>
      <c r="I146" s="277"/>
      <c r="J146" s="277"/>
      <c r="K146" s="277"/>
    </row>
    <row r="147" spans="1:11" ht="14">
      <c r="A147" s="277"/>
      <c r="B147" s="277" t="s">
        <v>8545</v>
      </c>
      <c r="C147" s="28" t="s">
        <v>8546</v>
      </c>
      <c r="D147" s="277"/>
      <c r="E147" s="25"/>
      <c r="F147" s="277">
        <v>822</v>
      </c>
      <c r="G147" s="277"/>
      <c r="H147" s="277"/>
      <c r="I147" s="277"/>
      <c r="J147" s="277"/>
      <c r="K147" s="277"/>
    </row>
    <row r="148" spans="1:11" ht="14">
      <c r="A148" s="277"/>
      <c r="B148" s="277" t="s">
        <v>5266</v>
      </c>
      <c r="C148" s="28" t="s">
        <v>8548</v>
      </c>
      <c r="D148" s="277"/>
      <c r="E148" s="25"/>
      <c r="F148" s="277">
        <v>821</v>
      </c>
      <c r="G148" s="277"/>
      <c r="H148" s="277"/>
      <c r="I148" s="277"/>
      <c r="J148" s="277"/>
      <c r="K148" s="277"/>
    </row>
    <row r="149" spans="1:11" ht="14">
      <c r="A149" s="277"/>
      <c r="B149" s="277" t="s">
        <v>8549</v>
      </c>
      <c r="C149" s="28" t="s">
        <v>8550</v>
      </c>
      <c r="D149" s="277"/>
      <c r="E149" s="25"/>
      <c r="F149" s="277">
        <v>811</v>
      </c>
      <c r="G149" s="277"/>
      <c r="H149" s="277"/>
      <c r="I149" s="277"/>
      <c r="J149" s="277"/>
      <c r="K149" s="277"/>
    </row>
    <row r="150" spans="1:11" ht="14">
      <c r="A150" s="277"/>
      <c r="B150" s="277" t="s">
        <v>8551</v>
      </c>
      <c r="C150" s="28" t="s">
        <v>8552</v>
      </c>
      <c r="D150" s="277"/>
      <c r="E150" s="25"/>
      <c r="F150" s="277">
        <v>809</v>
      </c>
      <c r="G150" s="277"/>
      <c r="H150" s="277"/>
      <c r="I150" s="277"/>
      <c r="J150" s="277"/>
      <c r="K150" s="277"/>
    </row>
    <row r="151" spans="1:11" ht="14">
      <c r="A151" s="277"/>
      <c r="B151" s="277" t="s">
        <v>8554</v>
      </c>
      <c r="C151" s="28" t="s">
        <v>8553</v>
      </c>
      <c r="D151" s="277"/>
      <c r="E151" s="25"/>
      <c r="F151" s="277">
        <v>805</v>
      </c>
      <c r="G151" s="277"/>
      <c r="H151" s="277"/>
      <c r="I151" s="277"/>
      <c r="J151" s="277"/>
      <c r="K151" s="277"/>
    </row>
    <row r="152" spans="1:11" ht="14">
      <c r="A152" s="277"/>
      <c r="B152" s="277" t="s">
        <v>8555</v>
      </c>
      <c r="C152" s="28" t="s">
        <v>8556</v>
      </c>
      <c r="D152" s="277"/>
      <c r="E152" s="25"/>
      <c r="F152" s="277">
        <v>800</v>
      </c>
      <c r="G152" s="277"/>
      <c r="H152" s="277"/>
      <c r="I152" s="277"/>
      <c r="J152" s="277"/>
      <c r="K152" s="277"/>
    </row>
    <row r="153" spans="1:11" ht="14">
      <c r="A153" s="277"/>
      <c r="B153" s="277" t="s">
        <v>7889</v>
      </c>
      <c r="C153" s="28" t="s">
        <v>7888</v>
      </c>
      <c r="D153" s="277"/>
      <c r="E153" s="25"/>
      <c r="F153" s="277">
        <v>795</v>
      </c>
      <c r="G153" s="277"/>
      <c r="H153" s="277"/>
      <c r="I153" s="277"/>
      <c r="J153" s="277"/>
      <c r="K153" s="277"/>
    </row>
    <row r="154" spans="1:11" ht="14">
      <c r="A154" s="277"/>
      <c r="B154" s="277" t="s">
        <v>8557</v>
      </c>
      <c r="C154" s="28" t="s">
        <v>8558</v>
      </c>
      <c r="D154" s="277"/>
      <c r="E154" s="25"/>
      <c r="F154" s="277">
        <v>794</v>
      </c>
      <c r="G154" s="277"/>
      <c r="H154" s="277"/>
      <c r="I154" s="277"/>
      <c r="J154" s="277"/>
      <c r="K154" s="277"/>
    </row>
    <row r="155" spans="1:11" ht="14">
      <c r="A155" s="277"/>
      <c r="B155" s="277" t="s">
        <v>8559</v>
      </c>
      <c r="C155" s="28" t="s">
        <v>8560</v>
      </c>
      <c r="D155" s="277"/>
      <c r="E155" s="25"/>
      <c r="F155" s="277">
        <v>794</v>
      </c>
      <c r="G155" s="277"/>
      <c r="H155" s="277"/>
      <c r="I155" s="277"/>
      <c r="J155" s="277"/>
      <c r="K155" s="277"/>
    </row>
    <row r="156" spans="1:11" ht="15">
      <c r="B156" s="277" t="s">
        <v>8561</v>
      </c>
      <c r="C156" s="44" t="s">
        <v>8562</v>
      </c>
      <c r="D156" s="277"/>
      <c r="E156" s="25"/>
      <c r="F156" s="277">
        <v>793</v>
      </c>
      <c r="G156" s="277"/>
      <c r="H156" s="277"/>
      <c r="I156" s="277"/>
      <c r="J156" s="277"/>
      <c r="K156" s="277"/>
    </row>
    <row r="157" spans="1:11" ht="15">
      <c r="B157" s="277" t="s">
        <v>8563</v>
      </c>
      <c r="C157" s="44" t="s">
        <v>8564</v>
      </c>
      <c r="D157" s="277"/>
      <c r="E157" s="25"/>
      <c r="F157" s="277">
        <v>785</v>
      </c>
      <c r="G157" s="277"/>
      <c r="H157" s="277"/>
      <c r="I157" s="277"/>
      <c r="J157" s="277"/>
      <c r="K157" s="277"/>
    </row>
    <row r="158" spans="1:11" ht="15">
      <c r="B158" s="277" t="s">
        <v>8565</v>
      </c>
      <c r="C158" s="44" t="s">
        <v>8566</v>
      </c>
      <c r="D158" s="277"/>
      <c r="E158" s="25"/>
      <c r="F158" s="277">
        <v>766</v>
      </c>
      <c r="G158" s="277"/>
      <c r="H158" s="277"/>
      <c r="I158" s="277"/>
      <c r="J158" s="277"/>
      <c r="K158" s="277"/>
    </row>
    <row r="159" spans="1:11" ht="15">
      <c r="B159" s="277" t="s">
        <v>8567</v>
      </c>
      <c r="C159" s="44" t="s">
        <v>8568</v>
      </c>
      <c r="D159" s="277"/>
      <c r="E159" s="25"/>
      <c r="F159" s="277">
        <v>756</v>
      </c>
      <c r="G159" s="277"/>
      <c r="H159" s="277"/>
      <c r="I159" s="277"/>
      <c r="J159" s="277"/>
      <c r="K159" s="277"/>
    </row>
    <row r="160" spans="1:11" ht="15">
      <c r="B160" s="277" t="s">
        <v>8569</v>
      </c>
      <c r="C160" s="44" t="s">
        <v>8570</v>
      </c>
      <c r="D160" s="277"/>
      <c r="E160" s="25"/>
      <c r="F160" s="277">
        <v>752</v>
      </c>
      <c r="G160" s="277"/>
      <c r="H160" s="277"/>
      <c r="I160" s="277"/>
      <c r="J160" s="277"/>
      <c r="K160" s="277"/>
    </row>
    <row r="161" spans="1:11" ht="15">
      <c r="B161" s="277" t="s">
        <v>8572</v>
      </c>
      <c r="C161" s="44" t="s">
        <v>8571</v>
      </c>
      <c r="D161" s="277"/>
      <c r="E161" s="25"/>
      <c r="F161" s="277">
        <v>727</v>
      </c>
      <c r="G161" s="277"/>
      <c r="H161" s="277"/>
      <c r="I161" s="277"/>
      <c r="J161" s="277"/>
      <c r="K161" s="277"/>
    </row>
    <row r="162" spans="1:11" ht="15">
      <c r="B162" s="277" t="s">
        <v>8574</v>
      </c>
      <c r="C162" s="44" t="s">
        <v>8573</v>
      </c>
      <c r="D162" s="277"/>
      <c r="E162" s="25"/>
      <c r="F162" s="277">
        <v>724</v>
      </c>
      <c r="G162" s="277"/>
      <c r="H162" s="277"/>
      <c r="I162" s="277"/>
      <c r="J162" s="277"/>
      <c r="K162" s="277"/>
    </row>
    <row r="163" spans="1:11" ht="15">
      <c r="B163" s="277" t="s">
        <v>8575</v>
      </c>
      <c r="C163" s="44" t="s">
        <v>8576</v>
      </c>
      <c r="D163" s="277"/>
      <c r="E163" s="25"/>
      <c r="F163" s="277">
        <v>710</v>
      </c>
      <c r="G163" s="277"/>
      <c r="H163" s="277"/>
      <c r="I163" s="277"/>
      <c r="J163" s="277"/>
      <c r="K163" s="277"/>
    </row>
    <row r="164" spans="1:11" ht="15">
      <c r="B164" s="277" t="s">
        <v>5210</v>
      </c>
      <c r="C164" s="44" t="s">
        <v>9124</v>
      </c>
      <c r="D164" s="277"/>
      <c r="E164" s="25"/>
      <c r="F164" s="277"/>
      <c r="G164" s="277"/>
      <c r="H164" s="277"/>
      <c r="I164" s="277"/>
      <c r="J164" s="277"/>
      <c r="K164" s="277"/>
    </row>
    <row r="165" spans="1:11" ht="15">
      <c r="B165" s="277" t="s">
        <v>8577</v>
      </c>
      <c r="C165" s="44" t="s">
        <v>8579</v>
      </c>
      <c r="D165" s="277"/>
      <c r="E165" s="25"/>
      <c r="F165" s="277">
        <v>704</v>
      </c>
      <c r="G165" s="277"/>
      <c r="H165" s="277"/>
      <c r="I165" s="277"/>
      <c r="J165" s="277"/>
      <c r="K165" s="277"/>
    </row>
    <row r="166" spans="1:11" ht="15">
      <c r="B166" s="277" t="s">
        <v>8578</v>
      </c>
      <c r="C166" s="44" t="s">
        <v>8580</v>
      </c>
      <c r="D166" s="277"/>
      <c r="E166" s="25"/>
      <c r="F166" s="277">
        <v>704</v>
      </c>
      <c r="G166" s="277"/>
      <c r="H166" s="277"/>
      <c r="I166" s="277"/>
      <c r="J166" s="277"/>
      <c r="K166" s="277"/>
    </row>
    <row r="167" spans="1:11">
      <c r="A167" s="277"/>
      <c r="B167" s="277" t="s">
        <v>6212</v>
      </c>
      <c r="C167" s="25" t="s">
        <v>6213</v>
      </c>
      <c r="D167" s="277" t="s">
        <v>6214</v>
      </c>
      <c r="E167" s="277"/>
      <c r="F167" s="277">
        <v>700</v>
      </c>
      <c r="G167" s="277"/>
      <c r="H167" s="277"/>
      <c r="I167" s="277"/>
      <c r="J167" s="277"/>
      <c r="K167" s="277"/>
    </row>
    <row r="168" spans="1:11">
      <c r="A168" s="277"/>
      <c r="B168" s="277" t="s">
        <v>8583</v>
      </c>
      <c r="C168" s="25" t="s">
        <v>8584</v>
      </c>
      <c r="D168" s="277"/>
      <c r="E168" s="277"/>
      <c r="F168" s="277">
        <v>695</v>
      </c>
      <c r="G168" s="277"/>
      <c r="H168" s="277"/>
      <c r="I168" s="277"/>
      <c r="J168" s="277"/>
      <c r="K168" s="277"/>
    </row>
    <row r="169" spans="1:11">
      <c r="A169" s="277"/>
      <c r="B169" s="277" t="s">
        <v>8585</v>
      </c>
      <c r="C169" s="25" t="s">
        <v>8586</v>
      </c>
      <c r="D169" s="277"/>
      <c r="E169" s="277"/>
      <c r="F169" s="277">
        <v>693</v>
      </c>
      <c r="G169" s="277"/>
      <c r="H169" s="277"/>
      <c r="I169" s="277"/>
      <c r="J169" s="277"/>
      <c r="K169" s="277"/>
    </row>
    <row r="170" spans="1:11">
      <c r="A170" s="277"/>
      <c r="B170" s="277" t="s">
        <v>8587</v>
      </c>
      <c r="C170" s="25" t="s">
        <v>8588</v>
      </c>
      <c r="D170" s="277"/>
      <c r="E170" s="277"/>
      <c r="F170" s="277">
        <v>687</v>
      </c>
      <c r="G170" s="277"/>
      <c r="H170" s="277"/>
      <c r="I170" s="277"/>
      <c r="J170" s="277"/>
      <c r="K170" s="277"/>
    </row>
    <row r="171" spans="1:11">
      <c r="A171" s="277"/>
      <c r="B171" s="277" t="s">
        <v>8589</v>
      </c>
      <c r="C171" s="25" t="s">
        <v>8590</v>
      </c>
      <c r="D171" s="277"/>
      <c r="E171" s="277"/>
      <c r="F171" s="277">
        <v>681</v>
      </c>
      <c r="G171" s="277"/>
      <c r="H171" s="277"/>
      <c r="I171" s="277"/>
      <c r="J171" s="277"/>
      <c r="K171" s="277"/>
    </row>
    <row r="172" spans="1:11">
      <c r="A172" s="277"/>
      <c r="B172" s="277" t="s">
        <v>8591</v>
      </c>
      <c r="C172" s="25" t="s">
        <v>8592</v>
      </c>
      <c r="D172" s="277"/>
      <c r="E172" s="277"/>
      <c r="F172" s="277">
        <v>674</v>
      </c>
      <c r="G172" s="277"/>
      <c r="H172" s="277"/>
      <c r="I172" s="277"/>
      <c r="J172" s="277"/>
      <c r="K172" s="277"/>
    </row>
    <row r="173" spans="1:11">
      <c r="A173" s="277"/>
      <c r="B173" s="277" t="s">
        <v>8594</v>
      </c>
      <c r="C173" s="25" t="s">
        <v>8593</v>
      </c>
      <c r="D173" s="277"/>
      <c r="E173" s="277"/>
      <c r="F173" s="277">
        <v>658</v>
      </c>
      <c r="G173" s="277"/>
      <c r="H173" s="277"/>
      <c r="I173" s="277"/>
      <c r="J173" s="277"/>
      <c r="K173" s="277"/>
    </row>
    <row r="174" spans="1:11" ht="15">
      <c r="A174" s="277"/>
      <c r="B174" s="277" t="s">
        <v>8595</v>
      </c>
      <c r="C174" s="44" t="s">
        <v>8596</v>
      </c>
      <c r="D174" s="277"/>
      <c r="E174" s="277"/>
      <c r="F174" s="277">
        <v>652</v>
      </c>
      <c r="G174" s="277"/>
      <c r="H174" s="277"/>
      <c r="I174" s="277"/>
      <c r="J174" s="277"/>
      <c r="K174" s="277"/>
    </row>
    <row r="175" spans="1:11" ht="15">
      <c r="A175" s="277"/>
      <c r="B175" s="277" t="s">
        <v>8598</v>
      </c>
      <c r="C175" s="44" t="s">
        <v>8597</v>
      </c>
      <c r="D175" s="277"/>
      <c r="E175" s="277"/>
      <c r="F175" s="277">
        <v>635</v>
      </c>
      <c r="G175" s="277"/>
      <c r="H175" s="277"/>
      <c r="I175" s="277"/>
      <c r="J175" s="277"/>
      <c r="K175" s="277"/>
    </row>
    <row r="176" spans="1:11" ht="15">
      <c r="A176" s="277"/>
      <c r="B176" s="277" t="s">
        <v>8600</v>
      </c>
      <c r="C176" s="44" t="s">
        <v>8599</v>
      </c>
      <c r="D176" s="277"/>
      <c r="E176" s="277"/>
      <c r="F176" s="277">
        <v>628</v>
      </c>
      <c r="G176" s="277"/>
      <c r="H176" s="277"/>
      <c r="I176" s="277"/>
      <c r="J176" s="277"/>
      <c r="K176" s="277"/>
    </row>
    <row r="177" spans="1:11" ht="15">
      <c r="A177" s="277"/>
      <c r="B177" s="277" t="s">
        <v>8602</v>
      </c>
      <c r="C177" s="44" t="s">
        <v>8601</v>
      </c>
      <c r="D177" s="277"/>
      <c r="E177" s="277"/>
      <c r="F177" s="277">
        <v>627</v>
      </c>
      <c r="G177" s="277"/>
      <c r="H177" s="277"/>
      <c r="I177" s="277"/>
      <c r="J177" s="277"/>
      <c r="K177" s="277"/>
    </row>
    <row r="178" spans="1:11" ht="15">
      <c r="A178" s="277"/>
      <c r="B178" s="277" t="s">
        <v>8604</v>
      </c>
      <c r="C178" s="44" t="s">
        <v>8603</v>
      </c>
      <c r="D178" s="277"/>
      <c r="E178" s="277"/>
      <c r="F178" s="277">
        <v>624</v>
      </c>
      <c r="G178" s="277"/>
      <c r="H178" s="277"/>
      <c r="I178" s="277"/>
      <c r="J178" s="277"/>
      <c r="K178" s="277"/>
    </row>
    <row r="179" spans="1:11" ht="15">
      <c r="A179" s="277"/>
      <c r="B179" s="277" t="s">
        <v>8504</v>
      </c>
      <c r="C179" s="44" t="s">
        <v>8605</v>
      </c>
      <c r="D179" s="277"/>
      <c r="E179" s="277"/>
      <c r="F179" s="277">
        <v>622</v>
      </c>
      <c r="G179" s="277"/>
      <c r="H179" s="277"/>
      <c r="I179" s="277"/>
      <c r="J179" s="277"/>
      <c r="K179" s="277"/>
    </row>
    <row r="180" spans="1:11" ht="15">
      <c r="A180" s="277"/>
      <c r="B180" s="277" t="s">
        <v>8607</v>
      </c>
      <c r="C180" s="44" t="s">
        <v>8606</v>
      </c>
      <c r="D180" s="277"/>
      <c r="E180" s="277"/>
      <c r="F180" s="277">
        <v>621</v>
      </c>
      <c r="G180" s="277"/>
      <c r="H180" s="277"/>
      <c r="I180" s="277"/>
      <c r="J180" s="277"/>
      <c r="K180" s="277"/>
    </row>
    <row r="181" spans="1:11" ht="15">
      <c r="A181" s="277"/>
      <c r="B181" s="277" t="s">
        <v>8609</v>
      </c>
      <c r="C181" s="44" t="s">
        <v>8608</v>
      </c>
      <c r="D181" s="277"/>
      <c r="E181" s="277"/>
      <c r="F181" s="277">
        <v>620</v>
      </c>
      <c r="G181" s="277"/>
      <c r="H181" s="277"/>
      <c r="I181" s="277"/>
      <c r="J181" s="277"/>
      <c r="K181" s="277"/>
    </row>
    <row r="182" spans="1:11" ht="15">
      <c r="A182" s="277"/>
      <c r="B182" s="277" t="s">
        <v>8610</v>
      </c>
      <c r="C182" s="44" t="s">
        <v>8611</v>
      </c>
      <c r="D182" s="277"/>
      <c r="E182" s="277"/>
      <c r="F182" s="277">
        <v>613</v>
      </c>
      <c r="G182" s="277"/>
      <c r="H182" s="277"/>
      <c r="I182" s="277"/>
      <c r="J182" s="277"/>
      <c r="K182" s="277"/>
    </row>
    <row r="183" spans="1:11" ht="15">
      <c r="A183" s="277"/>
      <c r="B183" s="277" t="s">
        <v>8612</v>
      </c>
      <c r="C183" s="44" t="s">
        <v>8613</v>
      </c>
      <c r="D183" s="277"/>
      <c r="E183" s="277"/>
      <c r="F183" s="277">
        <v>612</v>
      </c>
      <c r="G183" s="277"/>
      <c r="H183" s="277"/>
      <c r="I183" s="277"/>
      <c r="J183" s="277"/>
      <c r="K183" s="277"/>
    </row>
    <row r="184" spans="1:11" ht="15">
      <c r="A184" s="277"/>
      <c r="B184" s="277" t="s">
        <v>8615</v>
      </c>
      <c r="C184" s="44" t="s">
        <v>8614</v>
      </c>
      <c r="D184" s="277"/>
      <c r="E184" s="277"/>
      <c r="F184" s="277">
        <v>610</v>
      </c>
      <c r="G184" s="277"/>
      <c r="H184" s="277"/>
      <c r="I184" s="277"/>
      <c r="J184" s="277"/>
      <c r="K184" s="277"/>
    </row>
    <row r="185" spans="1:11" ht="15">
      <c r="A185" s="277"/>
      <c r="B185" s="277" t="s">
        <v>8617</v>
      </c>
      <c r="C185" s="44" t="s">
        <v>8616</v>
      </c>
      <c r="D185" s="277"/>
      <c r="E185" s="277"/>
      <c r="F185" s="277">
        <v>607</v>
      </c>
      <c r="G185" s="277"/>
      <c r="H185" s="277"/>
      <c r="I185" s="277"/>
      <c r="J185" s="277"/>
      <c r="K185" s="277"/>
    </row>
    <row r="186" spans="1:11" ht="15">
      <c r="A186" s="277"/>
      <c r="B186" s="277" t="s">
        <v>8618</v>
      </c>
      <c r="C186" s="44" t="s">
        <v>8619</v>
      </c>
      <c r="D186" s="277"/>
      <c r="E186" s="277"/>
      <c r="F186" s="277">
        <v>603</v>
      </c>
      <c r="G186" s="277"/>
      <c r="H186" s="277"/>
      <c r="I186" s="277"/>
      <c r="J186" s="277"/>
      <c r="K186" s="277"/>
    </row>
    <row r="187" spans="1:11" ht="15">
      <c r="A187" s="277"/>
      <c r="B187" s="277" t="s">
        <v>8621</v>
      </c>
      <c r="C187" s="44" t="s">
        <v>8620</v>
      </c>
      <c r="D187" s="277"/>
      <c r="E187" s="277"/>
      <c r="F187" s="277">
        <v>601</v>
      </c>
      <c r="G187" s="277"/>
      <c r="H187" s="277"/>
      <c r="I187" s="277"/>
      <c r="J187" s="277"/>
      <c r="K187" s="277"/>
    </row>
    <row r="188" spans="1:11" ht="15">
      <c r="A188" s="277"/>
      <c r="B188" s="277" t="s">
        <v>8623</v>
      </c>
      <c r="C188" s="44" t="s">
        <v>8622</v>
      </c>
      <c r="D188" s="277"/>
      <c r="E188" s="277"/>
      <c r="F188" s="277">
        <v>596</v>
      </c>
      <c r="G188" s="277"/>
      <c r="H188" s="277"/>
      <c r="I188" s="277"/>
      <c r="J188" s="277"/>
      <c r="K188" s="277"/>
    </row>
    <row r="189" spans="1:11" ht="15">
      <c r="A189" s="277"/>
      <c r="B189" s="277" t="s">
        <v>8624</v>
      </c>
      <c r="C189" s="44" t="s">
        <v>8625</v>
      </c>
      <c r="D189" s="277"/>
      <c r="E189" s="277"/>
      <c r="F189" s="277">
        <v>591</v>
      </c>
      <c r="G189" s="277"/>
      <c r="H189" s="277"/>
      <c r="I189" s="277"/>
      <c r="J189" s="277"/>
      <c r="K189" s="277"/>
    </row>
    <row r="190" spans="1:11" ht="15">
      <c r="A190" s="277"/>
      <c r="B190" s="277" t="s">
        <v>8626</v>
      </c>
      <c r="C190" s="44" t="s">
        <v>8627</v>
      </c>
      <c r="D190" s="277"/>
      <c r="E190" s="277"/>
      <c r="F190" s="277">
        <v>584</v>
      </c>
      <c r="G190" s="277"/>
      <c r="H190" s="277"/>
      <c r="I190" s="277"/>
      <c r="J190" s="277"/>
      <c r="K190" s="277"/>
    </row>
    <row r="191" spans="1:11" ht="15">
      <c r="A191" s="277"/>
      <c r="B191" s="277" t="s">
        <v>8629</v>
      </c>
      <c r="C191" s="44" t="s">
        <v>8628</v>
      </c>
      <c r="D191" s="277"/>
      <c r="E191" s="277"/>
      <c r="F191" s="277">
        <v>583</v>
      </c>
      <c r="G191" s="277"/>
      <c r="H191" s="277"/>
      <c r="I191" s="277"/>
      <c r="J191" s="277"/>
      <c r="K191" s="277"/>
    </row>
    <row r="192" spans="1:11" ht="15">
      <c r="A192" s="277"/>
      <c r="B192" s="277" t="s">
        <v>8630</v>
      </c>
      <c r="C192" s="44" t="s">
        <v>8631</v>
      </c>
      <c r="D192" s="277"/>
      <c r="E192" s="277"/>
      <c r="F192" s="277">
        <v>580</v>
      </c>
      <c r="G192" s="277"/>
      <c r="H192" s="277"/>
      <c r="I192" s="277"/>
      <c r="J192" s="277"/>
      <c r="K192" s="277"/>
    </row>
    <row r="193" spans="1:11" ht="15">
      <c r="A193" s="277"/>
      <c r="B193" s="277" t="s">
        <v>8633</v>
      </c>
      <c r="C193" s="44" t="s">
        <v>8632</v>
      </c>
      <c r="D193" s="277"/>
      <c r="E193" s="277"/>
      <c r="F193" s="277">
        <v>574</v>
      </c>
      <c r="G193" s="277"/>
      <c r="H193" s="277"/>
      <c r="I193" s="277"/>
      <c r="J193" s="277"/>
      <c r="K193" s="277"/>
    </row>
    <row r="194" spans="1:11" ht="15">
      <c r="A194" s="277"/>
      <c r="B194" s="277" t="s">
        <v>8634</v>
      </c>
      <c r="C194" s="44" t="s">
        <v>8635</v>
      </c>
      <c r="D194" s="277"/>
      <c r="E194" s="277"/>
      <c r="F194" s="277">
        <v>574</v>
      </c>
      <c r="G194" s="277"/>
      <c r="H194" s="277"/>
      <c r="I194" s="277"/>
      <c r="J194" s="277"/>
      <c r="K194" s="277"/>
    </row>
    <row r="195" spans="1:11" ht="15">
      <c r="A195" s="277"/>
      <c r="B195" s="277" t="s">
        <v>8636</v>
      </c>
      <c r="C195" s="44" t="s">
        <v>8637</v>
      </c>
      <c r="D195" s="277"/>
      <c r="E195" s="277"/>
      <c r="F195" s="277">
        <v>574</v>
      </c>
      <c r="G195" s="277"/>
      <c r="H195" s="277"/>
      <c r="I195" s="277"/>
      <c r="J195" s="277"/>
      <c r="K195" s="277"/>
    </row>
    <row r="196" spans="1:11" ht="15">
      <c r="A196" s="277"/>
      <c r="B196" s="277" t="s">
        <v>8638</v>
      </c>
      <c r="C196" s="44" t="s">
        <v>8639</v>
      </c>
      <c r="D196" s="277"/>
      <c r="E196" s="277"/>
      <c r="F196" s="277">
        <v>563</v>
      </c>
      <c r="G196" s="277"/>
      <c r="H196" s="277"/>
      <c r="I196" s="277"/>
      <c r="J196" s="277"/>
      <c r="K196" s="277"/>
    </row>
    <row r="197" spans="1:11" ht="15">
      <c r="A197" s="277"/>
      <c r="B197" s="277" t="s">
        <v>8641</v>
      </c>
      <c r="C197" s="44" t="s">
        <v>8640</v>
      </c>
      <c r="D197" s="277"/>
      <c r="E197" s="277"/>
      <c r="F197" s="277">
        <v>562</v>
      </c>
      <c r="G197" s="277"/>
      <c r="H197" s="277"/>
      <c r="I197" s="277"/>
      <c r="J197" s="277"/>
      <c r="K197" s="277"/>
    </row>
    <row r="198" spans="1:11" ht="15">
      <c r="A198" s="277"/>
      <c r="B198" s="277" t="s">
        <v>8643</v>
      </c>
      <c r="C198" s="44" t="s">
        <v>8642</v>
      </c>
      <c r="D198" s="277"/>
      <c r="E198" s="277"/>
      <c r="F198" s="277">
        <v>560</v>
      </c>
      <c r="G198" s="277"/>
      <c r="H198" s="277"/>
      <c r="I198" s="277"/>
      <c r="J198" s="277"/>
      <c r="K198" s="277"/>
    </row>
    <row r="199" spans="1:11" ht="15">
      <c r="A199" s="277"/>
      <c r="B199" s="277" t="s">
        <v>8644</v>
      </c>
      <c r="C199" s="44" t="s">
        <v>8645</v>
      </c>
      <c r="D199" s="277"/>
      <c r="E199" s="277"/>
      <c r="F199" s="277">
        <v>559</v>
      </c>
      <c r="G199" s="277"/>
      <c r="H199" s="277"/>
      <c r="I199" s="277"/>
      <c r="J199" s="277"/>
      <c r="K199" s="277"/>
    </row>
    <row r="200" spans="1:11" ht="15">
      <c r="A200" s="277"/>
      <c r="B200" s="277" t="s">
        <v>8646</v>
      </c>
      <c r="C200" s="44" t="s">
        <v>8647</v>
      </c>
      <c r="D200" s="277"/>
      <c r="E200" s="277"/>
      <c r="F200" s="277">
        <v>559</v>
      </c>
      <c r="G200" s="277"/>
      <c r="H200" s="277"/>
      <c r="I200" s="277"/>
      <c r="J200" s="277"/>
      <c r="K200" s="277"/>
    </row>
    <row r="201" spans="1:11" ht="15">
      <c r="A201" s="277"/>
      <c r="B201" s="277" t="s">
        <v>8648</v>
      </c>
      <c r="C201" s="44" t="s">
        <v>8649</v>
      </c>
      <c r="D201" s="277"/>
      <c r="E201" s="277"/>
      <c r="F201" s="277">
        <v>540</v>
      </c>
      <c r="G201" s="277"/>
      <c r="H201" s="277"/>
      <c r="I201" s="277"/>
      <c r="J201" s="277"/>
      <c r="K201" s="277"/>
    </row>
    <row r="202" spans="1:11" ht="15">
      <c r="A202" s="277"/>
      <c r="B202" s="277" t="s">
        <v>8651</v>
      </c>
      <c r="C202" s="44" t="s">
        <v>8650</v>
      </c>
      <c r="D202" s="277"/>
      <c r="E202" s="277"/>
      <c r="F202" s="277">
        <v>533</v>
      </c>
      <c r="G202" s="277"/>
      <c r="H202" s="277"/>
      <c r="I202" s="277"/>
      <c r="J202" s="277"/>
      <c r="K202" s="277"/>
    </row>
    <row r="203" spans="1:11" ht="15">
      <c r="A203" s="277"/>
      <c r="B203" s="277" t="s">
        <v>8653</v>
      </c>
      <c r="C203" s="44" t="s">
        <v>8652</v>
      </c>
      <c r="D203" s="277"/>
      <c r="E203" s="277"/>
      <c r="F203" s="277">
        <v>530</v>
      </c>
      <c r="G203" s="277"/>
      <c r="H203" s="277"/>
      <c r="I203" s="277"/>
      <c r="J203" s="277"/>
      <c r="K203" s="277"/>
    </row>
    <row r="204" spans="1:11" ht="15">
      <c r="B204" s="277" t="s">
        <v>8352</v>
      </c>
      <c r="C204" s="44" t="s">
        <v>8654</v>
      </c>
      <c r="D204" s="277" t="s">
        <v>8655</v>
      </c>
      <c r="E204" s="25"/>
      <c r="F204" s="277">
        <v>525</v>
      </c>
      <c r="G204" s="277"/>
      <c r="H204" s="277"/>
      <c r="I204" s="277"/>
      <c r="J204" s="277"/>
      <c r="K204" s="277"/>
    </row>
    <row r="205" spans="1:11" ht="15">
      <c r="B205" s="277" t="s">
        <v>8657</v>
      </c>
      <c r="C205" s="44" t="s">
        <v>8656</v>
      </c>
      <c r="D205" s="277"/>
      <c r="E205" s="25"/>
      <c r="F205" s="277">
        <v>520</v>
      </c>
      <c r="G205" s="277"/>
      <c r="H205" s="277"/>
      <c r="I205" s="277"/>
      <c r="J205" s="277"/>
      <c r="K205" s="277"/>
    </row>
    <row r="206" spans="1:11" ht="15">
      <c r="B206" s="277" t="s">
        <v>8659</v>
      </c>
      <c r="C206" s="44" t="s">
        <v>8658</v>
      </c>
      <c r="D206" s="277"/>
      <c r="E206" s="25"/>
      <c r="F206" s="277">
        <v>515</v>
      </c>
      <c r="G206" s="277"/>
      <c r="H206" s="277"/>
      <c r="I206" s="277"/>
      <c r="J206" s="277"/>
      <c r="K206" s="277"/>
    </row>
    <row r="207" spans="1:11">
      <c r="A207" s="277"/>
      <c r="B207" s="277" t="s">
        <v>8320</v>
      </c>
      <c r="C207" s="25" t="s">
        <v>8319</v>
      </c>
      <c r="D207" s="277"/>
      <c r="E207" s="277"/>
      <c r="F207" s="277">
        <v>515</v>
      </c>
      <c r="G207" s="277"/>
      <c r="H207" s="277"/>
      <c r="I207" s="277"/>
      <c r="J207" s="277"/>
      <c r="K207" s="277"/>
    </row>
    <row r="208" spans="1:11">
      <c r="A208" s="277"/>
      <c r="B208" s="277" t="s">
        <v>8660</v>
      </c>
      <c r="C208" s="25" t="s">
        <v>8661</v>
      </c>
      <c r="D208" s="277"/>
      <c r="E208" s="277"/>
      <c r="F208" s="277">
        <v>514</v>
      </c>
      <c r="G208" s="277"/>
      <c r="H208" s="277"/>
      <c r="I208" s="277"/>
      <c r="J208" s="277"/>
      <c r="K208" s="277"/>
    </row>
    <row r="209" spans="1:11">
      <c r="A209" s="277"/>
      <c r="B209" s="277" t="s">
        <v>8662</v>
      </c>
      <c r="C209" s="25" t="s">
        <v>8663</v>
      </c>
      <c r="D209" s="277"/>
      <c r="E209" s="277"/>
      <c r="F209" s="277">
        <v>514</v>
      </c>
      <c r="G209" s="277"/>
      <c r="H209" s="277"/>
      <c r="I209" s="277"/>
      <c r="J209" s="277"/>
      <c r="K209" s="277"/>
    </row>
    <row r="210" spans="1:11">
      <c r="A210" s="277"/>
      <c r="B210" s="277" t="s">
        <v>8664</v>
      </c>
      <c r="C210" s="25" t="s">
        <v>8665</v>
      </c>
      <c r="D210" s="277"/>
      <c r="E210" s="277"/>
      <c r="F210" s="277">
        <v>507</v>
      </c>
      <c r="G210" s="277"/>
      <c r="H210" s="277"/>
      <c r="I210" s="277"/>
      <c r="J210" s="277"/>
      <c r="K210" s="277"/>
    </row>
    <row r="211" spans="1:11">
      <c r="A211" s="277"/>
      <c r="B211" s="277" t="s">
        <v>8666</v>
      </c>
      <c r="C211" s="25" t="s">
        <v>8667</v>
      </c>
      <c r="D211" s="277"/>
      <c r="E211" s="277"/>
      <c r="F211" s="277">
        <v>500</v>
      </c>
      <c r="G211" s="277"/>
      <c r="H211" s="277"/>
      <c r="I211" s="277"/>
      <c r="J211" s="277"/>
      <c r="K211" s="277"/>
    </row>
    <row r="212" spans="1:11">
      <c r="A212" s="277"/>
      <c r="B212" s="277" t="s">
        <v>8669</v>
      </c>
      <c r="C212" s="25" t="s">
        <v>8668</v>
      </c>
      <c r="D212" s="277"/>
      <c r="E212" s="277"/>
      <c r="F212" s="277">
        <v>495</v>
      </c>
      <c r="G212" s="277"/>
      <c r="H212" s="277"/>
      <c r="I212" s="277"/>
      <c r="J212" s="277"/>
      <c r="K212" s="277"/>
    </row>
    <row r="213" spans="1:11">
      <c r="A213" s="277"/>
      <c r="B213" s="277" t="s">
        <v>8671</v>
      </c>
      <c r="C213" s="25" t="s">
        <v>8670</v>
      </c>
      <c r="D213" s="277"/>
      <c r="E213" s="277"/>
      <c r="F213" s="277">
        <v>493</v>
      </c>
      <c r="G213" s="277"/>
      <c r="H213" s="277"/>
      <c r="I213" s="277"/>
      <c r="J213" s="277"/>
      <c r="K213" s="277"/>
    </row>
    <row r="214" spans="1:11">
      <c r="A214" s="277"/>
      <c r="B214" s="277" t="s">
        <v>8554</v>
      </c>
      <c r="C214" s="25" t="s">
        <v>8672</v>
      </c>
      <c r="D214" s="277"/>
      <c r="E214" s="277"/>
      <c r="F214" s="277">
        <v>490</v>
      </c>
      <c r="G214" s="277"/>
      <c r="H214" s="277"/>
      <c r="I214" s="277"/>
      <c r="J214" s="277"/>
      <c r="K214" s="277"/>
    </row>
    <row r="215" spans="1:11">
      <c r="A215" s="277"/>
      <c r="B215" s="277" t="s">
        <v>8673</v>
      </c>
      <c r="C215" s="25" t="s">
        <v>8674</v>
      </c>
      <c r="D215" s="277"/>
      <c r="E215" s="277"/>
      <c r="F215" s="277">
        <v>488</v>
      </c>
      <c r="G215" s="277"/>
      <c r="H215" s="277"/>
      <c r="I215" s="277"/>
      <c r="J215" s="277"/>
      <c r="K215" s="277"/>
    </row>
    <row r="216" spans="1:11">
      <c r="A216" s="277"/>
      <c r="B216" s="277" t="s">
        <v>8675</v>
      </c>
      <c r="C216" s="25" t="s">
        <v>8676</v>
      </c>
      <c r="D216" s="277"/>
      <c r="E216" s="277"/>
      <c r="F216" s="277">
        <v>484</v>
      </c>
      <c r="G216" s="277"/>
      <c r="H216" s="277"/>
      <c r="I216" s="277"/>
      <c r="J216" s="277"/>
      <c r="K216" s="277"/>
    </row>
    <row r="217" spans="1:11">
      <c r="A217" s="277"/>
      <c r="B217" s="277" t="s">
        <v>8600</v>
      </c>
      <c r="C217" s="25" t="s">
        <v>8677</v>
      </c>
      <c r="D217" s="277"/>
      <c r="E217" s="277"/>
      <c r="F217" s="277">
        <v>484</v>
      </c>
      <c r="G217" s="277"/>
      <c r="H217" s="277"/>
      <c r="I217" s="277"/>
      <c r="J217" s="277"/>
      <c r="K217" s="277"/>
    </row>
    <row r="218" spans="1:11">
      <c r="A218" s="277"/>
      <c r="B218" s="277" t="s">
        <v>8678</v>
      </c>
      <c r="C218" s="25" t="s">
        <v>8679</v>
      </c>
      <c r="D218" s="277"/>
      <c r="E218" s="277"/>
      <c r="F218" s="277">
        <v>479</v>
      </c>
      <c r="G218" s="277"/>
      <c r="H218" s="277"/>
      <c r="I218" s="277"/>
      <c r="J218" s="277"/>
      <c r="K218" s="277"/>
    </row>
    <row r="219" spans="1:11">
      <c r="A219" s="277"/>
      <c r="B219" s="277" t="s">
        <v>8436</v>
      </c>
      <c r="C219" s="25" t="s">
        <v>8680</v>
      </c>
      <c r="D219" s="277"/>
      <c r="E219" s="277"/>
      <c r="F219" s="277">
        <v>479</v>
      </c>
      <c r="G219" s="277"/>
      <c r="H219" s="277"/>
      <c r="I219" s="277"/>
      <c r="J219" s="277"/>
      <c r="K219" s="277"/>
    </row>
    <row r="220" spans="1:11">
      <c r="A220" s="277"/>
      <c r="B220" s="277" t="s">
        <v>8681</v>
      </c>
      <c r="C220" s="25" t="s">
        <v>8682</v>
      </c>
      <c r="D220" s="277"/>
      <c r="E220" s="277"/>
      <c r="F220" s="277">
        <v>477</v>
      </c>
      <c r="G220" s="277"/>
      <c r="H220" s="277"/>
      <c r="I220" s="277"/>
      <c r="J220" s="277"/>
      <c r="K220" s="277"/>
    </row>
    <row r="221" spans="1:11">
      <c r="A221" s="277"/>
      <c r="B221" s="277" t="s">
        <v>8683</v>
      </c>
      <c r="C221" s="25" t="s">
        <v>8684</v>
      </c>
      <c r="D221" s="277"/>
      <c r="E221" s="277"/>
      <c r="F221" s="277">
        <v>474</v>
      </c>
      <c r="G221" s="277"/>
      <c r="H221" s="277"/>
      <c r="I221" s="277"/>
      <c r="J221" s="277"/>
      <c r="K221" s="277"/>
    </row>
    <row r="222" spans="1:11">
      <c r="A222" s="277"/>
      <c r="B222" s="277" t="s">
        <v>8686</v>
      </c>
      <c r="C222" s="25" t="s">
        <v>8685</v>
      </c>
      <c r="D222" s="277"/>
      <c r="E222" s="277"/>
      <c r="F222" s="277">
        <v>470</v>
      </c>
      <c r="G222" s="277"/>
      <c r="H222" s="277"/>
      <c r="I222" s="277"/>
      <c r="J222" s="277"/>
      <c r="K222" s="277"/>
    </row>
    <row r="223" spans="1:11">
      <c r="A223" s="277"/>
      <c r="B223" s="277" t="s">
        <v>8688</v>
      </c>
      <c r="C223" s="25" t="s">
        <v>8687</v>
      </c>
      <c r="D223" s="277"/>
      <c r="E223" s="277"/>
      <c r="F223" s="277">
        <v>461</v>
      </c>
      <c r="G223" s="277"/>
      <c r="H223" s="277"/>
      <c r="I223" s="277"/>
      <c r="J223" s="277"/>
      <c r="K223" s="277"/>
    </row>
    <row r="224" spans="1:11">
      <c r="A224" s="277"/>
      <c r="B224" s="277" t="s">
        <v>8689</v>
      </c>
      <c r="C224" s="25" t="s">
        <v>8690</v>
      </c>
      <c r="D224" s="277"/>
      <c r="E224" s="277" t="s">
        <v>8934</v>
      </c>
      <c r="F224" s="277">
        <v>460</v>
      </c>
      <c r="G224" s="277"/>
      <c r="H224" s="277" t="s">
        <v>6224</v>
      </c>
      <c r="I224" s="277"/>
      <c r="J224" s="277"/>
      <c r="K224" s="277"/>
    </row>
    <row r="225" spans="1:11">
      <c r="A225" s="277"/>
      <c r="B225" s="277" t="s">
        <v>8692</v>
      </c>
      <c r="C225" s="25" t="s">
        <v>8691</v>
      </c>
      <c r="D225" s="277"/>
      <c r="E225" s="277"/>
      <c r="F225" s="277">
        <v>455</v>
      </c>
      <c r="G225" s="277"/>
      <c r="H225" s="277"/>
      <c r="I225" s="277"/>
      <c r="J225" s="277"/>
      <c r="K225" s="277"/>
    </row>
    <row r="226" spans="1:11">
      <c r="A226" s="277"/>
      <c r="B226" s="277" t="s">
        <v>8694</v>
      </c>
      <c r="C226" s="25" t="s">
        <v>8693</v>
      </c>
      <c r="D226" s="277"/>
      <c r="E226" s="277"/>
      <c r="F226" s="277">
        <v>448</v>
      </c>
      <c r="G226" s="277"/>
      <c r="H226" s="277"/>
      <c r="I226" s="277"/>
      <c r="J226" s="277"/>
      <c r="K226" s="277"/>
    </row>
    <row r="227" spans="1:11">
      <c r="A227" s="277"/>
      <c r="B227" s="277" t="s">
        <v>8696</v>
      </c>
      <c r="C227" s="25" t="s">
        <v>8695</v>
      </c>
      <c r="D227" s="277"/>
      <c r="E227" s="277"/>
      <c r="F227" s="277">
        <v>444</v>
      </c>
      <c r="G227" s="277"/>
      <c r="H227" s="277"/>
      <c r="I227" s="277"/>
      <c r="J227" s="277"/>
      <c r="K227" s="277"/>
    </row>
    <row r="228" spans="1:11">
      <c r="A228" s="277"/>
      <c r="B228" s="277" t="s">
        <v>8697</v>
      </c>
      <c r="C228" s="25" t="s">
        <v>8698</v>
      </c>
      <c r="D228" s="277"/>
      <c r="E228" s="277"/>
      <c r="F228" s="277">
        <v>442</v>
      </c>
      <c r="G228" s="277"/>
      <c r="H228" s="277"/>
      <c r="I228" s="277"/>
      <c r="J228" s="277"/>
      <c r="K228" s="277"/>
    </row>
    <row r="229" spans="1:11">
      <c r="A229" s="277"/>
      <c r="B229" s="277" t="s">
        <v>8697</v>
      </c>
      <c r="C229" s="25" t="s">
        <v>8699</v>
      </c>
      <c r="D229" s="277"/>
      <c r="E229" s="277"/>
      <c r="F229" s="277">
        <v>439</v>
      </c>
      <c r="G229" s="277"/>
      <c r="H229" s="277"/>
      <c r="I229" s="277"/>
      <c r="J229" s="277"/>
      <c r="K229" s="277"/>
    </row>
    <row r="230" spans="1:11">
      <c r="A230" s="277"/>
      <c r="B230" s="277" t="s">
        <v>8700</v>
      </c>
      <c r="C230" s="25" t="s">
        <v>8701</v>
      </c>
      <c r="D230" s="277"/>
      <c r="E230" s="277"/>
      <c r="F230" s="277">
        <v>438</v>
      </c>
      <c r="G230" s="277"/>
      <c r="H230" s="277"/>
      <c r="I230" s="277"/>
      <c r="J230" s="277"/>
      <c r="K230" s="277"/>
    </row>
    <row r="231" spans="1:11">
      <c r="A231" s="277"/>
      <c r="B231" s="277" t="s">
        <v>8702</v>
      </c>
      <c r="C231" s="25" t="s">
        <v>8703</v>
      </c>
      <c r="D231" s="277"/>
      <c r="E231" s="277"/>
      <c r="F231" s="277">
        <v>436</v>
      </c>
      <c r="G231" s="277"/>
      <c r="H231" s="277"/>
      <c r="I231" s="277"/>
      <c r="J231" s="277"/>
      <c r="K231" s="277"/>
    </row>
    <row r="232" spans="1:11">
      <c r="A232" s="277"/>
      <c r="B232" s="277" t="s">
        <v>8705</v>
      </c>
      <c r="C232" s="25" t="s">
        <v>8704</v>
      </c>
      <c r="D232" s="277"/>
      <c r="E232" s="277"/>
      <c r="F232" s="277">
        <v>433</v>
      </c>
      <c r="G232" s="277"/>
      <c r="H232" s="277"/>
      <c r="I232" s="277"/>
      <c r="J232" s="277"/>
      <c r="K232" s="277"/>
    </row>
    <row r="233" spans="1:11">
      <c r="A233" s="277"/>
      <c r="B233" s="277" t="s">
        <v>8706</v>
      </c>
      <c r="C233" s="25" t="s">
        <v>8707</v>
      </c>
      <c r="D233" s="277"/>
      <c r="E233" s="277"/>
      <c r="F233" s="277">
        <v>431</v>
      </c>
      <c r="G233" s="277"/>
      <c r="H233" s="277"/>
      <c r="I233" s="277"/>
      <c r="J233" s="277"/>
      <c r="K233" s="277"/>
    </row>
    <row r="234" spans="1:11">
      <c r="A234" s="277"/>
      <c r="B234" s="277" t="s">
        <v>8709</v>
      </c>
      <c r="C234" s="25" t="s">
        <v>8708</v>
      </c>
      <c r="D234" s="277"/>
      <c r="E234" s="277"/>
      <c r="F234" s="277">
        <v>430</v>
      </c>
      <c r="G234" s="277"/>
      <c r="H234" s="277"/>
      <c r="I234" s="277"/>
      <c r="J234" s="277"/>
      <c r="K234" s="277"/>
    </row>
    <row r="235" spans="1:11">
      <c r="A235" s="277"/>
      <c r="B235" s="277" t="s">
        <v>8711</v>
      </c>
      <c r="C235" s="25" t="s">
        <v>8710</v>
      </c>
      <c r="D235" s="277"/>
      <c r="E235" s="277"/>
      <c r="F235" s="277">
        <v>424</v>
      </c>
      <c r="G235" s="277"/>
      <c r="H235" s="277"/>
      <c r="I235" s="277"/>
      <c r="J235" s="277"/>
      <c r="K235" s="277"/>
    </row>
    <row r="236" spans="1:11">
      <c r="A236" s="277"/>
      <c r="B236" s="277" t="s">
        <v>8713</v>
      </c>
      <c r="C236" s="25" t="s">
        <v>8712</v>
      </c>
      <c r="D236" s="277"/>
      <c r="E236" s="277"/>
      <c r="F236" s="277">
        <v>419</v>
      </c>
      <c r="G236" s="277"/>
      <c r="H236" s="277"/>
      <c r="I236" s="277"/>
      <c r="J236" s="277"/>
      <c r="K236" s="277"/>
    </row>
    <row r="237" spans="1:11">
      <c r="A237" s="277"/>
      <c r="B237" s="277" t="s">
        <v>8714</v>
      </c>
      <c r="C237" s="25" t="s">
        <v>8715</v>
      </c>
      <c r="D237" s="277"/>
      <c r="E237" s="277"/>
      <c r="F237" s="277">
        <v>418</v>
      </c>
      <c r="G237" s="277"/>
      <c r="H237" s="277"/>
      <c r="I237" s="277"/>
      <c r="J237" s="277"/>
      <c r="K237" s="277"/>
    </row>
    <row r="238" spans="1:11">
      <c r="A238" s="277"/>
      <c r="B238" s="277" t="s">
        <v>8716</v>
      </c>
      <c r="C238" s="25" t="s">
        <v>8717</v>
      </c>
      <c r="D238" s="277"/>
      <c r="E238" s="277"/>
      <c r="F238" s="277">
        <v>411</v>
      </c>
      <c r="G238" s="277"/>
      <c r="H238" s="277"/>
      <c r="I238" s="277"/>
      <c r="J238" s="277"/>
      <c r="K238" s="277"/>
    </row>
    <row r="239" spans="1:11">
      <c r="A239" s="277"/>
      <c r="B239" s="277" t="s">
        <v>8719</v>
      </c>
      <c r="C239" s="25" t="s">
        <v>8718</v>
      </c>
      <c r="D239" s="277"/>
      <c r="E239" s="277"/>
      <c r="F239" s="277">
        <v>409</v>
      </c>
      <c r="G239" s="277"/>
      <c r="H239" s="277"/>
      <c r="I239" s="277"/>
      <c r="J239" s="277"/>
      <c r="K239" s="277"/>
    </row>
    <row r="240" spans="1:11">
      <c r="A240" s="277"/>
      <c r="B240" s="277" t="s">
        <v>8720</v>
      </c>
      <c r="C240" s="25" t="s">
        <v>8721</v>
      </c>
      <c r="D240" s="277"/>
      <c r="E240" s="277"/>
      <c r="F240" s="277">
        <v>401</v>
      </c>
      <c r="G240" s="277"/>
      <c r="H240" s="277"/>
      <c r="I240" s="277"/>
      <c r="J240" s="277"/>
      <c r="K240" s="277"/>
    </row>
    <row r="241" spans="1:11">
      <c r="A241" s="277"/>
      <c r="B241" s="277" t="s">
        <v>8722</v>
      </c>
      <c r="C241" s="25" t="s">
        <v>8723</v>
      </c>
      <c r="D241" s="277"/>
      <c r="E241" s="277"/>
      <c r="F241" s="277">
        <v>399</v>
      </c>
      <c r="G241" s="277"/>
      <c r="H241" s="277"/>
      <c r="I241" s="277"/>
      <c r="J241" s="277"/>
      <c r="K241" s="277"/>
    </row>
    <row r="242" spans="1:11">
      <c r="A242" s="277"/>
      <c r="B242" s="277" t="s">
        <v>8724</v>
      </c>
      <c r="C242" s="25" t="s">
        <v>8725</v>
      </c>
      <c r="D242" s="277"/>
      <c r="E242" s="277"/>
      <c r="F242" s="277">
        <v>397</v>
      </c>
      <c r="G242" s="277"/>
      <c r="H242" s="277"/>
      <c r="I242" s="277"/>
      <c r="J242" s="277"/>
      <c r="K242" s="277"/>
    </row>
    <row r="243" spans="1:11">
      <c r="A243" s="277"/>
      <c r="B243" s="277" t="s">
        <v>8726</v>
      </c>
      <c r="C243" s="25" t="s">
        <v>8727</v>
      </c>
      <c r="D243" s="277"/>
      <c r="E243" s="277"/>
      <c r="F243" s="277">
        <v>395</v>
      </c>
      <c r="G243" s="277"/>
      <c r="H243" s="277"/>
      <c r="I243" s="277"/>
      <c r="J243" s="277"/>
      <c r="K243" s="277"/>
    </row>
    <row r="244" spans="1:11">
      <c r="A244" s="277"/>
      <c r="B244" s="277" t="s">
        <v>8730</v>
      </c>
      <c r="C244" s="25" t="s">
        <v>8732</v>
      </c>
      <c r="D244" s="277"/>
      <c r="E244" s="277"/>
      <c r="F244" s="277">
        <v>390</v>
      </c>
      <c r="G244" s="277"/>
      <c r="H244" s="277"/>
      <c r="I244" s="277"/>
      <c r="J244" s="277"/>
      <c r="K244" s="277"/>
    </row>
    <row r="245" spans="1:11">
      <c r="A245" s="277"/>
      <c r="B245" s="277" t="s">
        <v>8733</v>
      </c>
      <c r="C245" s="25" t="s">
        <v>8731</v>
      </c>
      <c r="D245" s="277"/>
      <c r="E245" s="277"/>
      <c r="F245" s="277">
        <v>390</v>
      </c>
      <c r="G245" s="277"/>
      <c r="H245" s="277"/>
      <c r="I245" s="277"/>
      <c r="J245" s="277"/>
      <c r="K245" s="277"/>
    </row>
    <row r="246" spans="1:11">
      <c r="A246" s="277"/>
      <c r="B246" s="277" t="s">
        <v>8734</v>
      </c>
      <c r="C246" s="25" t="s">
        <v>8735</v>
      </c>
      <c r="D246" s="277" t="s">
        <v>8928</v>
      </c>
      <c r="E246" s="25" t="s">
        <v>8929</v>
      </c>
      <c r="F246" s="277">
        <v>387</v>
      </c>
      <c r="G246" s="277"/>
      <c r="H246" s="277"/>
      <c r="I246" s="277"/>
      <c r="J246" s="277"/>
      <c r="K246" s="277"/>
    </row>
    <row r="247" spans="1:11">
      <c r="A247" s="277"/>
      <c r="B247" s="277" t="s">
        <v>8736</v>
      </c>
      <c r="C247" s="25" t="s">
        <v>8737</v>
      </c>
      <c r="D247" s="277"/>
      <c r="E247" s="277"/>
      <c r="F247" s="277">
        <v>386</v>
      </c>
      <c r="G247" s="277"/>
      <c r="H247" s="277"/>
      <c r="I247" s="277"/>
      <c r="J247" s="277"/>
      <c r="K247" s="277"/>
    </row>
    <row r="248" spans="1:11">
      <c r="A248" s="277"/>
      <c r="B248" s="277" t="s">
        <v>8738</v>
      </c>
      <c r="C248" s="25" t="s">
        <v>8739</v>
      </c>
      <c r="D248" s="277"/>
      <c r="E248" s="277"/>
      <c r="F248" s="277">
        <v>386</v>
      </c>
      <c r="G248" s="277"/>
      <c r="H248" s="277"/>
      <c r="I248" s="277"/>
      <c r="J248" s="277"/>
      <c r="K248" s="277"/>
    </row>
    <row r="249" spans="1:11">
      <c r="A249" s="277"/>
      <c r="B249" s="277" t="s">
        <v>8417</v>
      </c>
      <c r="C249" s="25" t="s">
        <v>8740</v>
      </c>
      <c r="D249" s="277"/>
      <c r="E249" s="277"/>
      <c r="F249" s="277">
        <v>383</v>
      </c>
      <c r="G249" s="277"/>
      <c r="H249" s="277"/>
      <c r="I249" s="277"/>
      <c r="J249" s="277"/>
      <c r="K249" s="277"/>
    </row>
    <row r="250" spans="1:11">
      <c r="A250" s="277"/>
      <c r="B250" s="277" t="s">
        <v>8742</v>
      </c>
      <c r="C250" s="25" t="s">
        <v>8741</v>
      </c>
      <c r="D250" s="277"/>
      <c r="E250" s="277"/>
      <c r="F250" s="277">
        <v>382</v>
      </c>
      <c r="G250" s="277"/>
      <c r="H250" s="277"/>
      <c r="I250" s="277"/>
      <c r="J250" s="277"/>
      <c r="K250" s="277"/>
    </row>
    <row r="251" spans="1:11">
      <c r="A251" s="277"/>
      <c r="B251" s="277" t="s">
        <v>8554</v>
      </c>
      <c r="C251" s="25" t="s">
        <v>8743</v>
      </c>
      <c r="D251" s="277"/>
      <c r="E251" s="277"/>
      <c r="F251" s="277">
        <v>380</v>
      </c>
      <c r="G251" s="277"/>
      <c r="H251" s="277"/>
      <c r="I251" s="277"/>
      <c r="J251" s="277"/>
      <c r="K251" s="277"/>
    </row>
    <row r="252" spans="1:11">
      <c r="A252" s="277"/>
      <c r="B252" s="277" t="s">
        <v>8744</v>
      </c>
      <c r="C252" s="25" t="s">
        <v>8745</v>
      </c>
      <c r="D252" s="277"/>
      <c r="E252" s="277"/>
      <c r="F252" s="277">
        <v>379</v>
      </c>
      <c r="G252" s="277"/>
      <c r="H252" s="277"/>
      <c r="I252" s="277"/>
      <c r="J252" s="277"/>
      <c r="K252" s="277"/>
    </row>
    <row r="253" spans="1:11">
      <c r="A253" s="277"/>
      <c r="B253" s="277" t="s">
        <v>8746</v>
      </c>
      <c r="C253" s="25" t="s">
        <v>8747</v>
      </c>
      <c r="D253" s="277"/>
      <c r="E253" s="277"/>
      <c r="F253" s="277">
        <v>376</v>
      </c>
      <c r="G253" s="277"/>
      <c r="H253" s="277"/>
      <c r="I253" s="277"/>
      <c r="J253" s="277"/>
      <c r="K253" s="277"/>
    </row>
    <row r="254" spans="1:11">
      <c r="A254" s="277"/>
      <c r="B254" s="277" t="s">
        <v>8554</v>
      </c>
      <c r="C254" s="25" t="s">
        <v>8748</v>
      </c>
      <c r="D254" s="277"/>
      <c r="E254" s="277"/>
      <c r="F254" s="277">
        <v>375</v>
      </c>
      <c r="G254" s="277"/>
      <c r="H254" s="277"/>
      <c r="I254" s="277"/>
      <c r="J254" s="277"/>
      <c r="K254" s="277"/>
    </row>
    <row r="255" spans="1:11">
      <c r="A255" s="277"/>
      <c r="B255" s="277" t="s">
        <v>8749</v>
      </c>
      <c r="C255" s="25" t="s">
        <v>8750</v>
      </c>
      <c r="D255" s="277"/>
      <c r="E255" s="277"/>
      <c r="F255" s="277">
        <v>374</v>
      </c>
      <c r="G255" s="277"/>
      <c r="H255" s="277"/>
      <c r="I255" s="277"/>
      <c r="J255" s="277"/>
      <c r="K255" s="277"/>
    </row>
    <row r="256" spans="1:11">
      <c r="A256" s="277"/>
      <c r="B256" s="277" t="s">
        <v>8751</v>
      </c>
      <c r="C256" s="25" t="s">
        <v>8752</v>
      </c>
      <c r="D256" s="277"/>
      <c r="E256" s="277"/>
      <c r="F256" s="277">
        <v>373</v>
      </c>
      <c r="G256" s="277"/>
      <c r="H256" s="277"/>
      <c r="I256" s="277"/>
      <c r="J256" s="277"/>
      <c r="K256" s="277"/>
    </row>
    <row r="257" spans="1:11">
      <c r="A257" s="277"/>
      <c r="B257" s="277" t="s">
        <v>8754</v>
      </c>
      <c r="C257" s="25" t="s">
        <v>8753</v>
      </c>
      <c r="D257" s="277"/>
      <c r="E257" s="277"/>
      <c r="F257" s="277">
        <v>371</v>
      </c>
      <c r="G257" s="277"/>
      <c r="H257" s="277"/>
      <c r="I257" s="277"/>
      <c r="J257" s="277"/>
      <c r="K257" s="277"/>
    </row>
    <row r="258" spans="1:11">
      <c r="A258" s="277"/>
      <c r="B258" s="277" t="s">
        <v>8563</v>
      </c>
      <c r="C258" s="25" t="s">
        <v>8755</v>
      </c>
      <c r="D258" s="277"/>
      <c r="E258" s="277"/>
      <c r="F258" s="277">
        <v>370</v>
      </c>
      <c r="G258" s="277"/>
      <c r="H258" s="277"/>
      <c r="I258" s="277"/>
      <c r="J258" s="277"/>
      <c r="K258" s="277"/>
    </row>
    <row r="259" spans="1:11">
      <c r="A259" s="277"/>
      <c r="B259" s="277" t="s">
        <v>8532</v>
      </c>
      <c r="C259" s="25" t="s">
        <v>8756</v>
      </c>
      <c r="D259" s="277"/>
      <c r="E259" s="277"/>
      <c r="F259" s="277">
        <v>370</v>
      </c>
      <c r="G259" s="277"/>
      <c r="H259" s="277"/>
      <c r="I259" s="277"/>
      <c r="J259" s="277"/>
      <c r="K259" s="277"/>
    </row>
    <row r="260" spans="1:11">
      <c r="A260" s="277"/>
      <c r="B260" s="277" t="s">
        <v>8758</v>
      </c>
      <c r="C260" s="25" t="s">
        <v>8757</v>
      </c>
      <c r="D260" s="277"/>
      <c r="E260" s="277"/>
      <c r="F260" s="277">
        <v>369</v>
      </c>
      <c r="G260" s="277"/>
      <c r="H260" s="277"/>
      <c r="I260" s="277"/>
      <c r="J260" s="277"/>
      <c r="K260" s="277"/>
    </row>
    <row r="261" spans="1:11">
      <c r="A261" s="277"/>
      <c r="B261" s="277" t="s">
        <v>8759</v>
      </c>
      <c r="C261" s="25" t="s">
        <v>8760</v>
      </c>
      <c r="D261" s="277"/>
      <c r="E261" s="277"/>
      <c r="F261" s="277">
        <v>368</v>
      </c>
      <c r="G261" s="277"/>
      <c r="H261" s="277"/>
      <c r="I261" s="277"/>
      <c r="J261" s="277"/>
      <c r="K261" s="277"/>
    </row>
    <row r="262" spans="1:11">
      <c r="A262" s="277"/>
      <c r="B262" s="277" t="s">
        <v>8761</v>
      </c>
      <c r="C262" s="25" t="s">
        <v>8760</v>
      </c>
      <c r="D262" s="277"/>
      <c r="E262" s="277"/>
      <c r="F262" s="277">
        <v>368</v>
      </c>
      <c r="G262" s="277"/>
      <c r="H262" s="277"/>
      <c r="I262" s="277"/>
      <c r="J262" s="277"/>
      <c r="K262" s="277"/>
    </row>
    <row r="263" spans="1:11">
      <c r="A263" s="277"/>
      <c r="B263" s="277" t="s">
        <v>8607</v>
      </c>
      <c r="C263" s="25" t="s">
        <v>8762</v>
      </c>
      <c r="D263" s="277"/>
      <c r="E263" s="277"/>
      <c r="F263" s="277">
        <v>366</v>
      </c>
      <c r="G263" s="277"/>
      <c r="H263" s="277"/>
      <c r="I263" s="277"/>
      <c r="J263" s="277"/>
      <c r="K263" s="277"/>
    </row>
    <row r="264" spans="1:11">
      <c r="A264" s="277"/>
      <c r="B264" s="277" t="s">
        <v>8763</v>
      </c>
      <c r="C264" s="25" t="s">
        <v>8764</v>
      </c>
      <c r="D264" s="277"/>
      <c r="E264" s="277"/>
      <c r="F264" s="277">
        <v>365</v>
      </c>
      <c r="G264" s="277"/>
      <c r="H264" s="277"/>
      <c r="I264" s="277"/>
      <c r="J264" s="277"/>
      <c r="K264" s="277"/>
    </row>
    <row r="265" spans="1:11">
      <c r="A265" s="277"/>
      <c r="B265" s="277" t="s">
        <v>8766</v>
      </c>
      <c r="C265" s="25" t="s">
        <v>8765</v>
      </c>
      <c r="D265" s="277"/>
      <c r="E265" s="277"/>
      <c r="F265" s="277">
        <v>364</v>
      </c>
      <c r="G265" s="277"/>
      <c r="H265" s="277"/>
      <c r="I265" s="277"/>
      <c r="J265" s="277"/>
      <c r="K265" s="277"/>
    </row>
    <row r="266" spans="1:11">
      <c r="A266" s="277"/>
      <c r="B266" s="277" t="s">
        <v>8767</v>
      </c>
      <c r="C266" s="25" t="s">
        <v>8768</v>
      </c>
      <c r="D266" s="277"/>
      <c r="E266" s="277"/>
      <c r="F266" s="277">
        <v>360</v>
      </c>
      <c r="G266" s="277"/>
      <c r="H266" s="277"/>
      <c r="I266" s="277"/>
      <c r="J266" s="277"/>
      <c r="K266" s="277"/>
    </row>
    <row r="267" spans="1:11">
      <c r="A267" s="277"/>
      <c r="B267" s="277" t="s">
        <v>8769</v>
      </c>
      <c r="C267" s="25" t="s">
        <v>8770</v>
      </c>
      <c r="D267" s="277"/>
      <c r="E267" s="277"/>
      <c r="F267" s="277">
        <v>360</v>
      </c>
      <c r="G267" s="277"/>
      <c r="H267" s="277"/>
      <c r="I267" s="277"/>
      <c r="J267" s="277"/>
      <c r="K267" s="277"/>
    </row>
    <row r="268" spans="1:11">
      <c r="A268" s="277"/>
      <c r="B268" s="277" t="s">
        <v>8772</v>
      </c>
      <c r="C268" s="25" t="s">
        <v>8771</v>
      </c>
      <c r="D268" s="277"/>
      <c r="E268" s="277"/>
      <c r="F268" s="277">
        <v>358</v>
      </c>
      <c r="G268" s="277"/>
      <c r="H268" s="277"/>
      <c r="I268" s="277"/>
      <c r="J268" s="277"/>
      <c r="K268" s="277"/>
    </row>
    <row r="269" spans="1:11">
      <c r="A269" s="277"/>
      <c r="B269" s="277" t="s">
        <v>8774</v>
      </c>
      <c r="C269" s="25" t="s">
        <v>8773</v>
      </c>
      <c r="D269" s="277"/>
      <c r="E269" s="277"/>
      <c r="F269" s="277">
        <v>356</v>
      </c>
      <c r="G269" s="277"/>
      <c r="H269" s="277"/>
      <c r="I269" s="277"/>
      <c r="J269" s="277"/>
      <c r="K269" s="277"/>
    </row>
    <row r="270" spans="1:11">
      <c r="A270" s="277"/>
      <c r="B270" s="277" t="s">
        <v>8372</v>
      </c>
      <c r="C270" s="25" t="s">
        <v>8775</v>
      </c>
      <c r="D270" s="277"/>
      <c r="E270" s="277"/>
      <c r="F270" s="277">
        <v>351</v>
      </c>
      <c r="G270" s="277"/>
      <c r="H270" s="277"/>
      <c r="I270" s="277"/>
      <c r="J270" s="277"/>
      <c r="K270" s="277"/>
    </row>
    <row r="271" spans="1:11">
      <c r="A271" s="277"/>
      <c r="B271" s="277" t="s">
        <v>8777</v>
      </c>
      <c r="C271" s="25" t="s">
        <v>8776</v>
      </c>
      <c r="D271" s="277"/>
      <c r="E271" s="277"/>
      <c r="F271" s="277">
        <v>350</v>
      </c>
      <c r="G271" s="277"/>
      <c r="H271" s="277"/>
      <c r="I271" s="277"/>
      <c r="J271" s="277"/>
      <c r="K271" s="277"/>
    </row>
    <row r="272" spans="1:11">
      <c r="A272" s="277"/>
      <c r="B272" s="277" t="s">
        <v>8778</v>
      </c>
      <c r="C272" s="25" t="s">
        <v>8779</v>
      </c>
      <c r="D272" s="277"/>
      <c r="E272" s="277"/>
      <c r="F272" s="277">
        <v>350</v>
      </c>
      <c r="G272" s="277"/>
      <c r="H272" s="277"/>
      <c r="I272" s="277"/>
      <c r="J272" s="277"/>
      <c r="K272" s="277"/>
    </row>
    <row r="273" spans="1:11">
      <c r="A273" s="277"/>
      <c r="B273" s="277" t="s">
        <v>8780</v>
      </c>
      <c r="C273" s="25" t="s">
        <v>8781</v>
      </c>
      <c r="D273" s="277"/>
      <c r="E273" s="277"/>
      <c r="F273" s="277">
        <v>350</v>
      </c>
      <c r="G273" s="277"/>
      <c r="H273" s="277"/>
      <c r="I273" s="277"/>
      <c r="J273" s="277"/>
      <c r="K273" s="277"/>
    </row>
    <row r="274" spans="1:11">
      <c r="A274" s="277"/>
      <c r="B274" s="277" t="s">
        <v>8554</v>
      </c>
      <c r="C274" s="25" t="s">
        <v>8782</v>
      </c>
      <c r="D274" s="277"/>
      <c r="E274" s="277"/>
      <c r="F274" s="277">
        <v>349</v>
      </c>
      <c r="G274" s="277"/>
      <c r="H274" s="277"/>
      <c r="I274" s="277"/>
      <c r="J274" s="277"/>
      <c r="K274" s="277"/>
    </row>
    <row r="275" spans="1:11">
      <c r="A275" s="277"/>
      <c r="B275" s="277" t="s">
        <v>8783</v>
      </c>
      <c r="C275" s="25" t="s">
        <v>8784</v>
      </c>
      <c r="D275" s="277"/>
      <c r="E275" s="277"/>
      <c r="F275" s="277">
        <v>348</v>
      </c>
      <c r="G275" s="277"/>
      <c r="H275" s="277"/>
      <c r="I275" s="277"/>
      <c r="J275" s="277"/>
      <c r="K275" s="277"/>
    </row>
    <row r="276" spans="1:11">
      <c r="A276" s="277"/>
      <c r="B276" s="277" t="s">
        <v>8761</v>
      </c>
      <c r="C276" s="25" t="s">
        <v>8785</v>
      </c>
      <c r="D276" s="277"/>
      <c r="E276" s="277"/>
      <c r="F276" s="277">
        <v>345</v>
      </c>
      <c r="G276" s="277"/>
      <c r="H276" s="277"/>
      <c r="I276" s="277"/>
      <c r="J276" s="277"/>
      <c r="K276" s="277"/>
    </row>
    <row r="277" spans="1:11">
      <c r="A277" s="277"/>
      <c r="B277" s="277" t="s">
        <v>8787</v>
      </c>
      <c r="C277" s="25" t="s">
        <v>8786</v>
      </c>
      <c r="D277" s="277"/>
      <c r="E277" s="277"/>
      <c r="F277" s="277">
        <v>343</v>
      </c>
      <c r="G277" s="277"/>
      <c r="H277" s="277"/>
      <c r="I277" s="277"/>
      <c r="J277" s="277"/>
      <c r="K277" s="277"/>
    </row>
    <row r="278" spans="1:11">
      <c r="A278" s="277"/>
      <c r="B278" s="277" t="s">
        <v>8788</v>
      </c>
      <c r="C278" s="25" t="s">
        <v>8789</v>
      </c>
      <c r="D278" s="277"/>
      <c r="E278" s="277"/>
      <c r="F278" s="277">
        <v>342</v>
      </c>
      <c r="G278" s="277"/>
      <c r="H278" s="277"/>
      <c r="I278" s="277"/>
      <c r="J278" s="277"/>
      <c r="K278" s="277"/>
    </row>
    <row r="279" spans="1:11">
      <c r="A279" s="277"/>
      <c r="B279" s="277" t="s">
        <v>8790</v>
      </c>
      <c r="C279" s="25" t="s">
        <v>8791</v>
      </c>
      <c r="D279" s="277"/>
      <c r="E279" s="277"/>
      <c r="F279" s="277">
        <v>342</v>
      </c>
      <c r="G279" s="277"/>
      <c r="H279" s="277"/>
      <c r="I279" s="277"/>
      <c r="J279" s="277"/>
      <c r="K279" s="277"/>
    </row>
    <row r="280" spans="1:11">
      <c r="A280" s="277"/>
      <c r="B280" s="277" t="s">
        <v>8792</v>
      </c>
      <c r="C280" s="25" t="s">
        <v>8793</v>
      </c>
      <c r="D280" s="277"/>
      <c r="E280" s="277"/>
      <c r="F280" s="277">
        <v>338</v>
      </c>
      <c r="G280" s="277"/>
      <c r="H280" s="277"/>
      <c r="I280" s="277"/>
      <c r="J280" s="277"/>
      <c r="K280" s="277"/>
    </row>
    <row r="281" spans="1:11">
      <c r="A281" s="277"/>
      <c r="B281" s="277" t="s">
        <v>8795</v>
      </c>
      <c r="C281" s="25" t="s">
        <v>8794</v>
      </c>
      <c r="D281" s="277"/>
      <c r="E281" s="277"/>
      <c r="F281" s="277">
        <v>333</v>
      </c>
      <c r="G281" s="277"/>
      <c r="H281" s="277"/>
      <c r="I281" s="277"/>
      <c r="J281" s="277"/>
      <c r="K281" s="277"/>
    </row>
    <row r="282" spans="1:11">
      <c r="A282" s="277"/>
      <c r="B282" s="277" t="s">
        <v>8796</v>
      </c>
      <c r="C282" s="25" t="s">
        <v>8797</v>
      </c>
      <c r="D282" s="277"/>
      <c r="E282" s="277"/>
      <c r="F282" s="277">
        <v>332</v>
      </c>
      <c r="G282" s="277"/>
      <c r="H282" s="277"/>
      <c r="I282" s="277"/>
      <c r="J282" s="277"/>
      <c r="K282" s="277"/>
    </row>
    <row r="283" spans="1:11">
      <c r="A283" s="277"/>
      <c r="B283" s="277" t="s">
        <v>7971</v>
      </c>
      <c r="C283" s="277" t="s">
        <v>8112</v>
      </c>
      <c r="D283" s="277"/>
      <c r="E283" s="277"/>
      <c r="F283" s="277">
        <v>331</v>
      </c>
      <c r="G283" s="277"/>
      <c r="H283" s="277"/>
      <c r="I283" s="277"/>
      <c r="J283" s="277"/>
      <c r="K283" s="277"/>
    </row>
    <row r="284" spans="1:11">
      <c r="A284" s="277"/>
      <c r="B284" s="277" t="s">
        <v>8799</v>
      </c>
      <c r="C284" s="25" t="s">
        <v>8798</v>
      </c>
      <c r="D284" s="277"/>
      <c r="E284" s="277"/>
      <c r="F284" s="277">
        <v>329</v>
      </c>
      <c r="G284" s="277"/>
      <c r="H284" s="277"/>
      <c r="I284" s="277"/>
      <c r="J284" s="277"/>
      <c r="K284" s="277"/>
    </row>
    <row r="285" spans="1:11">
      <c r="A285" s="277"/>
      <c r="B285" s="277" t="s">
        <v>8801</v>
      </c>
      <c r="C285" s="25" t="s">
        <v>8800</v>
      </c>
      <c r="D285" s="277"/>
      <c r="E285" s="277"/>
      <c r="F285" s="277">
        <v>324</v>
      </c>
      <c r="G285" s="277"/>
      <c r="H285" s="277"/>
      <c r="I285" s="277"/>
      <c r="J285" s="277"/>
      <c r="K285" s="277"/>
    </row>
    <row r="286" spans="1:11">
      <c r="A286" s="277"/>
      <c r="B286" s="277" t="s">
        <v>8803</v>
      </c>
      <c r="C286" s="25" t="s">
        <v>8802</v>
      </c>
      <c r="D286" s="277"/>
      <c r="E286" s="277"/>
      <c r="F286" s="277">
        <v>321</v>
      </c>
      <c r="G286" s="277"/>
      <c r="H286" s="277"/>
      <c r="I286" s="277"/>
      <c r="J286" s="277"/>
      <c r="K286" s="277"/>
    </row>
    <row r="287" spans="1:11">
      <c r="A287" s="277"/>
      <c r="B287" s="277" t="s">
        <v>8321</v>
      </c>
      <c r="C287" s="25" t="s">
        <v>8322</v>
      </c>
      <c r="D287" s="277"/>
      <c r="E287" s="277"/>
      <c r="F287" s="277">
        <v>320</v>
      </c>
      <c r="G287" s="277"/>
      <c r="H287" s="277"/>
      <c r="I287" s="277"/>
      <c r="J287" s="277"/>
      <c r="K287" s="277"/>
    </row>
    <row r="288" spans="1:11">
      <c r="A288" s="277"/>
      <c r="B288" s="277" t="s">
        <v>8804</v>
      </c>
      <c r="C288" s="25" t="s">
        <v>8805</v>
      </c>
      <c r="D288" s="277"/>
      <c r="E288" s="277"/>
      <c r="F288" s="277">
        <v>317</v>
      </c>
      <c r="G288" s="277"/>
      <c r="H288" s="277"/>
      <c r="I288" s="277"/>
      <c r="J288" s="277"/>
      <c r="K288" s="277"/>
    </row>
    <row r="289" spans="1:11">
      <c r="A289" s="277"/>
      <c r="B289" s="277" t="s">
        <v>8806</v>
      </c>
      <c r="C289" s="25" t="s">
        <v>8807</v>
      </c>
      <c r="D289" s="277"/>
      <c r="E289" s="277"/>
      <c r="F289" s="277">
        <v>315</v>
      </c>
      <c r="G289" s="277"/>
      <c r="H289" s="277"/>
      <c r="I289" s="277"/>
      <c r="J289" s="277"/>
      <c r="K289" s="277"/>
    </row>
    <row r="290" spans="1:11">
      <c r="A290" s="277"/>
      <c r="B290" s="277" t="s">
        <v>8808</v>
      </c>
      <c r="C290" s="25" t="s">
        <v>8809</v>
      </c>
      <c r="D290" s="277"/>
      <c r="E290" s="277"/>
      <c r="F290" s="277">
        <v>309</v>
      </c>
      <c r="G290" s="277"/>
      <c r="H290" s="277"/>
      <c r="I290" s="277"/>
      <c r="J290" s="277"/>
      <c r="K290" s="277"/>
    </row>
    <row r="291" spans="1:11">
      <c r="A291" s="277"/>
      <c r="B291" s="277" t="s">
        <v>8811</v>
      </c>
      <c r="C291" s="25" t="s">
        <v>8810</v>
      </c>
      <c r="D291" s="277"/>
      <c r="E291" s="277"/>
      <c r="F291" s="277">
        <v>309</v>
      </c>
      <c r="G291" s="277"/>
      <c r="H291" s="277"/>
      <c r="I291" s="277"/>
      <c r="J291" s="277"/>
      <c r="K291" s="277"/>
    </row>
    <row r="292" spans="1:11">
      <c r="A292" s="277"/>
      <c r="B292" s="277" t="s">
        <v>8813</v>
      </c>
      <c r="C292" s="25" t="s">
        <v>8812</v>
      </c>
      <c r="D292" s="277"/>
      <c r="E292" s="277"/>
      <c r="F292" s="277">
        <v>307</v>
      </c>
      <c r="G292" s="277"/>
      <c r="H292" s="277"/>
      <c r="I292" s="277"/>
      <c r="J292" s="277"/>
      <c r="K292" s="277"/>
    </row>
    <row r="293" spans="1:11">
      <c r="A293" s="277"/>
      <c r="B293" s="277" t="s">
        <v>8815</v>
      </c>
      <c r="C293" s="25" t="s">
        <v>8814</v>
      </c>
      <c r="D293" s="277"/>
      <c r="E293" s="277"/>
      <c r="F293" s="277">
        <v>306</v>
      </c>
      <c r="G293" s="277"/>
      <c r="H293" s="277"/>
      <c r="I293" s="277"/>
      <c r="J293" s="277"/>
      <c r="K293" s="277"/>
    </row>
    <row r="294" spans="1:11">
      <c r="A294" s="277"/>
      <c r="B294" s="277" t="s">
        <v>8816</v>
      </c>
      <c r="C294" s="25" t="s">
        <v>8818</v>
      </c>
      <c r="D294" s="277"/>
      <c r="E294" s="277"/>
      <c r="F294" s="277">
        <v>306</v>
      </c>
      <c r="G294" s="277"/>
      <c r="H294" s="277"/>
      <c r="I294" s="277"/>
      <c r="J294" s="277"/>
      <c r="K294" s="277"/>
    </row>
    <row r="295" spans="1:11">
      <c r="A295" s="277"/>
      <c r="B295" s="277" t="s">
        <v>8719</v>
      </c>
      <c r="C295" s="25" t="s">
        <v>8817</v>
      </c>
      <c r="D295" s="277"/>
      <c r="E295" s="277"/>
      <c r="F295" s="277">
        <v>306</v>
      </c>
      <c r="G295" s="277"/>
      <c r="H295" s="277"/>
      <c r="I295" s="277"/>
      <c r="J295" s="277"/>
      <c r="K295" s="277"/>
    </row>
    <row r="296" spans="1:11">
      <c r="A296" s="277"/>
      <c r="B296" s="277" t="s">
        <v>8820</v>
      </c>
      <c r="C296" s="25" t="s">
        <v>8819</v>
      </c>
      <c r="D296" s="277"/>
      <c r="E296" s="277"/>
      <c r="F296" s="277">
        <v>306</v>
      </c>
      <c r="G296" s="277"/>
      <c r="H296" s="277"/>
      <c r="I296" s="277"/>
      <c r="J296" s="277"/>
      <c r="K296" s="277"/>
    </row>
    <row r="297" spans="1:11">
      <c r="A297" s="277"/>
      <c r="B297" s="277" t="s">
        <v>8821</v>
      </c>
      <c r="C297" s="25" t="s">
        <v>8822</v>
      </c>
      <c r="D297" s="277"/>
      <c r="E297" s="277"/>
      <c r="F297" s="277">
        <v>306</v>
      </c>
      <c r="G297" s="277"/>
      <c r="H297" s="277"/>
      <c r="I297" s="277"/>
      <c r="J297" s="277"/>
      <c r="K297" s="277"/>
    </row>
    <row r="298" spans="1:11">
      <c r="A298" s="277"/>
      <c r="B298" s="277" t="s">
        <v>8824</v>
      </c>
      <c r="C298" s="25" t="s">
        <v>8823</v>
      </c>
      <c r="D298" s="277"/>
      <c r="E298" s="277"/>
      <c r="F298" s="277">
        <v>304</v>
      </c>
      <c r="G298" s="277"/>
      <c r="H298" s="277"/>
      <c r="I298" s="277"/>
      <c r="J298" s="277"/>
      <c r="K298" s="277"/>
    </row>
    <row r="299" spans="1:11">
      <c r="A299" s="277"/>
      <c r="B299" s="277" t="s">
        <v>8826</v>
      </c>
      <c r="C299" s="25" t="s">
        <v>8825</v>
      </c>
      <c r="D299" s="277"/>
      <c r="E299" s="277"/>
      <c r="F299" s="277">
        <v>303</v>
      </c>
      <c r="G299" s="277"/>
      <c r="H299" s="277"/>
      <c r="I299" s="277"/>
      <c r="J299" s="277"/>
      <c r="K299" s="277"/>
    </row>
    <row r="300" spans="1:11">
      <c r="B300" s="277" t="s">
        <v>8235</v>
      </c>
      <c r="C300" s="25" t="s">
        <v>8236</v>
      </c>
      <c r="D300" s="277"/>
      <c r="E300" s="277" t="s">
        <v>8237</v>
      </c>
      <c r="F300" s="277">
        <v>288</v>
      </c>
      <c r="H300" s="277"/>
      <c r="I300" s="277"/>
      <c r="J300" s="277"/>
      <c r="K300" s="277"/>
    </row>
    <row r="301" spans="1:11">
      <c r="B301" s="277" t="s">
        <v>8828</v>
      </c>
      <c r="C301" s="25" t="s">
        <v>8827</v>
      </c>
      <c r="D301" s="277"/>
      <c r="E301" s="25"/>
      <c r="F301" s="277">
        <v>254</v>
      </c>
      <c r="G301" s="277"/>
      <c r="H301" s="277"/>
      <c r="I301" s="277"/>
      <c r="J301" s="277"/>
      <c r="K301" s="277"/>
    </row>
    <row r="302" spans="1:11">
      <c r="B302" s="277" t="s">
        <v>8830</v>
      </c>
      <c r="C302" s="25" t="s">
        <v>8829</v>
      </c>
      <c r="D302" s="277"/>
      <c r="E302" s="25"/>
      <c r="F302" s="277">
        <v>233</v>
      </c>
      <c r="G302" s="277"/>
      <c r="H302" s="277"/>
      <c r="I302" s="277"/>
      <c r="J302" s="277"/>
      <c r="K302" s="277"/>
    </row>
    <row r="303" spans="1:11">
      <c r="B303" s="277" t="s">
        <v>7933</v>
      </c>
      <c r="C303" s="25" t="s">
        <v>8831</v>
      </c>
      <c r="D303" s="277"/>
      <c r="E303" s="25"/>
      <c r="F303" s="277">
        <v>228</v>
      </c>
      <c r="G303" s="277"/>
      <c r="H303" s="277"/>
      <c r="I303" s="277"/>
      <c r="J303" s="277"/>
      <c r="K303" s="277"/>
    </row>
    <row r="304" spans="1:11" ht="14">
      <c r="A304" s="277"/>
      <c r="B304" s="277" t="s">
        <v>6147</v>
      </c>
      <c r="C304" s="25" t="s">
        <v>6148</v>
      </c>
      <c r="D304" s="28" t="s">
        <v>6149</v>
      </c>
      <c r="E304" s="277" t="s">
        <v>6148</v>
      </c>
      <c r="F304" s="277">
        <v>216</v>
      </c>
      <c r="G304" s="277"/>
      <c r="H304" s="277"/>
      <c r="I304" s="277"/>
      <c r="J304" s="277"/>
      <c r="K304" s="277"/>
    </row>
    <row r="305" spans="1:11" ht="14">
      <c r="A305" s="277"/>
      <c r="B305" s="277" t="s">
        <v>8832</v>
      </c>
      <c r="C305" s="25" t="s">
        <v>8833</v>
      </c>
      <c r="D305" s="28"/>
      <c r="E305" s="277"/>
      <c r="F305" s="277">
        <v>209</v>
      </c>
      <c r="G305" s="277"/>
      <c r="H305" s="277"/>
      <c r="I305" s="277"/>
      <c r="J305" s="277"/>
      <c r="K305" s="277"/>
    </row>
    <row r="306" spans="1:11" ht="14">
      <c r="A306" s="277"/>
      <c r="B306" s="277" t="s">
        <v>8835</v>
      </c>
      <c r="C306" s="25" t="s">
        <v>8834</v>
      </c>
      <c r="D306" s="28"/>
      <c r="E306" s="277"/>
      <c r="F306" s="277">
        <v>207</v>
      </c>
      <c r="G306" s="277"/>
      <c r="H306" s="277"/>
      <c r="I306" s="277"/>
      <c r="J306" s="277"/>
      <c r="K306" s="277"/>
    </row>
    <row r="307" spans="1:11" ht="14">
      <c r="A307" s="277"/>
      <c r="B307" s="277" t="s">
        <v>9108</v>
      </c>
      <c r="C307" s="25" t="s">
        <v>9109</v>
      </c>
      <c r="D307" s="28"/>
      <c r="E307" s="277"/>
      <c r="F307" s="277">
        <v>222</v>
      </c>
      <c r="G307" s="277"/>
      <c r="H307" s="277"/>
      <c r="I307" s="277"/>
      <c r="J307" s="277"/>
      <c r="K307" s="277"/>
    </row>
    <row r="308" spans="1:11" ht="14">
      <c r="A308" s="277"/>
      <c r="B308" s="277" t="s">
        <v>8837</v>
      </c>
      <c r="C308" s="25" t="s">
        <v>8836</v>
      </c>
      <c r="D308" s="28"/>
      <c r="E308" s="277"/>
      <c r="F308" s="277">
        <v>197</v>
      </c>
      <c r="G308" s="277"/>
      <c r="H308" s="277"/>
      <c r="I308" s="277"/>
      <c r="J308" s="277"/>
      <c r="K308" s="277"/>
    </row>
    <row r="309" spans="1:11">
      <c r="A309" s="277"/>
      <c r="B309" s="277" t="s">
        <v>6218</v>
      </c>
      <c r="C309" s="25" t="s">
        <v>6219</v>
      </c>
      <c r="D309" s="277"/>
      <c r="E309" s="277"/>
      <c r="F309" s="277">
        <v>26</v>
      </c>
      <c r="G309" s="277"/>
      <c r="H309" s="277"/>
      <c r="I309" s="277"/>
      <c r="J309" s="277"/>
      <c r="K309" s="277"/>
    </row>
    <row r="310" spans="1:11">
      <c r="A310" s="277"/>
      <c r="B310" s="277" t="s">
        <v>9084</v>
      </c>
      <c r="C310" s="25" t="s">
        <v>9083</v>
      </c>
      <c r="D310" s="277"/>
      <c r="E310" s="277"/>
      <c r="F310" s="277"/>
      <c r="G310" s="277"/>
      <c r="H310" s="277"/>
      <c r="I310" s="277"/>
      <c r="J310" s="277"/>
      <c r="K310" s="277"/>
    </row>
    <row r="311" spans="1:11">
      <c r="A311" s="277"/>
      <c r="B311" s="277" t="s">
        <v>8008</v>
      </c>
      <c r="C311" s="277"/>
      <c r="D311" s="277"/>
      <c r="E311" s="25"/>
      <c r="F311" s="277"/>
      <c r="G311" s="277"/>
      <c r="H311" s="277"/>
      <c r="I311" s="277"/>
      <c r="J311" s="277"/>
      <c r="K311" s="277"/>
    </row>
    <row r="312" spans="1:11" ht="14">
      <c r="B312" s="277" t="s">
        <v>5199</v>
      </c>
      <c r="C312" s="28"/>
      <c r="D312" s="277"/>
      <c r="E312" s="25"/>
      <c r="F312" s="277"/>
      <c r="G312" s="277"/>
      <c r="H312" s="277"/>
      <c r="I312" s="277"/>
      <c r="J312" s="277"/>
      <c r="K312" s="277"/>
    </row>
    <row r="313" spans="1:11" ht="14">
      <c r="B313" s="277" t="s">
        <v>9089</v>
      </c>
      <c r="C313" s="28" t="s">
        <v>9090</v>
      </c>
      <c r="D313" s="277"/>
      <c r="E313" s="25"/>
      <c r="F313" s="277"/>
      <c r="G313" s="277"/>
      <c r="H313" s="277"/>
      <c r="I313" s="277"/>
      <c r="J313" s="277"/>
      <c r="K313" s="277"/>
    </row>
    <row r="314" spans="1:11">
      <c r="B314" s="277" t="s">
        <v>8045</v>
      </c>
      <c r="C314" s="277" t="s">
        <v>8044</v>
      </c>
      <c r="D314" s="277"/>
      <c r="E314" s="25"/>
      <c r="F314" s="277"/>
      <c r="G314" s="277"/>
      <c r="H314" s="277"/>
      <c r="I314" s="277"/>
      <c r="J314" s="277" t="s">
        <v>8257</v>
      </c>
      <c r="K314" s="277"/>
    </row>
    <row r="315" spans="1:11">
      <c r="B315" s="277" t="s">
        <v>9094</v>
      </c>
      <c r="C315" s="277" t="s">
        <v>9095</v>
      </c>
      <c r="D315" s="277"/>
      <c r="E315" s="25"/>
      <c r="F315" s="277"/>
      <c r="G315" s="277"/>
      <c r="H315" s="277"/>
      <c r="I315" s="277"/>
      <c r="J315" s="277"/>
      <c r="K315" s="277"/>
    </row>
    <row r="316" spans="1:11">
      <c r="B316" s="277" t="s">
        <v>8267</v>
      </c>
      <c r="C316" s="277"/>
      <c r="D316" s="277"/>
      <c r="E316" s="25"/>
      <c r="F316" s="277"/>
      <c r="G316" s="277"/>
      <c r="H316" s="277"/>
      <c r="I316" s="277"/>
      <c r="J316" s="277"/>
      <c r="K316" s="277"/>
    </row>
    <row r="317" spans="1:11">
      <c r="B317" s="277" t="s">
        <v>8268</v>
      </c>
      <c r="C317" s="277"/>
      <c r="D317" s="277"/>
      <c r="E317" s="25"/>
      <c r="F317" s="277"/>
      <c r="G317" s="277"/>
      <c r="H317" s="277"/>
      <c r="I317" s="277"/>
      <c r="J317" s="277"/>
      <c r="K317" s="277"/>
    </row>
    <row r="318" spans="1:11">
      <c r="B318" s="277" t="s">
        <v>8273</v>
      </c>
      <c r="C318" s="277" t="s">
        <v>8274</v>
      </c>
      <c r="D318" s="277"/>
      <c r="E318" s="25"/>
      <c r="F318" s="277"/>
      <c r="G318" s="277"/>
      <c r="H318" s="277"/>
      <c r="I318" s="277"/>
      <c r="J318" s="277"/>
      <c r="K318" s="277"/>
    </row>
    <row r="319" spans="1:11">
      <c r="B319" s="277" t="s">
        <v>8140</v>
      </c>
      <c r="C319" s="277"/>
      <c r="D319" s="277" t="s">
        <v>8141</v>
      </c>
      <c r="E319" s="277"/>
      <c r="F319" s="277"/>
      <c r="G319" s="277"/>
      <c r="H319" s="277"/>
      <c r="I319" s="277"/>
      <c r="J319" s="277"/>
      <c r="K319" s="277"/>
    </row>
    <row r="320" spans="1:11">
      <c r="B320" s="277" t="s">
        <v>8238</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c r="B323" s="142" t="s">
        <v>7967</v>
      </c>
      <c r="C323" s="277"/>
      <c r="D323" s="277"/>
      <c r="E323" s="277" t="s">
        <v>1150</v>
      </c>
      <c r="F323" s="277"/>
      <c r="G323" s="277"/>
      <c r="H323" s="277"/>
      <c r="I323" s="277"/>
      <c r="J323" s="277"/>
      <c r="K323" s="277"/>
    </row>
    <row r="324" spans="2:19" ht="14">
      <c r="B324" s="277" t="s">
        <v>5194</v>
      </c>
      <c r="C324" s="28" t="s">
        <v>3847</v>
      </c>
      <c r="D324" s="277" t="s">
        <v>7559</v>
      </c>
      <c r="E324" s="28" t="s">
        <v>7542</v>
      </c>
      <c r="F324" s="277"/>
      <c r="G324" s="277"/>
      <c r="H324" s="277"/>
      <c r="I324" s="277"/>
      <c r="J324" s="277"/>
      <c r="K324" s="277"/>
      <c r="P324" s="243"/>
    </row>
    <row r="325" spans="2:19">
      <c r="B325" s="277" t="s">
        <v>7968</v>
      </c>
      <c r="C325" s="277"/>
      <c r="D325" s="277"/>
      <c r="E325" s="277" t="s">
        <v>8111</v>
      </c>
      <c r="F325" s="277"/>
      <c r="G325" s="277"/>
      <c r="H325" s="277"/>
      <c r="I325" s="277"/>
      <c r="J325" s="277"/>
      <c r="K325" s="277"/>
    </row>
    <row r="326" spans="2:19" ht="14">
      <c r="B326" s="277" t="s">
        <v>7954</v>
      </c>
      <c r="C326" s="277" t="s">
        <v>1088</v>
      </c>
      <c r="D326" s="28" t="s">
        <v>7955</v>
      </c>
      <c r="E326" s="277" t="s">
        <v>8111</v>
      </c>
      <c r="F326" s="277"/>
      <c r="G326" s="277"/>
      <c r="H326" s="277"/>
      <c r="I326" s="277"/>
      <c r="J326" s="277"/>
      <c r="K326" s="277"/>
    </row>
    <row r="327" spans="2:19">
      <c r="B327" s="277" t="s">
        <v>7970</v>
      </c>
      <c r="C327" s="277"/>
      <c r="D327" s="277" t="s">
        <v>8356</v>
      </c>
      <c r="E327" s="277"/>
      <c r="F327" s="277">
        <v>1700</v>
      </c>
      <c r="G327" s="277"/>
      <c r="H327" s="277"/>
      <c r="I327" s="277"/>
      <c r="J327" s="277"/>
      <c r="K327" s="277"/>
    </row>
    <row r="328" spans="2:19">
      <c r="B328" s="277" t="s">
        <v>7972</v>
      </c>
      <c r="C328" s="277" t="s">
        <v>7974</v>
      </c>
      <c r="D328" s="277"/>
      <c r="E328" s="277"/>
      <c r="F328" s="277"/>
      <c r="G328" s="277"/>
      <c r="H328" s="277"/>
      <c r="I328" s="277"/>
      <c r="J328" s="277"/>
      <c r="K328" s="277"/>
    </row>
    <row r="329" spans="2:19">
      <c r="B329" s="277" t="s">
        <v>7973</v>
      </c>
      <c r="C329" s="277"/>
      <c r="D329" s="277" t="s">
        <v>7979</v>
      </c>
      <c r="E329" s="277"/>
      <c r="F329" s="277"/>
      <c r="G329" s="277"/>
      <c r="H329" s="277"/>
      <c r="I329" s="277"/>
      <c r="J329" s="277"/>
      <c r="K329" s="277"/>
    </row>
    <row r="330" spans="2:19">
      <c r="B330" s="269" t="s">
        <v>7994</v>
      </c>
      <c r="D330" s="269" t="s">
        <v>7995</v>
      </c>
      <c r="P330" s="146"/>
      <c r="Q330" s="146"/>
      <c r="R330" s="257"/>
      <c r="S330" s="257"/>
    </row>
    <row r="331" spans="2:19">
      <c r="B331" s="277" t="s">
        <v>8255</v>
      </c>
      <c r="C331" s="277" t="s">
        <v>1088</v>
      </c>
      <c r="D331" s="277" t="s">
        <v>8256</v>
      </c>
      <c r="P331" s="146"/>
      <c r="Q331" s="146"/>
      <c r="R331" s="257"/>
      <c r="S331" s="257"/>
    </row>
    <row r="332" spans="2:19">
      <c r="B332" s="277" t="s">
        <v>5207</v>
      </c>
      <c r="D332" s="107" t="s">
        <v>8529</v>
      </c>
      <c r="F332" s="107">
        <v>914</v>
      </c>
      <c r="P332" s="146"/>
      <c r="Q332" s="146"/>
      <c r="R332" s="257"/>
      <c r="S332" s="257"/>
    </row>
    <row r="333" spans="2:19">
      <c r="B333" s="277" t="s">
        <v>8581</v>
      </c>
      <c r="D333" s="107" t="s">
        <v>8582</v>
      </c>
      <c r="F333" s="107">
        <v>702</v>
      </c>
      <c r="P333" s="146"/>
      <c r="Q333" s="146"/>
      <c r="R333" s="257"/>
      <c r="S333" s="257"/>
    </row>
    <row r="334" spans="2:19">
      <c r="B334" s="277" t="s">
        <v>8728</v>
      </c>
      <c r="D334" s="107" t="s">
        <v>8729</v>
      </c>
      <c r="F334" s="107">
        <v>394</v>
      </c>
    </row>
    <row r="336" spans="2:19">
      <c r="B336" s="277" t="s">
        <v>8142</v>
      </c>
    </row>
    <row r="337" spans="14:14">
      <c r="N337" s="277" t="s">
        <v>8049</v>
      </c>
    </row>
    <row r="375" spans="2:3">
      <c r="B375" s="269" t="s">
        <v>7958</v>
      </c>
      <c r="C375" s="269" t="s">
        <v>7959</v>
      </c>
    </row>
    <row r="376" spans="2:3">
      <c r="B376" s="269" t="s">
        <v>7963</v>
      </c>
      <c r="C376" s="269" t="s">
        <v>7966</v>
      </c>
    </row>
    <row r="377" spans="2:3">
      <c r="B377" s="269" t="s">
        <v>7956</v>
      </c>
      <c r="C377" s="269" t="s">
        <v>7957</v>
      </c>
    </row>
    <row r="378" spans="2:3">
      <c r="B378" s="269" t="s">
        <v>7962</v>
      </c>
    </row>
    <row r="379" spans="2:3">
      <c r="B379" s="269" t="s">
        <v>7960</v>
      </c>
      <c r="C379" s="269" t="s">
        <v>7961</v>
      </c>
    </row>
    <row r="380" spans="2:3">
      <c r="B380" s="269" t="s">
        <v>7964</v>
      </c>
      <c r="C380" s="269" t="s">
        <v>7965</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367F-E18A-604D-908C-9D9267BCCAA4}">
  <dimension ref="A1:L39"/>
  <sheetViews>
    <sheetView zoomScale="130" zoomScaleNormal="130" workbookViewId="0">
      <pane xSplit="2" ySplit="2" topLeftCell="C3" activePane="bottomRight" state="frozen"/>
      <selection pane="topRight" activeCell="C1" sqref="C1"/>
      <selection pane="bottomLeft" activeCell="A3" sqref="A3"/>
      <selection pane="bottomRight" activeCell="C30" sqref="C30"/>
    </sheetView>
  </sheetViews>
  <sheetFormatPr baseColWidth="10" defaultColWidth="11" defaultRowHeight="16"/>
  <cols>
    <col min="1" max="1" width="5.33203125" style="50" bestFit="1" customWidth="1"/>
    <col min="2" max="2" width="22.6640625" style="50" customWidth="1"/>
    <col min="3" max="3" width="16.5" style="50" customWidth="1"/>
    <col min="4" max="4" width="38.6640625" style="50" customWidth="1"/>
    <col min="5" max="6" width="13" style="50" customWidth="1"/>
    <col min="7" max="16384" width="11" style="50"/>
  </cols>
  <sheetData>
    <row r="1" spans="1:12">
      <c r="A1" s="280" t="s">
        <v>1165</v>
      </c>
    </row>
    <row r="2" spans="1:12">
      <c r="B2" s="50" t="s">
        <v>3978</v>
      </c>
      <c r="C2" s="50" t="s">
        <v>3968</v>
      </c>
      <c r="D2" s="50" t="s">
        <v>9617</v>
      </c>
      <c r="E2" s="50" t="s">
        <v>3526</v>
      </c>
      <c r="F2" s="50" t="s">
        <v>9763</v>
      </c>
      <c r="G2" s="50" t="s">
        <v>9628</v>
      </c>
      <c r="H2" s="50" t="s">
        <v>3969</v>
      </c>
      <c r="I2" s="50" t="s">
        <v>1158</v>
      </c>
      <c r="J2" s="50" t="s">
        <v>10486</v>
      </c>
    </row>
    <row r="3" spans="1:12">
      <c r="B3" s="50" t="s">
        <v>9633</v>
      </c>
      <c r="G3" s="284">
        <v>1017000</v>
      </c>
      <c r="J3" s="50" t="s">
        <v>10485</v>
      </c>
    </row>
    <row r="4" spans="1:12">
      <c r="B4" s="50" t="s">
        <v>9632</v>
      </c>
      <c r="G4" s="284">
        <v>518200</v>
      </c>
      <c r="J4" s="50" t="s">
        <v>10485</v>
      </c>
    </row>
    <row r="5" spans="1:12">
      <c r="B5" s="50" t="s">
        <v>10488</v>
      </c>
      <c r="G5" s="284"/>
      <c r="J5" s="50" t="s">
        <v>10485</v>
      </c>
    </row>
    <row r="6" spans="1:12">
      <c r="B6" s="50" t="s">
        <v>9629</v>
      </c>
      <c r="G6" s="284">
        <v>21560</v>
      </c>
    </row>
    <row r="8" spans="1:12">
      <c r="B8" s="281" t="s">
        <v>969</v>
      </c>
      <c r="G8" s="392">
        <f>SUM(G9:G31)</f>
        <v>103143.06599999999</v>
      </c>
    </row>
    <row r="9" spans="1:12">
      <c r="B9" s="50" t="s">
        <v>9652</v>
      </c>
      <c r="C9" s="50" t="s">
        <v>9610</v>
      </c>
      <c r="D9" s="50" t="s">
        <v>9762</v>
      </c>
      <c r="E9" s="50" t="s">
        <v>9765</v>
      </c>
      <c r="F9" s="50" t="s">
        <v>9765</v>
      </c>
      <c r="G9" s="284">
        <v>21420</v>
      </c>
      <c r="H9" s="50" t="s">
        <v>1146</v>
      </c>
      <c r="I9" s="284">
        <v>5.0999999999999996</v>
      </c>
      <c r="J9" s="50" t="s">
        <v>10485</v>
      </c>
      <c r="K9" s="392">
        <f>G17+G18+G21+G23+G24</f>
        <v>10405</v>
      </c>
      <c r="L9" s="392">
        <f>+K9+G15</f>
        <v>15804</v>
      </c>
    </row>
    <row r="10" spans="1:12">
      <c r="B10" s="50" t="s">
        <v>9645</v>
      </c>
      <c r="C10" s="50" t="s">
        <v>9646</v>
      </c>
      <c r="D10" s="50" t="s">
        <v>9761</v>
      </c>
      <c r="E10" s="50" t="s">
        <v>9765</v>
      </c>
      <c r="F10" s="50" t="s">
        <v>9765</v>
      </c>
      <c r="G10" s="284">
        <v>16770</v>
      </c>
      <c r="H10" s="50" t="s">
        <v>9654</v>
      </c>
      <c r="I10" s="284">
        <v>38.799999999999997</v>
      </c>
      <c r="J10" s="50" t="s">
        <v>10485</v>
      </c>
    </row>
    <row r="11" spans="1:12">
      <c r="B11" s="50" t="s">
        <v>9608</v>
      </c>
      <c r="C11" s="50" t="s">
        <v>9631</v>
      </c>
      <c r="D11" s="50" t="s">
        <v>9760</v>
      </c>
      <c r="E11" s="50" t="s">
        <v>9764</v>
      </c>
      <c r="F11" s="50" t="s">
        <v>9764</v>
      </c>
      <c r="G11" s="284">
        <v>16230</v>
      </c>
      <c r="H11" s="50" t="s">
        <v>1</v>
      </c>
      <c r="I11" s="284">
        <v>0</v>
      </c>
      <c r="J11" s="50" t="s">
        <v>10485</v>
      </c>
    </row>
    <row r="12" spans="1:12">
      <c r="B12" s="50" t="s">
        <v>9636</v>
      </c>
      <c r="C12" s="50" t="s">
        <v>9642</v>
      </c>
      <c r="D12" s="50" t="s">
        <v>9658</v>
      </c>
      <c r="E12" s="50" t="s">
        <v>9768</v>
      </c>
      <c r="G12" s="284">
        <v>8039</v>
      </c>
      <c r="H12" s="50" t="s">
        <v>9740</v>
      </c>
      <c r="I12" s="284">
        <v>45</v>
      </c>
      <c r="J12" s="50" t="s">
        <v>10485</v>
      </c>
      <c r="K12" s="50" t="s">
        <v>9741</v>
      </c>
    </row>
    <row r="13" spans="1:12">
      <c r="B13" s="50" t="s">
        <v>7662</v>
      </c>
      <c r="C13" s="50" t="s">
        <v>9624</v>
      </c>
      <c r="E13" s="50" t="s">
        <v>9764</v>
      </c>
      <c r="G13" s="284">
        <v>7417</v>
      </c>
      <c r="H13" s="50" t="s">
        <v>1146</v>
      </c>
      <c r="I13" s="284">
        <v>100</v>
      </c>
      <c r="J13" s="50" t="s">
        <v>10485</v>
      </c>
    </row>
    <row r="14" spans="1:12">
      <c r="B14" s="50" t="s">
        <v>957</v>
      </c>
      <c r="C14" s="50" t="s">
        <v>9649</v>
      </c>
      <c r="G14" s="284">
        <v>5424</v>
      </c>
      <c r="H14" s="50" t="s">
        <v>9655</v>
      </c>
      <c r="I14" s="284">
        <v>236</v>
      </c>
      <c r="J14" s="50" t="s">
        <v>10485</v>
      </c>
      <c r="K14" s="50" t="s">
        <v>9622</v>
      </c>
    </row>
    <row r="15" spans="1:12">
      <c r="B15" s="50" t="s">
        <v>1069</v>
      </c>
      <c r="C15" s="50" t="s">
        <v>9611</v>
      </c>
      <c r="D15" s="50" t="s">
        <v>9619</v>
      </c>
      <c r="E15" s="50" t="s">
        <v>9765</v>
      </c>
      <c r="F15" s="50" t="s">
        <v>9765</v>
      </c>
      <c r="G15" s="284">
        <v>5399</v>
      </c>
      <c r="H15" s="50" t="s">
        <v>1146</v>
      </c>
      <c r="I15" s="284">
        <v>57.8</v>
      </c>
      <c r="J15" s="50" t="s">
        <v>10487</v>
      </c>
      <c r="K15" s="50" t="s">
        <v>9620</v>
      </c>
    </row>
    <row r="16" spans="1:12">
      <c r="B16" s="50" t="s">
        <v>1929</v>
      </c>
      <c r="C16" s="50" t="s">
        <v>9648</v>
      </c>
      <c r="G16" s="284">
        <v>3285</v>
      </c>
      <c r="H16" s="50" t="s">
        <v>8286</v>
      </c>
      <c r="I16" s="401" t="s">
        <v>8286</v>
      </c>
      <c r="J16" s="50" t="s">
        <v>10485</v>
      </c>
      <c r="K16" s="50" t="s">
        <v>9626</v>
      </c>
    </row>
    <row r="17" spans="2:11">
      <c r="B17" s="281" t="s">
        <v>9616</v>
      </c>
      <c r="C17" s="281" t="s">
        <v>9607</v>
      </c>
      <c r="D17" s="281" t="s">
        <v>9657</v>
      </c>
      <c r="E17" s="281" t="s">
        <v>9765</v>
      </c>
      <c r="F17" s="281" t="s">
        <v>9765</v>
      </c>
      <c r="G17" s="392">
        <v>3211</v>
      </c>
      <c r="H17" s="281" t="s">
        <v>9656</v>
      </c>
      <c r="I17" s="284">
        <v>173.8</v>
      </c>
      <c r="J17" s="50" t="s">
        <v>10485</v>
      </c>
      <c r="K17" s="50" t="s">
        <v>9625</v>
      </c>
    </row>
    <row r="18" spans="2:11">
      <c r="B18" s="50" t="s">
        <v>9647</v>
      </c>
      <c r="G18" s="392">
        <v>3144</v>
      </c>
      <c r="J18" s="50" t="s">
        <v>10485</v>
      </c>
      <c r="K18" s="50" t="s">
        <v>9621</v>
      </c>
    </row>
    <row r="19" spans="2:11">
      <c r="B19" s="50" t="s">
        <v>9638</v>
      </c>
      <c r="C19" s="50" t="s">
        <v>9639</v>
      </c>
      <c r="G19" s="284">
        <v>2697</v>
      </c>
      <c r="J19" s="50" t="s">
        <v>10485</v>
      </c>
    </row>
    <row r="20" spans="2:11">
      <c r="B20" s="50" t="s">
        <v>9643</v>
      </c>
      <c r="C20" s="50" t="s">
        <v>9644</v>
      </c>
      <c r="G20" s="284">
        <v>2595</v>
      </c>
    </row>
    <row r="21" spans="2:11">
      <c r="B21" s="50" t="s">
        <v>9630</v>
      </c>
      <c r="G21" s="392">
        <v>1597</v>
      </c>
    </row>
    <row r="22" spans="2:11">
      <c r="B22" s="50" t="s">
        <v>9634</v>
      </c>
      <c r="G22" s="284">
        <v>1423</v>
      </c>
    </row>
    <row r="23" spans="2:11">
      <c r="B23" s="50" t="s">
        <v>9650</v>
      </c>
      <c r="C23" s="50" t="s">
        <v>9651</v>
      </c>
      <c r="G23" s="392">
        <v>1300</v>
      </c>
    </row>
    <row r="24" spans="2:11">
      <c r="B24" s="50" t="s">
        <v>9635</v>
      </c>
      <c r="G24" s="392">
        <v>1153</v>
      </c>
    </row>
    <row r="25" spans="2:11">
      <c r="B25" s="50" t="s">
        <v>1914</v>
      </c>
      <c r="C25" s="50" t="s">
        <v>9637</v>
      </c>
      <c r="G25" s="284">
        <v>542.59699999999998</v>
      </c>
    </row>
    <row r="26" spans="2:11">
      <c r="B26" s="50" t="s">
        <v>9623</v>
      </c>
      <c r="G26" s="284">
        <v>495.87799999999999</v>
      </c>
    </row>
    <row r="27" spans="2:11">
      <c r="B27" s="50" t="s">
        <v>9615</v>
      </c>
      <c r="C27" s="50" t="s">
        <v>9618</v>
      </c>
      <c r="G27" s="284">
        <v>457.90699999999998</v>
      </c>
    </row>
    <row r="28" spans="2:11">
      <c r="B28" s="50" t="s">
        <v>9640</v>
      </c>
      <c r="C28" s="50" t="s">
        <v>9641</v>
      </c>
      <c r="G28" s="284">
        <v>256.911</v>
      </c>
    </row>
    <row r="29" spans="2:11">
      <c r="B29" s="50" t="s">
        <v>1563</v>
      </c>
      <c r="G29" s="284">
        <v>198.125</v>
      </c>
    </row>
    <row r="30" spans="2:11">
      <c r="B30" s="50" t="s">
        <v>9612</v>
      </c>
      <c r="G30" s="284">
        <v>59.152000000000001</v>
      </c>
    </row>
    <row r="31" spans="2:11">
      <c r="B31" s="50" t="s">
        <v>9609</v>
      </c>
      <c r="G31" s="284">
        <v>28.495999999999999</v>
      </c>
    </row>
    <row r="32" spans="2:11">
      <c r="B32" s="50" t="s">
        <v>9653</v>
      </c>
    </row>
    <row r="33" spans="2:10">
      <c r="B33" s="50" t="s">
        <v>9766</v>
      </c>
    </row>
    <row r="34" spans="2:10">
      <c r="B34" s="50" t="s">
        <v>9767</v>
      </c>
    </row>
    <row r="35" spans="2:10">
      <c r="B35" s="50" t="s">
        <v>10489</v>
      </c>
      <c r="J35" s="50" t="s">
        <v>10487</v>
      </c>
    </row>
    <row r="36" spans="2:10">
      <c r="B36" s="50" t="s">
        <v>10490</v>
      </c>
    </row>
    <row r="38" spans="2:10">
      <c r="B38" s="282" t="s">
        <v>9742</v>
      </c>
    </row>
    <row r="39" spans="2:10">
      <c r="B39" s="50" t="s">
        <v>10749</v>
      </c>
    </row>
  </sheetData>
  <hyperlinks>
    <hyperlink ref="A1" location="Main!A1" display="Main" xr:uid="{245D757F-C08E-A34C-AAA2-46D14CAD9FA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baseColWidth="10" defaultColWidth="10.83203125" defaultRowHeight="14"/>
  <cols>
    <col min="1" max="1" width="5.33203125" style="369" bestFit="1" customWidth="1"/>
    <col min="2" max="16384" width="10.83203125" style="369"/>
  </cols>
  <sheetData>
    <row r="1" spans="1:3">
      <c r="A1" s="277" t="s">
        <v>1165</v>
      </c>
      <c r="B1" s="277"/>
      <c r="C1" s="277"/>
    </row>
    <row r="2" spans="1:3">
      <c r="A2" s="277"/>
      <c r="B2" s="277" t="s">
        <v>8930</v>
      </c>
      <c r="C2" s="277"/>
    </row>
    <row r="3" spans="1:3">
      <c r="A3" s="277"/>
      <c r="B3" s="277" t="s">
        <v>8932</v>
      </c>
      <c r="C3" s="27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baseColWidth="10" defaultColWidth="9" defaultRowHeight="13"/>
  <cols>
    <col min="1" max="1" width="4.33203125" style="263" bestFit="1" customWidth="1"/>
    <col min="2" max="2" width="12.33203125" style="263" customWidth="1"/>
    <col min="3" max="16384" width="9" style="263"/>
  </cols>
  <sheetData>
    <row r="1" spans="1:4">
      <c r="A1" s="25" t="s">
        <v>1165</v>
      </c>
    </row>
    <row r="2" spans="1:4">
      <c r="B2" s="263" t="s">
        <v>3978</v>
      </c>
      <c r="C2" s="263" t="s">
        <v>5735</v>
      </c>
      <c r="D2" s="263" t="s">
        <v>6215</v>
      </c>
    </row>
    <row r="3" spans="1:4">
      <c r="B3" s="263" t="s">
        <v>7932</v>
      </c>
      <c r="C3" s="263" t="s">
        <v>0</v>
      </c>
    </row>
    <row r="4" spans="1:4">
      <c r="B4" s="263" t="s">
        <v>7933</v>
      </c>
    </row>
    <row r="5" spans="1:4">
      <c r="B5" s="277" t="s">
        <v>8045</v>
      </c>
    </row>
    <row r="6" spans="1:4">
      <c r="B6" s="277" t="s">
        <v>8215</v>
      </c>
      <c r="D6" s="263" t="s">
        <v>8214</v>
      </c>
    </row>
  </sheetData>
  <hyperlinks>
    <hyperlink ref="A1" location="Main!A1" display="Main" xr:uid="{CF1468A6-F945-48BC-B871-EF73699D337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baseColWidth="10" defaultColWidth="9" defaultRowHeight="13"/>
  <cols>
    <col min="1" max="1" width="4.6640625" style="107" bestFit="1" customWidth="1"/>
    <col min="2" max="2" width="15.8320312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3978</v>
      </c>
      <c r="C2" s="147" t="s">
        <v>5669</v>
      </c>
      <c r="D2" s="147" t="s">
        <v>1800</v>
      </c>
      <c r="E2" s="108" t="s">
        <v>4954</v>
      </c>
      <c r="F2" s="132" t="s">
        <v>6321</v>
      </c>
      <c r="G2" s="133" t="s">
        <v>1150</v>
      </c>
      <c r="H2" s="108" t="s">
        <v>5668</v>
      </c>
      <c r="I2" s="108"/>
      <c r="J2" s="108"/>
      <c r="K2" s="108"/>
      <c r="L2" s="108"/>
      <c r="M2" s="108"/>
      <c r="N2" s="108"/>
      <c r="O2" s="109"/>
    </row>
    <row r="3" spans="1:15">
      <c r="B3" s="107" t="s">
        <v>6237</v>
      </c>
      <c r="E3" s="25" t="s">
        <v>6238</v>
      </c>
      <c r="F3" s="146">
        <v>58300</v>
      </c>
    </row>
    <row r="4" spans="1:15">
      <c r="B4" s="107" t="s">
        <v>6239</v>
      </c>
      <c r="C4" s="107" t="s">
        <v>6241</v>
      </c>
      <c r="E4" s="25" t="s">
        <v>6240</v>
      </c>
      <c r="F4" s="146">
        <v>37800</v>
      </c>
    </row>
    <row r="5" spans="1:15">
      <c r="B5" s="107" t="s">
        <v>6231</v>
      </c>
      <c r="C5" s="107" t="s">
        <v>3938</v>
      </c>
      <c r="E5" s="25" t="s">
        <v>6232</v>
      </c>
      <c r="F5" s="146">
        <v>27600</v>
      </c>
    </row>
    <row r="6" spans="1:15">
      <c r="B6" s="107" t="s">
        <v>6322</v>
      </c>
      <c r="C6" s="107" t="s">
        <v>4152</v>
      </c>
      <c r="E6" s="25" t="s">
        <v>6323</v>
      </c>
      <c r="F6" s="146">
        <v>26300</v>
      </c>
    </row>
    <row r="7" spans="1:15">
      <c r="B7" s="107" t="s">
        <v>6233</v>
      </c>
      <c r="E7" s="25" t="s">
        <v>6234</v>
      </c>
      <c r="F7" s="146">
        <v>26100</v>
      </c>
    </row>
    <row r="8" spans="1:15">
      <c r="B8" s="108" t="s">
        <v>3984</v>
      </c>
      <c r="D8" s="41"/>
      <c r="E8" s="41" t="s">
        <v>3983</v>
      </c>
      <c r="F8" s="132">
        <v>16700</v>
      </c>
      <c r="G8" s="109" t="s">
        <v>6318</v>
      </c>
      <c r="H8" s="108"/>
      <c r="I8" s="108"/>
      <c r="J8" s="108"/>
      <c r="K8" s="108"/>
      <c r="L8" s="108"/>
      <c r="M8" s="108"/>
      <c r="N8" s="108"/>
      <c r="O8" s="109"/>
    </row>
    <row r="9" spans="1:15">
      <c r="B9" s="107" t="s">
        <v>6021</v>
      </c>
      <c r="E9" s="25" t="s">
        <v>6020</v>
      </c>
      <c r="F9" s="146">
        <v>14900</v>
      </c>
      <c r="G9" s="107" t="s">
        <v>6022</v>
      </c>
    </row>
    <row r="10" spans="1:15">
      <c r="B10" s="107" t="s">
        <v>4079</v>
      </c>
      <c r="C10" s="107" t="s">
        <v>0</v>
      </c>
      <c r="E10" s="148" t="s">
        <v>4171</v>
      </c>
      <c r="F10" s="146">
        <v>15300</v>
      </c>
    </row>
    <row r="11" spans="1:15">
      <c r="B11" s="107" t="s">
        <v>6229</v>
      </c>
      <c r="E11" s="25" t="s">
        <v>6230</v>
      </c>
      <c r="F11" s="146">
        <v>12600</v>
      </c>
    </row>
    <row r="12" spans="1:15">
      <c r="B12" s="108" t="s">
        <v>3980</v>
      </c>
      <c r="D12" s="149"/>
      <c r="E12" s="149" t="s">
        <v>3979</v>
      </c>
      <c r="F12" s="132">
        <v>6700</v>
      </c>
      <c r="G12" s="133"/>
      <c r="H12" s="108"/>
      <c r="I12" s="108"/>
      <c r="J12" s="108"/>
      <c r="K12" s="108"/>
      <c r="L12" s="108"/>
      <c r="M12" s="108"/>
      <c r="N12" s="108"/>
      <c r="O12" s="109"/>
    </row>
    <row r="13" spans="1:15">
      <c r="B13" s="107" t="s">
        <v>6316</v>
      </c>
      <c r="E13" s="25" t="s">
        <v>6317</v>
      </c>
      <c r="F13" s="146">
        <v>5100</v>
      </c>
    </row>
    <row r="14" spans="1:15">
      <c r="B14" s="107" t="s">
        <v>6235</v>
      </c>
      <c r="E14" s="25" t="s">
        <v>6236</v>
      </c>
      <c r="F14" s="146">
        <v>5000</v>
      </c>
    </row>
    <row r="15" spans="1:15">
      <c r="B15" s="107" t="s">
        <v>6309</v>
      </c>
      <c r="E15" s="25" t="s">
        <v>6325</v>
      </c>
      <c r="F15" s="146">
        <v>4600</v>
      </c>
    </row>
    <row r="16" spans="1:15">
      <c r="B16" s="161" t="s">
        <v>6457</v>
      </c>
      <c r="E16" s="25" t="s">
        <v>6458</v>
      </c>
      <c r="F16" s="146">
        <v>2100</v>
      </c>
    </row>
    <row r="17" spans="1:15" ht="15">
      <c r="B17" s="107" t="s">
        <v>6310</v>
      </c>
      <c r="E17" s="25" t="s">
        <v>6326</v>
      </c>
      <c r="F17" s="146">
        <v>1900</v>
      </c>
      <c r="H17" s="44" t="s">
        <v>6462</v>
      </c>
    </row>
    <row r="18" spans="1:15">
      <c r="B18" s="107" t="s">
        <v>6320</v>
      </c>
      <c r="E18" s="25" t="s">
        <v>6319</v>
      </c>
      <c r="F18" s="146">
        <v>1200</v>
      </c>
    </row>
    <row r="19" spans="1:15">
      <c r="A19" s="108"/>
      <c r="B19" s="109" t="s">
        <v>6011</v>
      </c>
      <c r="D19" s="109" t="s">
        <v>3331</v>
      </c>
      <c r="E19" s="105" t="s">
        <v>6010</v>
      </c>
      <c r="F19" s="132">
        <v>967</v>
      </c>
      <c r="G19" s="133"/>
      <c r="H19" s="108"/>
      <c r="I19" s="108"/>
      <c r="J19" s="108"/>
      <c r="K19" s="108"/>
      <c r="L19" s="108"/>
      <c r="M19" s="108"/>
      <c r="N19" s="108"/>
      <c r="O19" s="109"/>
    </row>
    <row r="20" spans="1:15" ht="15">
      <c r="A20" s="108"/>
      <c r="B20" s="160" t="s">
        <v>6487</v>
      </c>
      <c r="D20" s="109"/>
      <c r="E20" s="162" t="s">
        <v>6486</v>
      </c>
      <c r="F20" s="132">
        <v>512</v>
      </c>
      <c r="G20" s="133"/>
      <c r="H20" s="108"/>
      <c r="I20" s="108"/>
      <c r="J20" s="108"/>
      <c r="K20" s="108"/>
      <c r="L20" s="108"/>
      <c r="M20" s="108"/>
      <c r="N20" s="108"/>
      <c r="O20" s="109"/>
    </row>
    <row r="21" spans="1:15">
      <c r="B21" s="107" t="s">
        <v>6015</v>
      </c>
      <c r="E21" s="25" t="s">
        <v>6016</v>
      </c>
      <c r="F21" s="146">
        <v>391</v>
      </c>
      <c r="H21" s="25" t="s">
        <v>6017</v>
      </c>
    </row>
    <row r="22" spans="1:15">
      <c r="B22" s="107" t="s">
        <v>6014</v>
      </c>
      <c r="C22" s="107" t="s">
        <v>3847</v>
      </c>
      <c r="E22" s="107" t="s">
        <v>6013</v>
      </c>
      <c r="F22" s="150" t="s">
        <v>1</v>
      </c>
    </row>
    <row r="23" spans="1:15">
      <c r="B23" s="107" t="s">
        <v>6243</v>
      </c>
      <c r="E23" s="25" t="s">
        <v>6242</v>
      </c>
    </row>
    <row r="24" spans="1:15">
      <c r="B24" s="107" t="s">
        <v>6308</v>
      </c>
      <c r="E24" s="25" t="s">
        <v>6307</v>
      </c>
    </row>
    <row r="25" spans="1:15">
      <c r="B25" s="108" t="s">
        <v>3988</v>
      </c>
      <c r="C25" s="108" t="s">
        <v>3987</v>
      </c>
      <c r="D25" s="108"/>
      <c r="E25" s="41" t="s">
        <v>3986</v>
      </c>
      <c r="F25" s="132"/>
      <c r="G25" s="133"/>
      <c r="H25" s="108"/>
      <c r="I25" s="108"/>
      <c r="J25" s="108"/>
      <c r="K25" s="108"/>
      <c r="L25" s="108"/>
      <c r="M25" s="108"/>
      <c r="N25" s="108"/>
      <c r="O25" s="109"/>
    </row>
    <row r="26" spans="1:15">
      <c r="B26" s="108" t="s">
        <v>3985</v>
      </c>
      <c r="C26" s="131"/>
      <c r="D26" s="131"/>
      <c r="E26" s="105" t="s">
        <v>6324</v>
      </c>
      <c r="F26" s="132"/>
      <c r="G26" s="133"/>
      <c r="H26" s="108"/>
      <c r="I26" s="108"/>
      <c r="J26" s="108"/>
      <c r="K26" s="108"/>
      <c r="L26" s="108"/>
      <c r="M26" s="108"/>
      <c r="N26" s="108"/>
      <c r="O26" s="109"/>
    </row>
    <row r="27" spans="1:15" ht="15">
      <c r="B27" s="107" t="s">
        <v>6311</v>
      </c>
      <c r="E27" s="25" t="s">
        <v>6327</v>
      </c>
      <c r="H27" s="44" t="s">
        <v>6435</v>
      </c>
    </row>
    <row r="28" spans="1:15">
      <c r="B28" s="107" t="s">
        <v>6314</v>
      </c>
      <c r="E28" s="25" t="s">
        <v>6315</v>
      </c>
    </row>
    <row r="29" spans="1:15">
      <c r="B29" s="108" t="s">
        <v>3982</v>
      </c>
      <c r="D29" s="41"/>
      <c r="E29" s="41" t="s">
        <v>3981</v>
      </c>
      <c r="F29" s="132"/>
      <c r="G29" s="133"/>
      <c r="H29" s="108"/>
      <c r="I29" s="108"/>
      <c r="J29" s="108"/>
      <c r="K29" s="108"/>
      <c r="L29" s="108"/>
      <c r="M29" s="108"/>
      <c r="N29" s="108"/>
      <c r="O29" s="109"/>
    </row>
    <row r="30" spans="1:15">
      <c r="B30" s="161" t="s">
        <v>6452</v>
      </c>
      <c r="E30" s="25" t="s">
        <v>6453</v>
      </c>
    </row>
    <row r="31" spans="1:15">
      <c r="B31" s="263" t="s">
        <v>7886</v>
      </c>
      <c r="E31" s="107" t="s">
        <v>7887</v>
      </c>
    </row>
    <row r="32" spans="1:15">
      <c r="B32" s="263" t="s">
        <v>7889</v>
      </c>
      <c r="E32" s="107" t="s">
        <v>7888</v>
      </c>
    </row>
    <row r="33" spans="2:2">
      <c r="B33" s="263" t="s">
        <v>7946</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4"/>
  <sheetViews>
    <sheetView zoomScale="140" zoomScaleNormal="140" workbookViewId="0">
      <pane xSplit="2" ySplit="2" topLeftCell="C3" activePane="bottomRight" state="frozen"/>
      <selection pane="topRight" activeCell="C1" sqref="C1"/>
      <selection pane="bottomLeft" activeCell="A3" sqref="A3"/>
      <selection pane="bottomRight"/>
    </sheetView>
  </sheetViews>
  <sheetFormatPr baseColWidth="10" defaultColWidth="10.83203125" defaultRowHeight="13"/>
  <cols>
    <col min="1" max="1" width="4.83203125" style="45" bestFit="1" customWidth="1"/>
    <col min="2" max="2" width="18.33203125" style="45" customWidth="1"/>
    <col min="3" max="3" width="19" style="45" customWidth="1"/>
    <col min="4" max="9" width="10.83203125" style="45"/>
    <col min="10" max="12" width="10.83203125" style="202"/>
    <col min="13" max="16384" width="10.83203125" style="45"/>
  </cols>
  <sheetData>
    <row r="1" spans="1:17">
      <c r="A1" s="25" t="s">
        <v>1165</v>
      </c>
      <c r="N1" s="45">
        <f>COUNTIF(N3:N42,"White")</f>
        <v>30</v>
      </c>
    </row>
    <row r="2" spans="1:17">
      <c r="A2" s="25"/>
      <c r="B2" s="209" t="s">
        <v>3978</v>
      </c>
      <c r="C2" s="209" t="s">
        <v>6132</v>
      </c>
      <c r="D2" s="210" t="s">
        <v>5670</v>
      </c>
      <c r="E2" s="199" t="s">
        <v>4631</v>
      </c>
      <c r="F2" s="236" t="s">
        <v>7358</v>
      </c>
      <c r="G2" s="199" t="s">
        <v>1150</v>
      </c>
      <c r="H2" s="199" t="s">
        <v>5889</v>
      </c>
      <c r="I2" s="199" t="s">
        <v>5670</v>
      </c>
      <c r="J2" s="203" t="s">
        <v>7079</v>
      </c>
      <c r="K2" s="203" t="s">
        <v>7080</v>
      </c>
      <c r="L2" s="203" t="s">
        <v>7087</v>
      </c>
      <c r="M2" s="230" t="s">
        <v>7351</v>
      </c>
      <c r="N2" s="230" t="s">
        <v>7352</v>
      </c>
      <c r="O2" s="236" t="s">
        <v>7356</v>
      </c>
      <c r="P2" s="236" t="s">
        <v>5889</v>
      </c>
      <c r="Q2" s="236" t="s">
        <v>5670</v>
      </c>
    </row>
    <row r="3" spans="1:17">
      <c r="A3" s="25"/>
      <c r="B3" s="175" t="s">
        <v>7085</v>
      </c>
      <c r="C3" s="90" t="s">
        <v>5302</v>
      </c>
      <c r="D3" s="40">
        <v>702026</v>
      </c>
      <c r="E3" s="236" t="s">
        <v>7357</v>
      </c>
      <c r="F3" s="236" t="s">
        <v>7359</v>
      </c>
      <c r="G3" s="199"/>
      <c r="H3" s="236" t="s">
        <v>7360</v>
      </c>
      <c r="I3" s="45">
        <v>69038</v>
      </c>
      <c r="J3" s="202">
        <v>1947</v>
      </c>
      <c r="K3" s="250" t="s">
        <v>7145</v>
      </c>
      <c r="L3" s="202">
        <f t="shared" ref="L3:L15" si="0">2023-J3</f>
        <v>76</v>
      </c>
      <c r="M3" s="236" t="s">
        <v>7453</v>
      </c>
      <c r="N3" s="230" t="s">
        <v>7353</v>
      </c>
      <c r="O3" s="25" t="s">
        <v>7355</v>
      </c>
    </row>
    <row r="4" spans="1:17">
      <c r="B4" s="47" t="s">
        <v>4479</v>
      </c>
      <c r="C4" s="90" t="s">
        <v>5924</v>
      </c>
      <c r="D4" s="40">
        <v>692997</v>
      </c>
      <c r="F4" s="236" t="s">
        <v>7361</v>
      </c>
      <c r="H4" s="236" t="s">
        <v>7360</v>
      </c>
      <c r="I4" s="45">
        <v>69038</v>
      </c>
      <c r="J4" s="202">
        <v>1964</v>
      </c>
      <c r="K4" s="250" t="s">
        <v>7145</v>
      </c>
      <c r="L4" s="202">
        <f t="shared" si="0"/>
        <v>59</v>
      </c>
      <c r="M4" s="236" t="s">
        <v>7453</v>
      </c>
      <c r="N4" s="230" t="s">
        <v>7353</v>
      </c>
    </row>
    <row r="5" spans="1:17">
      <c r="B5" s="205" t="s">
        <v>7176</v>
      </c>
      <c r="C5" s="90"/>
      <c r="D5" s="40">
        <v>473125</v>
      </c>
      <c r="F5" s="236" t="s">
        <v>4152</v>
      </c>
      <c r="M5" s="236" t="s">
        <v>7453</v>
      </c>
      <c r="N5" s="230" t="s">
        <v>7353</v>
      </c>
    </row>
    <row r="6" spans="1:17">
      <c r="B6" s="40" t="s">
        <v>4103</v>
      </c>
      <c r="C6" s="175" t="s">
        <v>7086</v>
      </c>
      <c r="D6" s="45">
        <v>426529</v>
      </c>
      <c r="E6" s="41" t="s">
        <v>4102</v>
      </c>
      <c r="F6" s="236" t="s">
        <v>0</v>
      </c>
      <c r="J6" s="202">
        <v>1985</v>
      </c>
      <c r="K6" s="250" t="s">
        <v>7145</v>
      </c>
      <c r="L6" s="202">
        <f t="shared" si="0"/>
        <v>38</v>
      </c>
      <c r="M6" s="236" t="s">
        <v>7453</v>
      </c>
      <c r="N6" s="230" t="s">
        <v>7353</v>
      </c>
    </row>
    <row r="7" spans="1:17">
      <c r="A7" s="25"/>
      <c r="B7" s="40" t="s">
        <v>4133</v>
      </c>
      <c r="C7" s="90" t="s">
        <v>5311</v>
      </c>
      <c r="D7" s="199">
        <v>317756</v>
      </c>
      <c r="E7" s="199"/>
      <c r="F7" s="236" t="s">
        <v>782</v>
      </c>
      <c r="G7" s="199"/>
      <c r="H7" s="236" t="s">
        <v>7360</v>
      </c>
      <c r="I7" s="45">
        <v>69038</v>
      </c>
      <c r="J7" s="202">
        <v>1960</v>
      </c>
      <c r="K7" s="250" t="s">
        <v>7145</v>
      </c>
      <c r="L7" s="202">
        <f t="shared" si="0"/>
        <v>63</v>
      </c>
      <c r="M7" s="236" t="s">
        <v>7453</v>
      </c>
      <c r="N7" s="230" t="s">
        <v>7354</v>
      </c>
    </row>
    <row r="8" spans="1:17">
      <c r="B8" s="40" t="s">
        <v>3961</v>
      </c>
      <c r="C8" s="40" t="s">
        <v>4149</v>
      </c>
      <c r="D8" s="40">
        <v>262714</v>
      </c>
      <c r="F8" s="236" t="s">
        <v>3847</v>
      </c>
      <c r="J8" s="202">
        <v>1968</v>
      </c>
      <c r="K8" s="250" t="s">
        <v>7145</v>
      </c>
      <c r="L8" s="202">
        <f t="shared" si="0"/>
        <v>55</v>
      </c>
      <c r="M8" s="236" t="s">
        <v>7453</v>
      </c>
      <c r="N8" s="230" t="s">
        <v>7353</v>
      </c>
    </row>
    <row r="9" spans="1:17">
      <c r="B9" s="47" t="s">
        <v>4496</v>
      </c>
      <c r="C9" s="175" t="s">
        <v>7088</v>
      </c>
      <c r="D9" s="40">
        <v>255632</v>
      </c>
      <c r="F9" s="236" t="s">
        <v>3847</v>
      </c>
      <c r="J9" s="202">
        <v>1987</v>
      </c>
      <c r="K9" s="250" t="s">
        <v>7145</v>
      </c>
      <c r="L9" s="202">
        <f t="shared" si="0"/>
        <v>36</v>
      </c>
      <c r="M9" s="236" t="s">
        <v>7453</v>
      </c>
      <c r="N9" s="230" t="s">
        <v>7353</v>
      </c>
    </row>
    <row r="10" spans="1:17">
      <c r="B10" s="40" t="s">
        <v>3309</v>
      </c>
      <c r="C10" s="47" t="s">
        <v>4478</v>
      </c>
      <c r="D10" s="40">
        <v>235603</v>
      </c>
      <c r="F10" s="236" t="s">
        <v>313</v>
      </c>
      <c r="J10" s="202">
        <v>1976</v>
      </c>
      <c r="K10" s="250" t="s">
        <v>7145</v>
      </c>
      <c r="L10" s="202">
        <f t="shared" si="0"/>
        <v>47</v>
      </c>
      <c r="M10" s="236" t="s">
        <v>7453</v>
      </c>
      <c r="N10" s="230" t="s">
        <v>7354</v>
      </c>
    </row>
    <row r="11" spans="1:17">
      <c r="B11" s="40" t="s">
        <v>4136</v>
      </c>
      <c r="C11" s="394" t="s">
        <v>9670</v>
      </c>
      <c r="D11" s="40">
        <v>234531</v>
      </c>
      <c r="F11" s="236" t="s">
        <v>1</v>
      </c>
      <c r="J11" s="202">
        <v>1987</v>
      </c>
      <c r="K11" s="250" t="s">
        <v>7145</v>
      </c>
      <c r="L11" s="202">
        <f t="shared" si="0"/>
        <v>36</v>
      </c>
      <c r="M11" s="236" t="s">
        <v>7453</v>
      </c>
      <c r="N11" s="230" t="s">
        <v>7353</v>
      </c>
    </row>
    <row r="12" spans="1:17">
      <c r="B12" s="47" t="s">
        <v>4497</v>
      </c>
      <c r="C12" s="40"/>
      <c r="D12" s="40">
        <v>222313</v>
      </c>
      <c r="F12" s="236" t="s">
        <v>3847</v>
      </c>
      <c r="J12" s="202">
        <v>1983</v>
      </c>
      <c r="K12" s="250" t="s">
        <v>7145</v>
      </c>
      <c r="L12" s="202">
        <f>2023-J12</f>
        <v>40</v>
      </c>
      <c r="M12" s="236" t="s">
        <v>7453</v>
      </c>
      <c r="N12" s="230" t="s">
        <v>7353</v>
      </c>
    </row>
    <row r="13" spans="1:17">
      <c r="B13" s="232" t="s">
        <v>7349</v>
      </c>
      <c r="C13" s="40"/>
      <c r="D13" s="40">
        <v>217498</v>
      </c>
      <c r="F13" s="236" t="s">
        <v>4152</v>
      </c>
      <c r="K13" s="250" t="s">
        <v>7145</v>
      </c>
      <c r="M13" s="230" t="s">
        <v>7350</v>
      </c>
      <c r="N13" s="230" t="s">
        <v>7354</v>
      </c>
    </row>
    <row r="14" spans="1:17">
      <c r="B14" s="205" t="s">
        <v>7153</v>
      </c>
      <c r="C14" s="40"/>
      <c r="D14" s="40">
        <v>211018</v>
      </c>
      <c r="F14" s="236" t="s">
        <v>7361</v>
      </c>
      <c r="K14" s="250" t="s">
        <v>7145</v>
      </c>
      <c r="M14" s="236" t="s">
        <v>7453</v>
      </c>
      <c r="N14" s="230" t="s">
        <v>7353</v>
      </c>
    </row>
    <row r="15" spans="1:17">
      <c r="B15" s="47" t="s">
        <v>4477</v>
      </c>
      <c r="C15" s="175" t="s">
        <v>3847</v>
      </c>
      <c r="D15" s="40">
        <v>196079</v>
      </c>
      <c r="F15" s="236" t="s">
        <v>3847</v>
      </c>
      <c r="J15" s="202">
        <v>1982</v>
      </c>
      <c r="K15" s="250" t="s">
        <v>7145</v>
      </c>
      <c r="L15" s="202">
        <f t="shared" si="0"/>
        <v>41</v>
      </c>
      <c r="M15" s="236" t="s">
        <v>7453</v>
      </c>
      <c r="N15" s="230" t="s">
        <v>7354</v>
      </c>
    </row>
    <row r="16" spans="1:17" s="199" customFormat="1">
      <c r="B16" s="175" t="s">
        <v>4163</v>
      </c>
      <c r="C16" s="175" t="s">
        <v>4162</v>
      </c>
      <c r="D16" s="175">
        <v>190212</v>
      </c>
      <c r="E16" s="186" t="s">
        <v>7089</v>
      </c>
      <c r="F16" s="236" t="s">
        <v>7359</v>
      </c>
      <c r="J16" s="203"/>
      <c r="K16" s="250" t="s">
        <v>7145</v>
      </c>
      <c r="L16" s="203"/>
      <c r="M16" s="236" t="s">
        <v>7453</v>
      </c>
      <c r="N16" s="230" t="s">
        <v>7354</v>
      </c>
    </row>
    <row r="17" spans="2:14" s="199" customFormat="1">
      <c r="B17" s="205" t="s">
        <v>7170</v>
      </c>
      <c r="C17" s="175"/>
      <c r="D17" s="175">
        <v>167886</v>
      </c>
      <c r="E17" s="186"/>
      <c r="F17" s="186"/>
      <c r="J17" s="203"/>
      <c r="K17" s="250" t="s">
        <v>7145</v>
      </c>
      <c r="L17" s="203"/>
      <c r="M17" s="236" t="s">
        <v>7453</v>
      </c>
      <c r="N17" s="230" t="s">
        <v>7353</v>
      </c>
    </row>
    <row r="18" spans="2:14">
      <c r="B18" s="47" t="s">
        <v>4505</v>
      </c>
      <c r="C18" s="175" t="s">
        <v>4110</v>
      </c>
      <c r="D18" s="40">
        <v>157591</v>
      </c>
      <c r="J18" s="202">
        <v>1976</v>
      </c>
      <c r="L18" s="202">
        <f t="shared" ref="L18:L25" si="1">2023-J18</f>
        <v>47</v>
      </c>
      <c r="M18" s="236" t="s">
        <v>7453</v>
      </c>
      <c r="N18" s="230" t="s">
        <v>7353</v>
      </c>
    </row>
    <row r="19" spans="2:14">
      <c r="B19" s="47" t="s">
        <v>4476</v>
      </c>
      <c r="C19" s="40"/>
      <c r="D19" s="40">
        <v>155108</v>
      </c>
      <c r="J19" s="202">
        <v>1983</v>
      </c>
      <c r="L19" s="202">
        <f t="shared" si="1"/>
        <v>40</v>
      </c>
      <c r="M19" s="236" t="s">
        <v>7453</v>
      </c>
      <c r="N19" s="230" t="s">
        <v>7353</v>
      </c>
    </row>
    <row r="20" spans="2:14">
      <c r="B20" s="205" t="s">
        <v>7161</v>
      </c>
      <c r="C20" s="40"/>
      <c r="D20" s="40">
        <v>147441</v>
      </c>
      <c r="M20" s="236" t="s">
        <v>7453</v>
      </c>
      <c r="N20" s="230" t="s">
        <v>7353</v>
      </c>
    </row>
    <row r="21" spans="2:14">
      <c r="B21" s="47" t="s">
        <v>4502</v>
      </c>
      <c r="C21" s="40"/>
      <c r="D21" s="40">
        <v>132955</v>
      </c>
      <c r="J21" s="202">
        <v>1936</v>
      </c>
      <c r="L21" s="202">
        <f t="shared" si="1"/>
        <v>87</v>
      </c>
      <c r="M21" s="236" t="s">
        <v>7453</v>
      </c>
      <c r="N21" s="230" t="s">
        <v>7353</v>
      </c>
    </row>
    <row r="22" spans="2:14">
      <c r="B22" s="205" t="s">
        <v>7154</v>
      </c>
      <c r="C22" s="40"/>
      <c r="D22" s="40">
        <v>129917</v>
      </c>
      <c r="M22" s="236" t="s">
        <v>7453</v>
      </c>
      <c r="N22" s="230" t="s">
        <v>7354</v>
      </c>
    </row>
    <row r="23" spans="2:14">
      <c r="B23" s="47" t="s">
        <v>4472</v>
      </c>
      <c r="C23" s="47" t="s">
        <v>4473</v>
      </c>
      <c r="D23" s="40">
        <v>119862</v>
      </c>
      <c r="J23" s="202">
        <v>1977</v>
      </c>
      <c r="L23" s="202">
        <f t="shared" si="1"/>
        <v>46</v>
      </c>
      <c r="M23" s="236" t="s">
        <v>7453</v>
      </c>
      <c r="N23" s="230" t="s">
        <v>7353</v>
      </c>
    </row>
    <row r="24" spans="2:14">
      <c r="B24" s="40" t="s">
        <v>3654</v>
      </c>
      <c r="C24" s="40" t="s">
        <v>4106</v>
      </c>
      <c r="D24" s="40">
        <v>117540</v>
      </c>
      <c r="F24" s="236" t="s">
        <v>935</v>
      </c>
      <c r="J24" s="202">
        <v>1976</v>
      </c>
      <c r="L24" s="202">
        <f t="shared" si="1"/>
        <v>47</v>
      </c>
      <c r="M24" s="236" t="s">
        <v>7453</v>
      </c>
      <c r="N24" s="230" t="s">
        <v>7353</v>
      </c>
    </row>
    <row r="25" spans="2:14">
      <c r="B25" s="47" t="s">
        <v>4485</v>
      </c>
      <c r="C25" s="175" t="s">
        <v>7074</v>
      </c>
      <c r="D25" s="40">
        <v>107284</v>
      </c>
      <c r="H25" s="199" t="s">
        <v>7077</v>
      </c>
      <c r="I25" s="45">
        <v>55931</v>
      </c>
      <c r="J25" s="202">
        <v>1962</v>
      </c>
      <c r="L25" s="202">
        <f t="shared" si="1"/>
        <v>61</v>
      </c>
      <c r="M25" s="236" t="s">
        <v>7453</v>
      </c>
      <c r="N25" s="230" t="s">
        <v>7353</v>
      </c>
    </row>
    <row r="26" spans="2:14">
      <c r="B26" s="40" t="s">
        <v>4096</v>
      </c>
      <c r="C26" s="40" t="s">
        <v>4095</v>
      </c>
      <c r="D26" s="40">
        <v>103571</v>
      </c>
      <c r="M26" s="236" t="s">
        <v>7453</v>
      </c>
      <c r="N26" s="230" t="s">
        <v>7354</v>
      </c>
    </row>
    <row r="27" spans="2:14">
      <c r="B27" s="40" t="s">
        <v>4115</v>
      </c>
      <c r="C27" s="40" t="s">
        <v>4114</v>
      </c>
      <c r="D27" s="40">
        <v>98374</v>
      </c>
      <c r="M27" s="230" t="s">
        <v>7350</v>
      </c>
      <c r="N27" s="230" t="s">
        <v>7354</v>
      </c>
    </row>
    <row r="28" spans="2:14">
      <c r="B28" s="205" t="s">
        <v>7159</v>
      </c>
      <c r="C28" s="40"/>
      <c r="D28" s="40">
        <v>95181</v>
      </c>
      <c r="N28" s="230" t="s">
        <v>7354</v>
      </c>
    </row>
    <row r="29" spans="2:14">
      <c r="B29" s="205" t="s">
        <v>7158</v>
      </c>
      <c r="C29" s="40"/>
      <c r="D29" s="40">
        <v>86363</v>
      </c>
      <c r="M29" s="236" t="s">
        <v>7453</v>
      </c>
      <c r="N29" s="230" t="s">
        <v>7353</v>
      </c>
    </row>
    <row r="30" spans="2:14">
      <c r="B30" s="175" t="s">
        <v>5365</v>
      </c>
      <c r="C30" s="199" t="s">
        <v>3847</v>
      </c>
      <c r="D30" s="40">
        <f>674+1377+76608+1550+319+389+424+218+386</f>
        <v>81945</v>
      </c>
      <c r="M30" s="236" t="s">
        <v>7453</v>
      </c>
      <c r="N30" s="230" t="s">
        <v>7353</v>
      </c>
    </row>
    <row r="31" spans="2:14">
      <c r="B31" s="205" t="s">
        <v>7175</v>
      </c>
      <c r="C31" s="199"/>
      <c r="D31" s="40">
        <v>81847</v>
      </c>
      <c r="M31" s="236" t="s">
        <v>7453</v>
      </c>
      <c r="N31" s="230" t="s">
        <v>7353</v>
      </c>
    </row>
    <row r="32" spans="2:14">
      <c r="B32" s="205" t="s">
        <v>7166</v>
      </c>
      <c r="C32" s="199"/>
      <c r="D32" s="40">
        <v>75058</v>
      </c>
      <c r="N32" s="230" t="s">
        <v>7354</v>
      </c>
    </row>
    <row r="33" spans="2:14">
      <c r="B33" s="47" t="s">
        <v>4486</v>
      </c>
      <c r="C33" s="175" t="s">
        <v>7075</v>
      </c>
      <c r="D33" s="40">
        <v>73827</v>
      </c>
      <c r="H33" s="199" t="s">
        <v>7077</v>
      </c>
      <c r="I33" s="45">
        <v>55931</v>
      </c>
      <c r="J33" s="202">
        <v>1956</v>
      </c>
      <c r="L33" s="202">
        <f>2023-J33</f>
        <v>67</v>
      </c>
      <c r="M33" s="236" t="s">
        <v>7453</v>
      </c>
      <c r="N33" s="230" t="s">
        <v>7353</v>
      </c>
    </row>
    <row r="34" spans="2:14">
      <c r="B34" s="205" t="s">
        <v>7157</v>
      </c>
      <c r="C34" s="175"/>
      <c r="D34" s="40">
        <v>73782</v>
      </c>
      <c r="H34" s="199"/>
      <c r="M34" s="236" t="s">
        <v>7453</v>
      </c>
      <c r="N34" s="230" t="s">
        <v>7353</v>
      </c>
    </row>
    <row r="35" spans="2:14">
      <c r="B35" s="47" t="s">
        <v>4607</v>
      </c>
      <c r="C35" s="47" t="s">
        <v>4608</v>
      </c>
      <c r="D35" s="45">
        <v>72983</v>
      </c>
      <c r="G35" s="25" t="s">
        <v>4609</v>
      </c>
      <c r="H35" s="25" t="s">
        <v>4640</v>
      </c>
      <c r="M35" s="236" t="s">
        <v>7453</v>
      </c>
      <c r="N35" s="230" t="s">
        <v>7353</v>
      </c>
    </row>
    <row r="36" spans="2:14">
      <c r="B36" s="205" t="s">
        <v>7168</v>
      </c>
      <c r="C36" s="47"/>
      <c r="D36" s="45">
        <v>72503</v>
      </c>
      <c r="G36" s="25"/>
      <c r="H36" s="25"/>
      <c r="M36" s="236" t="s">
        <v>7453</v>
      </c>
      <c r="N36" s="230" t="s">
        <v>7353</v>
      </c>
    </row>
    <row r="37" spans="2:14">
      <c r="B37" s="205" t="s">
        <v>7160</v>
      </c>
      <c r="C37" s="47"/>
      <c r="D37" s="45">
        <v>71761</v>
      </c>
      <c r="G37" s="25"/>
      <c r="H37" s="25"/>
      <c r="M37" s="236" t="s">
        <v>7453</v>
      </c>
      <c r="N37" s="230" t="s">
        <v>7353</v>
      </c>
    </row>
    <row r="38" spans="2:14">
      <c r="B38" s="205" t="s">
        <v>7177</v>
      </c>
      <c r="C38" s="47"/>
      <c r="D38" s="45">
        <v>71469</v>
      </c>
      <c r="G38" s="25"/>
      <c r="H38" s="25"/>
      <c r="M38" s="236" t="s">
        <v>7453</v>
      </c>
      <c r="N38" s="230" t="s">
        <v>7353</v>
      </c>
    </row>
    <row r="39" spans="2:14">
      <c r="B39" s="205" t="s">
        <v>7167</v>
      </c>
      <c r="C39" s="47"/>
      <c r="D39" s="45">
        <v>66608</v>
      </c>
      <c r="G39" s="25"/>
      <c r="H39" s="25"/>
      <c r="M39" s="236" t="s">
        <v>7453</v>
      </c>
      <c r="N39" s="230" t="s">
        <v>7353</v>
      </c>
    </row>
    <row r="40" spans="2:14">
      <c r="B40" s="205" t="s">
        <v>7155</v>
      </c>
      <c r="C40" s="47"/>
      <c r="D40" s="45">
        <v>62262</v>
      </c>
      <c r="G40" s="25"/>
      <c r="H40" s="25"/>
      <c r="M40" s="236" t="s">
        <v>7453</v>
      </c>
      <c r="N40" s="230" t="s">
        <v>7353</v>
      </c>
    </row>
    <row r="41" spans="2:14">
      <c r="B41" s="205" t="s">
        <v>7156</v>
      </c>
      <c r="C41" s="47"/>
      <c r="D41" s="45">
        <v>61790</v>
      </c>
      <c r="G41" s="25"/>
      <c r="H41" s="25"/>
      <c r="M41" s="236" t="s">
        <v>7453</v>
      </c>
      <c r="N41" s="230" t="s">
        <v>7353</v>
      </c>
    </row>
    <row r="42" spans="2:14">
      <c r="B42" s="205" t="s">
        <v>4469</v>
      </c>
      <c r="C42" s="205" t="s">
        <v>0</v>
      </c>
      <c r="D42" s="40">
        <v>60529</v>
      </c>
      <c r="M42" s="236" t="s">
        <v>7453</v>
      </c>
      <c r="N42" s="230" t="s">
        <v>7353</v>
      </c>
    </row>
    <row r="43" spans="2:14">
      <c r="B43" s="47" t="s">
        <v>4474</v>
      </c>
      <c r="C43" s="47" t="s">
        <v>4475</v>
      </c>
      <c r="D43" s="40">
        <v>58730</v>
      </c>
      <c r="M43" s="236" t="s">
        <v>7453</v>
      </c>
      <c r="N43" s="45">
        <f>COUNTIF(N3:N42,"Asian")</f>
        <v>10</v>
      </c>
    </row>
    <row r="44" spans="2:14">
      <c r="B44" s="205" t="s">
        <v>7172</v>
      </c>
      <c r="C44" s="47"/>
      <c r="D44" s="40">
        <v>51501</v>
      </c>
    </row>
    <row r="45" spans="2:14">
      <c r="B45" s="90" t="s">
        <v>5305</v>
      </c>
      <c r="C45" s="90" t="s">
        <v>5304</v>
      </c>
      <c r="D45" s="40">
        <f>9980+34759+5187+868</f>
        <v>50794</v>
      </c>
      <c r="M45" s="236" t="s">
        <v>7453</v>
      </c>
    </row>
    <row r="46" spans="2:14">
      <c r="B46" s="205" t="s">
        <v>7164</v>
      </c>
      <c r="C46" s="90"/>
      <c r="D46" s="40">
        <v>48747</v>
      </c>
    </row>
    <row r="47" spans="2:14">
      <c r="B47" s="205" t="s">
        <v>7162</v>
      </c>
      <c r="C47" s="90"/>
      <c r="D47" s="40">
        <v>47203</v>
      </c>
      <c r="M47" s="236" t="s">
        <v>7453</v>
      </c>
    </row>
    <row r="48" spans="2:14">
      <c r="B48" s="205" t="s">
        <v>7173</v>
      </c>
      <c r="C48" s="90"/>
      <c r="D48" s="40">
        <v>47115</v>
      </c>
    </row>
    <row r="49" spans="2:13">
      <c r="B49" s="205" t="s">
        <v>7171</v>
      </c>
      <c r="C49" s="90"/>
      <c r="D49" s="40">
        <v>45997</v>
      </c>
      <c r="M49" s="236" t="s">
        <v>7453</v>
      </c>
    </row>
    <row r="50" spans="2:13">
      <c r="B50" s="47" t="s">
        <v>4499</v>
      </c>
      <c r="C50" s="40"/>
      <c r="D50" s="40">
        <v>42720</v>
      </c>
      <c r="M50" s="236" t="s">
        <v>7453</v>
      </c>
    </row>
    <row r="51" spans="2:13">
      <c r="B51" s="205" t="s">
        <v>7169</v>
      </c>
      <c r="C51" s="40"/>
      <c r="D51" s="40">
        <v>39933</v>
      </c>
    </row>
    <row r="52" spans="2:13">
      <c r="B52" s="245" t="s">
        <v>4967</v>
      </c>
      <c r="C52" s="40"/>
      <c r="D52" s="40">
        <v>34494</v>
      </c>
      <c r="F52" s="236" t="s">
        <v>3847</v>
      </c>
      <c r="H52" s="236" t="s">
        <v>5194</v>
      </c>
      <c r="I52" s="45">
        <v>7059</v>
      </c>
    </row>
    <row r="53" spans="2:13">
      <c r="B53" s="90" t="s">
        <v>5303</v>
      </c>
      <c r="C53" s="90" t="s">
        <v>5304</v>
      </c>
      <c r="D53" s="40">
        <v>31800</v>
      </c>
      <c r="M53" s="236" t="s">
        <v>7453</v>
      </c>
    </row>
    <row r="54" spans="2:13">
      <c r="B54" s="205" t="s">
        <v>7165</v>
      </c>
      <c r="C54" s="90"/>
      <c r="D54" s="40">
        <v>31622</v>
      </c>
      <c r="M54" s="236" t="s">
        <v>7453</v>
      </c>
    </row>
    <row r="55" spans="2:13">
      <c r="B55" s="205" t="s">
        <v>7147</v>
      </c>
      <c r="C55" s="175"/>
      <c r="D55" s="40">
        <v>26925</v>
      </c>
    </row>
    <row r="56" spans="2:13">
      <c r="B56" s="205" t="s">
        <v>7149</v>
      </c>
      <c r="C56" s="175"/>
      <c r="D56" s="40">
        <v>26850</v>
      </c>
    </row>
    <row r="57" spans="2:13">
      <c r="B57" s="47" t="s">
        <v>4504</v>
      </c>
      <c r="C57" s="90" t="s">
        <v>5925</v>
      </c>
      <c r="D57" s="40">
        <v>26207</v>
      </c>
    </row>
    <row r="58" spans="2:13">
      <c r="B58" s="205" t="s">
        <v>4720</v>
      </c>
      <c r="C58" s="90"/>
      <c r="D58" s="40">
        <v>20087</v>
      </c>
    </row>
    <row r="59" spans="2:13">
      <c r="B59" s="47" t="s">
        <v>4482</v>
      </c>
      <c r="C59" s="175" t="s">
        <v>4110</v>
      </c>
      <c r="D59" s="40">
        <v>16620</v>
      </c>
      <c r="J59" s="202">
        <v>1976</v>
      </c>
      <c r="L59" s="202">
        <v>47</v>
      </c>
    </row>
    <row r="60" spans="2:13">
      <c r="B60" s="205" t="s">
        <v>7178</v>
      </c>
      <c r="C60" s="175"/>
      <c r="D60" s="40">
        <v>16054</v>
      </c>
    </row>
    <row r="61" spans="2:13">
      <c r="B61" s="40" t="s">
        <v>4273</v>
      </c>
      <c r="C61" s="40" t="s">
        <v>4274</v>
      </c>
      <c r="D61" s="40">
        <v>14426</v>
      </c>
      <c r="J61" s="202">
        <v>1984</v>
      </c>
      <c r="L61" s="202">
        <v>39</v>
      </c>
    </row>
    <row r="62" spans="2:13">
      <c r="B62" s="205" t="s">
        <v>7135</v>
      </c>
      <c r="C62" s="90"/>
      <c r="D62" s="40">
        <f>4400+1269+1103+6196</f>
        <v>12968</v>
      </c>
    </row>
    <row r="63" spans="2:13">
      <c r="B63" s="205" t="s">
        <v>7150</v>
      </c>
      <c r="C63" s="205" t="s">
        <v>7151</v>
      </c>
      <c r="D63" s="205">
        <v>11601</v>
      </c>
    </row>
    <row r="64" spans="2:13">
      <c r="B64" s="205" t="s">
        <v>4494</v>
      </c>
      <c r="C64" s="90"/>
      <c r="D64" s="40">
        <f>5861+1341+425</f>
        <v>7627</v>
      </c>
    </row>
    <row r="65" spans="1:12">
      <c r="B65" s="48" t="s">
        <v>4481</v>
      </c>
      <c r="C65" s="220" t="s">
        <v>7326</v>
      </c>
      <c r="D65" s="45">
        <v>9864</v>
      </c>
      <c r="J65" s="202">
        <v>1959</v>
      </c>
      <c r="L65" s="202">
        <v>64</v>
      </c>
    </row>
    <row r="66" spans="1:12">
      <c r="B66" s="206" t="s">
        <v>7174</v>
      </c>
      <c r="D66" s="45">
        <v>9509</v>
      </c>
    </row>
    <row r="67" spans="1:12">
      <c r="B67" s="40" t="s">
        <v>3651</v>
      </c>
      <c r="C67" s="40" t="s">
        <v>4131</v>
      </c>
      <c r="D67" s="40">
        <v>9350</v>
      </c>
    </row>
    <row r="68" spans="1:12">
      <c r="B68" s="205" t="s">
        <v>7179</v>
      </c>
      <c r="C68" s="40"/>
      <c r="D68" s="40">
        <v>8963</v>
      </c>
    </row>
    <row r="69" spans="1:12">
      <c r="B69" s="43" t="s">
        <v>4500</v>
      </c>
      <c r="C69" s="43" t="s">
        <v>5654</v>
      </c>
      <c r="D69" s="43">
        <f>333+1326+1429+1757+501+653+935+512</f>
        <v>7446</v>
      </c>
    </row>
    <row r="70" spans="1:12">
      <c r="B70" s="205" t="s">
        <v>7152</v>
      </c>
      <c r="C70" s="90"/>
      <c r="D70" s="90">
        <v>5786</v>
      </c>
    </row>
    <row r="71" spans="1:12">
      <c r="B71" s="205" t="s">
        <v>7148</v>
      </c>
      <c r="C71" s="90"/>
      <c r="D71" s="40">
        <v>5373</v>
      </c>
    </row>
    <row r="72" spans="1:12">
      <c r="B72" s="205" t="s">
        <v>7163</v>
      </c>
      <c r="C72" s="90"/>
      <c r="D72" s="40">
        <v>5085</v>
      </c>
    </row>
    <row r="73" spans="1:12">
      <c r="B73" s="47" t="s">
        <v>4503</v>
      </c>
      <c r="C73" s="175" t="s">
        <v>7042</v>
      </c>
      <c r="D73" s="40">
        <v>3028</v>
      </c>
    </row>
    <row r="74" spans="1:12">
      <c r="B74" s="47" t="s">
        <v>4484</v>
      </c>
      <c r="C74" s="40"/>
      <c r="D74" s="40">
        <v>1823</v>
      </c>
    </row>
    <row r="75" spans="1:12">
      <c r="B75" s="40" t="s">
        <v>4159</v>
      </c>
      <c r="C75" s="40" t="s">
        <v>4158</v>
      </c>
      <c r="D75" s="40">
        <v>1177</v>
      </c>
    </row>
    <row r="76" spans="1:12">
      <c r="B76" s="40" t="s">
        <v>4121</v>
      </c>
      <c r="C76" s="40" t="s">
        <v>4118</v>
      </c>
      <c r="D76" s="40">
        <v>306</v>
      </c>
    </row>
    <row r="77" spans="1:12">
      <c r="B77" s="40" t="s">
        <v>4155</v>
      </c>
      <c r="C77" s="40" t="s">
        <v>4154</v>
      </c>
      <c r="D77" s="40">
        <f>8+6+1+3</f>
        <v>18</v>
      </c>
      <c r="J77" s="202">
        <v>1977</v>
      </c>
      <c r="K77" s="208" t="s">
        <v>7145</v>
      </c>
      <c r="L77" s="202">
        <f>2023-J77</f>
        <v>46</v>
      </c>
    </row>
    <row r="78" spans="1:12">
      <c r="A78" s="218"/>
      <c r="B78" s="395" t="s">
        <v>9668</v>
      </c>
      <c r="C78" s="395" t="s">
        <v>9669</v>
      </c>
      <c r="D78" s="199"/>
      <c r="E78" s="199"/>
      <c r="F78" s="199"/>
      <c r="G78" s="199"/>
    </row>
    <row r="79" spans="1:12">
      <c r="A79" s="25"/>
      <c r="B79" s="199"/>
      <c r="C79" s="199"/>
      <c r="D79" s="199"/>
      <c r="E79" s="199"/>
      <c r="F79" s="199"/>
      <c r="G79" s="199"/>
    </row>
    <row r="80" spans="1:12">
      <c r="B80" s="40" t="s">
        <v>7343</v>
      </c>
      <c r="C80" s="40"/>
      <c r="D80" s="40"/>
    </row>
    <row r="81" spans="2:12">
      <c r="B81" s="175" t="s">
        <v>4436</v>
      </c>
      <c r="C81" s="40"/>
      <c r="D81" s="40"/>
    </row>
    <row r="82" spans="2:12">
      <c r="B82" s="205" t="s">
        <v>7144</v>
      </c>
      <c r="C82" s="205" t="s">
        <v>7146</v>
      </c>
      <c r="D82" s="40"/>
      <c r="J82" s="202">
        <v>1946</v>
      </c>
      <c r="K82" s="208" t="s">
        <v>7145</v>
      </c>
      <c r="L82" s="202">
        <f>2023-J82</f>
        <v>77</v>
      </c>
    </row>
    <row r="83" spans="2:12">
      <c r="B83" s="205" t="s">
        <v>7344</v>
      </c>
      <c r="C83" s="205" t="s">
        <v>7345</v>
      </c>
      <c r="D83" s="40"/>
      <c r="K83" s="208"/>
    </row>
    <row r="84" spans="2:12">
      <c r="B84" s="40" t="s">
        <v>4153</v>
      </c>
      <c r="C84" s="40" t="s">
        <v>4152</v>
      </c>
      <c r="D84" s="40"/>
    </row>
    <row r="85" spans="2:12">
      <c r="B85" s="40" t="s">
        <v>4147</v>
      </c>
      <c r="C85" s="40" t="s">
        <v>4146</v>
      </c>
      <c r="D85" s="40"/>
    </row>
    <row r="86" spans="2:12">
      <c r="B86" s="205" t="s">
        <v>7133</v>
      </c>
      <c r="C86" s="205" t="s">
        <v>7136</v>
      </c>
      <c r="D86" s="40"/>
    </row>
    <row r="87" spans="2:12">
      <c r="B87" s="40" t="s">
        <v>4144</v>
      </c>
      <c r="C87" s="40" t="s">
        <v>4143</v>
      </c>
      <c r="D87" s="40"/>
    </row>
    <row r="88" spans="2:12">
      <c r="B88" s="40" t="s">
        <v>4139</v>
      </c>
      <c r="C88" s="40" t="s">
        <v>4138</v>
      </c>
      <c r="D88" s="40"/>
    </row>
    <row r="89" spans="2:12">
      <c r="B89" s="47" t="s">
        <v>4498</v>
      </c>
      <c r="C89" s="40"/>
      <c r="D89" s="40"/>
    </row>
    <row r="90" spans="2:12">
      <c r="B90" s="47" t="s">
        <v>7346</v>
      </c>
      <c r="C90" s="40" t="s">
        <v>7345</v>
      </c>
      <c r="D90" s="40"/>
    </row>
    <row r="91" spans="2:12">
      <c r="B91" s="47" t="s">
        <v>4480</v>
      </c>
      <c r="C91" s="40"/>
      <c r="D91" s="41"/>
      <c r="J91" s="202">
        <v>1948</v>
      </c>
      <c r="L91" s="202">
        <f t="shared" ref="L91:L92" si="2">2023-J91</f>
        <v>75</v>
      </c>
    </row>
    <row r="92" spans="2:12">
      <c r="B92" s="47" t="s">
        <v>4491</v>
      </c>
      <c r="C92" s="47" t="s">
        <v>4501</v>
      </c>
      <c r="D92" s="40"/>
      <c r="J92" s="202">
        <v>1971</v>
      </c>
      <c r="L92" s="202">
        <f t="shared" si="2"/>
        <v>52</v>
      </c>
    </row>
    <row r="93" spans="2:12">
      <c r="B93" s="40" t="s">
        <v>4119</v>
      </c>
      <c r="C93" s="40" t="s">
        <v>4118</v>
      </c>
      <c r="D93" s="40"/>
    </row>
    <row r="94" spans="2:12">
      <c r="B94" s="47" t="s">
        <v>4487</v>
      </c>
      <c r="C94" s="40"/>
      <c r="D94" s="40"/>
    </row>
    <row r="95" spans="2:12">
      <c r="B95" s="47" t="s">
        <v>7341</v>
      </c>
      <c r="C95" s="40" t="s">
        <v>7342</v>
      </c>
      <c r="D95" s="40"/>
    </row>
    <row r="96" spans="2:12">
      <c r="B96" s="175" t="s">
        <v>4112</v>
      </c>
      <c r="C96" s="40" t="s">
        <v>4111</v>
      </c>
      <c r="D96" s="40"/>
    </row>
    <row r="97" spans="1:12">
      <c r="B97" s="175" t="s">
        <v>7082</v>
      </c>
      <c r="C97" s="40"/>
      <c r="D97" s="40"/>
      <c r="J97" s="202">
        <v>1966</v>
      </c>
      <c r="K97" s="202">
        <v>1972</v>
      </c>
      <c r="L97" s="202">
        <f>2023-J97</f>
        <v>57</v>
      </c>
    </row>
    <row r="98" spans="1:12">
      <c r="B98" s="206" t="s">
        <v>7199</v>
      </c>
    </row>
    <row r="102" spans="1:12">
      <c r="B102" s="142" t="s">
        <v>7134</v>
      </c>
    </row>
    <row r="103" spans="1:12">
      <c r="A103" s="25"/>
      <c r="B103" s="199" t="s">
        <v>7078</v>
      </c>
      <c r="C103" s="199" t="s">
        <v>7327</v>
      </c>
      <c r="D103" s="199">
        <f>8115+72</f>
        <v>8187</v>
      </c>
      <c r="E103" s="199"/>
      <c r="F103" s="199"/>
      <c r="G103" s="199"/>
      <c r="J103" s="202">
        <v>1702</v>
      </c>
      <c r="K103" s="202">
        <v>1761</v>
      </c>
      <c r="L103" s="202">
        <f t="shared" ref="L103:L117" si="3">2023-J103</f>
        <v>321</v>
      </c>
    </row>
    <row r="104" spans="1:12">
      <c r="A104" s="25"/>
      <c r="B104" s="199" t="s">
        <v>7337</v>
      </c>
      <c r="C104" s="199"/>
      <c r="D104" s="199"/>
      <c r="E104" s="199"/>
      <c r="F104" s="199"/>
      <c r="G104" s="199"/>
      <c r="J104" s="202">
        <v>1815</v>
      </c>
      <c r="K104" s="202">
        <v>1864</v>
      </c>
      <c r="L104" s="202">
        <v>208</v>
      </c>
    </row>
    <row r="105" spans="1:12">
      <c r="B105" s="175" t="s">
        <v>7115</v>
      </c>
      <c r="C105" s="175" t="s">
        <v>7116</v>
      </c>
      <c r="D105" s="40"/>
      <c r="J105" s="202">
        <v>1596</v>
      </c>
      <c r="K105" s="202">
        <v>1650</v>
      </c>
      <c r="L105" s="202">
        <f t="shared" si="3"/>
        <v>427</v>
      </c>
    </row>
    <row r="106" spans="1:12">
      <c r="B106" s="175" t="s">
        <v>7338</v>
      </c>
      <c r="C106" s="175" t="s">
        <v>7339</v>
      </c>
      <c r="D106" s="40"/>
      <c r="J106" s="202">
        <v>1848</v>
      </c>
      <c r="K106" s="202">
        <v>1925</v>
      </c>
      <c r="L106" s="202">
        <v>175</v>
      </c>
    </row>
    <row r="107" spans="1:12">
      <c r="B107" s="175" t="s">
        <v>7328</v>
      </c>
      <c r="C107" s="175" t="s">
        <v>7329</v>
      </c>
      <c r="D107" s="40"/>
    </row>
    <row r="108" spans="1:12">
      <c r="B108" s="175" t="s">
        <v>7243</v>
      </c>
      <c r="C108" s="175"/>
      <c r="D108" s="40"/>
      <c r="J108" s="202">
        <v>1906</v>
      </c>
      <c r="K108" s="202">
        <v>1978</v>
      </c>
      <c r="L108" s="202">
        <v>117</v>
      </c>
    </row>
    <row r="109" spans="1:12">
      <c r="B109" s="175" t="s">
        <v>7330</v>
      </c>
      <c r="C109" s="175" t="s">
        <v>7331</v>
      </c>
      <c r="D109" s="40"/>
    </row>
    <row r="110" spans="1:12">
      <c r="B110" s="175" t="s">
        <v>6995</v>
      </c>
      <c r="C110" s="175" t="s">
        <v>6996</v>
      </c>
      <c r="D110" s="40">
        <v>39379</v>
      </c>
    </row>
    <row r="111" spans="1:12">
      <c r="B111" s="175" t="s">
        <v>7107</v>
      </c>
      <c r="C111" s="175" t="s">
        <v>7114</v>
      </c>
      <c r="D111" s="40"/>
      <c r="J111" s="202">
        <v>1588</v>
      </c>
      <c r="K111" s="202">
        <v>1679</v>
      </c>
      <c r="L111" s="202">
        <f t="shared" si="3"/>
        <v>435</v>
      </c>
    </row>
    <row r="112" spans="1:12">
      <c r="B112" s="382" t="s">
        <v>9601</v>
      </c>
      <c r="C112" s="382" t="s">
        <v>9602</v>
      </c>
      <c r="D112" s="40"/>
      <c r="J112" s="202">
        <v>1711</v>
      </c>
      <c r="K112" s="202">
        <v>1776</v>
      </c>
      <c r="L112" s="202">
        <f t="shared" si="3"/>
        <v>312</v>
      </c>
    </row>
    <row r="113" spans="2:12">
      <c r="B113" s="175" t="s">
        <v>7112</v>
      </c>
      <c r="C113" s="175" t="s">
        <v>7113</v>
      </c>
      <c r="D113" s="41"/>
      <c r="J113" s="202">
        <v>1646</v>
      </c>
      <c r="K113" s="202">
        <v>1716</v>
      </c>
      <c r="L113" s="202">
        <f t="shared" si="3"/>
        <v>377</v>
      </c>
    </row>
    <row r="114" spans="2:12">
      <c r="B114" s="40" t="s">
        <v>4129</v>
      </c>
      <c r="C114" s="40" t="s">
        <v>4128</v>
      </c>
      <c r="D114" s="40"/>
      <c r="J114" s="202">
        <v>1856</v>
      </c>
      <c r="K114" s="202">
        <v>1922</v>
      </c>
      <c r="L114" s="202">
        <f t="shared" si="3"/>
        <v>167</v>
      </c>
    </row>
    <row r="115" spans="2:12">
      <c r="B115" s="40" t="s">
        <v>4125</v>
      </c>
      <c r="C115" s="175" t="s">
        <v>7024</v>
      </c>
      <c r="D115" s="40"/>
      <c r="J115" s="202">
        <v>1927</v>
      </c>
      <c r="K115" s="202">
        <v>2011</v>
      </c>
      <c r="L115" s="202">
        <f t="shared" si="3"/>
        <v>96</v>
      </c>
    </row>
    <row r="116" spans="2:12">
      <c r="B116" s="40" t="s">
        <v>7334</v>
      </c>
      <c r="C116" s="175" t="s">
        <v>7335</v>
      </c>
      <c r="D116" s="40"/>
    </row>
    <row r="117" spans="2:12">
      <c r="B117" s="47" t="s">
        <v>4483</v>
      </c>
      <c r="C117" s="382" t="s">
        <v>9603</v>
      </c>
      <c r="D117" s="40">
        <v>10460</v>
      </c>
      <c r="J117" s="202">
        <v>1927</v>
      </c>
      <c r="K117" s="202">
        <v>2016</v>
      </c>
      <c r="L117" s="202">
        <f t="shared" si="3"/>
        <v>96</v>
      </c>
    </row>
    <row r="118" spans="2:12">
      <c r="B118" s="175" t="s">
        <v>7103</v>
      </c>
      <c r="C118" s="175" t="s">
        <v>7104</v>
      </c>
      <c r="D118" s="40">
        <v>30483</v>
      </c>
      <c r="J118" s="202">
        <v>1927</v>
      </c>
      <c r="K118" s="202">
        <v>1992</v>
      </c>
      <c r="L118" s="202">
        <f>2023-J118</f>
        <v>96</v>
      </c>
    </row>
    <row r="119" spans="2:12">
      <c r="B119" s="175" t="s">
        <v>7081</v>
      </c>
      <c r="C119" s="175" t="s">
        <v>7084</v>
      </c>
      <c r="D119" s="40">
        <f>2683+9186+1491+8052+14071</f>
        <v>35483</v>
      </c>
      <c r="J119" s="202">
        <v>1933</v>
      </c>
      <c r="K119" s="202">
        <v>2019</v>
      </c>
      <c r="L119" s="202">
        <f>2023-J119</f>
        <v>90</v>
      </c>
    </row>
    <row r="120" spans="2:12">
      <c r="B120" s="175" t="s">
        <v>6997</v>
      </c>
      <c r="C120" s="175" t="s">
        <v>6998</v>
      </c>
      <c r="D120" s="40"/>
    </row>
    <row r="121" spans="2:12">
      <c r="B121" s="90" t="s">
        <v>5309</v>
      </c>
      <c r="C121" s="90" t="s">
        <v>5310</v>
      </c>
      <c r="D121" s="40">
        <v>19640</v>
      </c>
      <c r="J121" s="202">
        <v>1928</v>
      </c>
      <c r="K121" s="202">
        <v>2016</v>
      </c>
      <c r="L121" s="202">
        <v>95</v>
      </c>
    </row>
    <row r="122" spans="2:12">
      <c r="B122" s="175" t="s">
        <v>7110</v>
      </c>
      <c r="C122" s="175" t="s">
        <v>7111</v>
      </c>
      <c r="D122" s="40"/>
      <c r="J122" s="202">
        <v>1623</v>
      </c>
      <c r="K122" s="202">
        <v>1662</v>
      </c>
      <c r="L122" s="202">
        <f>2023-J122</f>
        <v>400</v>
      </c>
    </row>
    <row r="123" spans="2:12">
      <c r="B123" s="175" t="s">
        <v>7336</v>
      </c>
      <c r="C123" s="175" t="s">
        <v>7335</v>
      </c>
      <c r="D123" s="40"/>
    </row>
    <row r="124" spans="2:12">
      <c r="B124" s="175" t="s">
        <v>7026</v>
      </c>
      <c r="C124" s="175" t="s">
        <v>7027</v>
      </c>
      <c r="D124" s="40"/>
    </row>
    <row r="125" spans="2:12">
      <c r="B125" s="175" t="s">
        <v>7083</v>
      </c>
      <c r="C125" s="175" t="s">
        <v>7084</v>
      </c>
      <c r="D125" s="40"/>
      <c r="J125" s="202">
        <v>1917</v>
      </c>
      <c r="K125" s="202">
        <v>2002</v>
      </c>
      <c r="L125" s="202">
        <f>2023-J125</f>
        <v>106</v>
      </c>
    </row>
    <row r="126" spans="2:12">
      <c r="B126" s="90" t="s">
        <v>5300</v>
      </c>
      <c r="C126" s="90" t="s">
        <v>5301</v>
      </c>
      <c r="D126" s="40"/>
    </row>
    <row r="127" spans="2:12">
      <c r="B127" s="90" t="s">
        <v>7332</v>
      </c>
      <c r="C127" s="90" t="s">
        <v>7333</v>
      </c>
      <c r="D127" s="40"/>
    </row>
    <row r="128" spans="2:12">
      <c r="B128" s="40" t="s">
        <v>4108</v>
      </c>
      <c r="C128" s="175" t="s">
        <v>7025</v>
      </c>
      <c r="D128" s="40"/>
      <c r="J128" s="202">
        <v>1916</v>
      </c>
      <c r="K128" s="202">
        <v>2011</v>
      </c>
      <c r="L128" s="202">
        <f>2023-J128</f>
        <v>107</v>
      </c>
    </row>
    <row r="129" spans="2:12">
      <c r="B129" s="175" t="s">
        <v>7105</v>
      </c>
      <c r="C129" s="175" t="s">
        <v>7106</v>
      </c>
      <c r="D129" s="40"/>
    </row>
    <row r="130" spans="2:12">
      <c r="B130" s="175" t="s">
        <v>7102</v>
      </c>
      <c r="C130" s="205" t="s">
        <v>7130</v>
      </c>
      <c r="D130" s="40">
        <v>453078</v>
      </c>
      <c r="E130" s="206" t="s">
        <v>1</v>
      </c>
      <c r="F130" s="206"/>
      <c r="J130" s="202">
        <v>1916</v>
      </c>
      <c r="K130" s="202">
        <v>2001</v>
      </c>
      <c r="L130" s="202">
        <f>2023-J130</f>
        <v>107</v>
      </c>
    </row>
    <row r="131" spans="2:12">
      <c r="B131" s="205" t="s">
        <v>7200</v>
      </c>
      <c r="C131" s="205" t="s">
        <v>7201</v>
      </c>
      <c r="D131" s="40"/>
    </row>
    <row r="132" spans="2:12">
      <c r="B132" s="205" t="s">
        <v>7340</v>
      </c>
      <c r="C132" s="205"/>
      <c r="D132" s="40"/>
      <c r="J132" s="202">
        <v>1902</v>
      </c>
      <c r="K132" s="202">
        <v>1983</v>
      </c>
      <c r="L132" s="202">
        <v>121</v>
      </c>
    </row>
    <row r="133" spans="2:12">
      <c r="B133" s="40" t="s">
        <v>4099</v>
      </c>
      <c r="C133" s="40" t="s">
        <v>4098</v>
      </c>
      <c r="D133" s="40">
        <v>61508</v>
      </c>
      <c r="J133" s="202">
        <v>1912</v>
      </c>
      <c r="K133" s="202">
        <v>1954</v>
      </c>
      <c r="L133" s="202">
        <f>2023-J133</f>
        <v>111</v>
      </c>
    </row>
    <row r="134" spans="2:12">
      <c r="B134" s="175" t="s">
        <v>7108</v>
      </c>
      <c r="C134" s="175" t="s">
        <v>7109</v>
      </c>
      <c r="D134" s="40"/>
      <c r="J134" s="202">
        <v>1452</v>
      </c>
      <c r="K134" s="202">
        <v>1519</v>
      </c>
      <c r="L134" s="202">
        <f>2023-J134</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O1475"/>
  <sheetViews>
    <sheetView zoomScale="150" zoomScaleNormal="15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9.1640625" defaultRowHeight="13"/>
  <cols>
    <col min="1" max="1" width="5" style="72" bestFit="1" customWidth="1"/>
    <col min="2" max="2" width="25.1640625" style="72" customWidth="1"/>
    <col min="3" max="3" width="10.83203125" style="73" customWidth="1"/>
    <col min="4" max="4" width="10.33203125" style="74" customWidth="1"/>
    <col min="5" max="5" width="11" style="72" customWidth="1"/>
    <col min="6" max="7" width="9.1640625" style="74"/>
    <col min="8" max="8" width="11.33203125" style="75" customWidth="1"/>
    <col min="9" max="9" width="23.5" style="72" customWidth="1"/>
    <col min="10" max="10" width="20.6640625" style="72" customWidth="1"/>
    <col min="11" max="11" width="10.1640625" style="72" bestFit="1" customWidth="1"/>
    <col min="12" max="12" width="11.5" style="72" customWidth="1"/>
    <col min="13" max="13" width="11.6640625" style="72" customWidth="1"/>
    <col min="14" max="14" width="14.83203125" style="72" customWidth="1"/>
    <col min="15" max="15" width="9.1640625" style="72"/>
    <col min="16" max="27" width="9.1640625" style="76"/>
    <col min="28" max="30" width="16" style="72" customWidth="1"/>
    <col min="31" max="31" width="21.83203125" style="72" customWidth="1"/>
    <col min="32" max="32" width="9.1640625" style="63"/>
    <col min="33" max="34" width="9.1640625" style="58"/>
    <col min="35" max="35" width="10.33203125" style="72" customWidth="1"/>
    <col min="36" max="16384" width="9.1640625" style="72"/>
  </cols>
  <sheetData>
    <row r="1" spans="1:41">
      <c r="A1" s="25" t="s">
        <v>1165</v>
      </c>
      <c r="D1" s="74">
        <f>SUM(D3:D373)</f>
        <v>11437675.5</v>
      </c>
    </row>
    <row r="2" spans="1:41">
      <c r="B2" s="72" t="s">
        <v>3978</v>
      </c>
      <c r="C2" s="73" t="s">
        <v>3977</v>
      </c>
      <c r="D2" s="74" t="s">
        <v>3976</v>
      </c>
      <c r="E2" s="72" t="s">
        <v>3975</v>
      </c>
      <c r="F2" s="74" t="s">
        <v>1157</v>
      </c>
      <c r="G2" s="94" t="s">
        <v>1158</v>
      </c>
      <c r="H2" s="75" t="s">
        <v>1156</v>
      </c>
      <c r="I2" s="72" t="s">
        <v>3974</v>
      </c>
      <c r="J2" s="72" t="s">
        <v>3973</v>
      </c>
      <c r="K2" s="72" t="s">
        <v>3972</v>
      </c>
      <c r="L2" s="72" t="s">
        <v>3971</v>
      </c>
      <c r="M2" s="75" t="s">
        <v>1153</v>
      </c>
      <c r="N2" s="72" t="s">
        <v>1150</v>
      </c>
      <c r="O2" s="72" t="s">
        <v>3969</v>
      </c>
      <c r="P2" s="76" t="s">
        <v>3970</v>
      </c>
      <c r="Q2" s="76" t="s">
        <v>1157</v>
      </c>
      <c r="R2" s="76" t="s">
        <v>3969</v>
      </c>
      <c r="S2" s="76" t="s">
        <v>3970</v>
      </c>
      <c r="T2" s="76" t="s">
        <v>1157</v>
      </c>
      <c r="U2" s="76" t="s">
        <v>3969</v>
      </c>
      <c r="V2" s="76" t="s">
        <v>3970</v>
      </c>
      <c r="W2" s="76" t="s">
        <v>1157</v>
      </c>
      <c r="X2" s="76" t="s">
        <v>3969</v>
      </c>
      <c r="Y2" s="76" t="s">
        <v>3970</v>
      </c>
      <c r="Z2" s="76" t="s">
        <v>1157</v>
      </c>
      <c r="AA2" s="76" t="s">
        <v>3969</v>
      </c>
      <c r="AB2" s="165" t="s">
        <v>6597</v>
      </c>
      <c r="AC2" s="165" t="s">
        <v>6598</v>
      </c>
      <c r="AD2" s="165" t="s">
        <v>6599</v>
      </c>
      <c r="AE2" s="72" t="s">
        <v>3968</v>
      </c>
      <c r="AF2" s="63" t="s">
        <v>5012</v>
      </c>
      <c r="AG2" s="58" t="s">
        <v>5013</v>
      </c>
      <c r="AH2" s="58" t="s">
        <v>8893</v>
      </c>
      <c r="AI2" s="274" t="s">
        <v>8894</v>
      </c>
    </row>
    <row r="3" spans="1:41">
      <c r="B3" s="72" t="s">
        <v>3938</v>
      </c>
      <c r="C3" s="73" t="s">
        <v>3967</v>
      </c>
      <c r="D3" s="74">
        <v>3030000</v>
      </c>
      <c r="E3" s="216" t="s">
        <v>3793</v>
      </c>
      <c r="F3" s="74" t="s">
        <v>1</v>
      </c>
      <c r="G3" s="74" t="s">
        <v>1</v>
      </c>
      <c r="H3" s="77">
        <v>31484</v>
      </c>
      <c r="I3" s="72" t="s">
        <v>4257</v>
      </c>
      <c r="J3" s="72" t="s">
        <v>3966</v>
      </c>
      <c r="K3" s="72" t="s">
        <v>2045</v>
      </c>
      <c r="L3" s="72" t="s">
        <v>2056</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6600</v>
      </c>
      <c r="AC3" s="165" t="s">
        <v>6602</v>
      </c>
      <c r="AD3" s="165" t="s">
        <v>6619</v>
      </c>
      <c r="AE3" s="25" t="s">
        <v>3965</v>
      </c>
      <c r="AF3" s="64">
        <v>721.3</v>
      </c>
      <c r="AG3" s="62">
        <v>0.18541666666666667</v>
      </c>
      <c r="AH3" s="64">
        <v>1000</v>
      </c>
      <c r="AI3" s="341">
        <v>0.16527777777777777</v>
      </c>
      <c r="AJ3" s="368">
        <f>+AH3/AF3-1</f>
        <v>0.3863856924996536</v>
      </c>
      <c r="AN3" s="25" t="s">
        <v>3964</v>
      </c>
      <c r="AO3" s="72">
        <v>14000</v>
      </c>
    </row>
    <row r="4" spans="1:41" s="12" customFormat="1">
      <c r="A4" s="72"/>
      <c r="B4" s="72" t="s">
        <v>1088</v>
      </c>
      <c r="C4" s="73" t="s">
        <v>3950</v>
      </c>
      <c r="D4" s="74">
        <v>2060000</v>
      </c>
      <c r="E4" s="72" t="s">
        <v>1</v>
      </c>
      <c r="F4" s="74" t="s">
        <v>1</v>
      </c>
      <c r="G4" s="74" t="s">
        <v>1</v>
      </c>
      <c r="H4" s="77">
        <v>36182</v>
      </c>
      <c r="I4" s="216" t="s">
        <v>7266</v>
      </c>
      <c r="J4" s="72"/>
      <c r="K4" s="72" t="s">
        <v>2045</v>
      </c>
      <c r="L4" s="72" t="s">
        <v>2100</v>
      </c>
      <c r="M4" s="72">
        <v>1993</v>
      </c>
      <c r="N4" s="72"/>
      <c r="O4" s="72" t="s">
        <v>1</v>
      </c>
      <c r="P4" s="76" t="s">
        <v>1</v>
      </c>
      <c r="Q4" s="76" t="s">
        <v>1</v>
      </c>
      <c r="R4" s="76" t="s">
        <v>1</v>
      </c>
      <c r="S4" s="76" t="s">
        <v>1</v>
      </c>
      <c r="T4" s="76" t="s">
        <v>1</v>
      </c>
      <c r="U4" s="76" t="s">
        <v>1</v>
      </c>
      <c r="V4" s="76" t="s">
        <v>1</v>
      </c>
      <c r="W4" s="76" t="s">
        <v>1</v>
      </c>
      <c r="X4" s="76" t="s">
        <v>1</v>
      </c>
      <c r="Y4" s="76" t="s">
        <v>1</v>
      </c>
      <c r="Z4" s="76" t="s">
        <v>1</v>
      </c>
      <c r="AA4" s="76" t="s">
        <v>1</v>
      </c>
      <c r="AB4" s="165" t="s">
        <v>6600</v>
      </c>
      <c r="AC4" s="165" t="s">
        <v>6603</v>
      </c>
      <c r="AD4" s="165" t="s">
        <v>6618</v>
      </c>
      <c r="AE4" s="25" t="s">
        <v>3949</v>
      </c>
      <c r="AF4" s="64">
        <v>26.76</v>
      </c>
      <c r="AG4" s="62">
        <v>0.15833333333333333</v>
      </c>
      <c r="AH4" s="64">
        <v>30.16</v>
      </c>
      <c r="AI4" s="62">
        <v>0.15069444444444444</v>
      </c>
      <c r="AJ4" s="368">
        <f>+AH4/AF4-1</f>
        <v>0.12705530642750373</v>
      </c>
      <c r="AN4" s="25" t="s">
        <v>3951</v>
      </c>
      <c r="AO4" s="72">
        <v>50</v>
      </c>
    </row>
    <row r="5" spans="1:41">
      <c r="B5" s="72" t="s">
        <v>3847</v>
      </c>
      <c r="C5" s="73" t="s">
        <v>3963</v>
      </c>
      <c r="D5" s="74">
        <v>1980000</v>
      </c>
      <c r="E5" s="72" t="s">
        <v>1</v>
      </c>
      <c r="F5" s="74" t="s">
        <v>1</v>
      </c>
      <c r="G5" s="74" t="s">
        <v>1</v>
      </c>
      <c r="H5" s="77">
        <v>38218</v>
      </c>
      <c r="I5" s="72" t="s">
        <v>3962</v>
      </c>
      <c r="J5" s="72" t="s">
        <v>4250</v>
      </c>
      <c r="K5" s="72" t="s">
        <v>2308</v>
      </c>
      <c r="L5" s="72" t="s">
        <v>2765</v>
      </c>
      <c r="M5" s="72">
        <v>1998</v>
      </c>
      <c r="O5" s="72" t="s">
        <v>1</v>
      </c>
      <c r="P5" s="76" t="s">
        <v>1</v>
      </c>
      <c r="Q5" s="76" t="s">
        <v>1</v>
      </c>
      <c r="R5" s="76" t="s">
        <v>1</v>
      </c>
      <c r="S5" s="76" t="s">
        <v>1</v>
      </c>
      <c r="T5" s="76" t="s">
        <v>1</v>
      </c>
      <c r="U5" s="76" t="s">
        <v>1</v>
      </c>
      <c r="V5" s="76" t="s">
        <v>1</v>
      </c>
      <c r="W5" s="76" t="s">
        <v>1</v>
      </c>
      <c r="X5" s="76" t="s">
        <v>1</v>
      </c>
      <c r="Y5" s="76" t="s">
        <v>1</v>
      </c>
      <c r="Z5" s="76" t="s">
        <v>1</v>
      </c>
      <c r="AA5" s="76" t="s">
        <v>1</v>
      </c>
      <c r="AB5" s="165" t="s">
        <v>6600</v>
      </c>
      <c r="AC5" s="165" t="s">
        <v>6603</v>
      </c>
      <c r="AD5" s="165" t="s">
        <v>6611</v>
      </c>
      <c r="AE5" s="25" t="s">
        <v>3960</v>
      </c>
      <c r="AF5" s="64">
        <v>77620</v>
      </c>
      <c r="AG5" s="62">
        <v>0.44027777777777777</v>
      </c>
      <c r="AH5" s="64">
        <v>78150</v>
      </c>
      <c r="AI5" s="62">
        <v>0.44930555555555557</v>
      </c>
      <c r="AJ5" s="368">
        <f t="shared" ref="AJ5:AJ69" si="0">+AH5/AF5-1</f>
        <v>6.8281370780727269E-3</v>
      </c>
      <c r="AN5" s="25" t="s">
        <v>3959</v>
      </c>
      <c r="AO5" s="72">
        <v>600</v>
      </c>
    </row>
    <row r="6" spans="1:41">
      <c r="B6" s="72" t="s">
        <v>3953</v>
      </c>
      <c r="C6" s="73" t="s">
        <v>3952</v>
      </c>
      <c r="D6" s="74">
        <v>1870000</v>
      </c>
      <c r="E6" s="72" t="s">
        <v>1</v>
      </c>
      <c r="F6" s="74" t="s">
        <v>1</v>
      </c>
      <c r="G6" s="74" t="s">
        <v>1</v>
      </c>
      <c r="H6" s="77">
        <v>35565</v>
      </c>
      <c r="I6" s="72" t="s">
        <v>4311</v>
      </c>
      <c r="K6" s="72" t="s">
        <v>2045</v>
      </c>
      <c r="L6" s="72" t="s">
        <v>2056</v>
      </c>
      <c r="M6" s="72">
        <v>2006</v>
      </c>
      <c r="O6" s="72" t="s">
        <v>1</v>
      </c>
      <c r="P6" s="76" t="s">
        <v>1</v>
      </c>
      <c r="Q6" s="76" t="s">
        <v>1</v>
      </c>
      <c r="R6" s="76" t="s">
        <v>1</v>
      </c>
      <c r="S6" s="76" t="s">
        <v>1</v>
      </c>
      <c r="T6" s="76" t="s">
        <v>1</v>
      </c>
      <c r="U6" s="76" t="s">
        <v>1</v>
      </c>
      <c r="V6" s="76" t="s">
        <v>1</v>
      </c>
      <c r="W6" s="76" t="s">
        <v>1</v>
      </c>
      <c r="X6" s="76" t="s">
        <v>1</v>
      </c>
      <c r="Y6" s="76" t="s">
        <v>1</v>
      </c>
      <c r="Z6" s="76" t="s">
        <v>1</v>
      </c>
      <c r="AA6" s="76" t="s">
        <v>1</v>
      </c>
      <c r="AB6" s="165" t="s">
        <v>6600</v>
      </c>
      <c r="AC6" s="165" t="s">
        <v>6602</v>
      </c>
      <c r="AD6" s="72" t="s">
        <v>2900</v>
      </c>
      <c r="AE6" s="25" t="s">
        <v>4336</v>
      </c>
      <c r="AF6" s="64">
        <v>61.21</v>
      </c>
      <c r="AG6" s="62">
        <v>0.4777777777777778</v>
      </c>
      <c r="AH6" s="64">
        <v>66.47</v>
      </c>
      <c r="AI6" s="62">
        <v>0.44444444444444442</v>
      </c>
      <c r="AJ6" s="368">
        <f t="shared" si="0"/>
        <v>8.5933670968795894E-2</v>
      </c>
      <c r="AN6" s="72" t="s">
        <v>3954</v>
      </c>
      <c r="AO6" s="72">
        <v>250</v>
      </c>
    </row>
    <row r="7" spans="1:41">
      <c r="B7" s="72" t="s">
        <v>782</v>
      </c>
      <c r="C7" s="215" t="s">
        <v>7262</v>
      </c>
      <c r="D7" s="74">
        <v>1260000</v>
      </c>
      <c r="E7" s="72" t="s">
        <v>1</v>
      </c>
      <c r="F7" s="74" t="s">
        <v>1</v>
      </c>
      <c r="G7" s="74" t="s">
        <v>1</v>
      </c>
      <c r="H7" s="77">
        <v>41047</v>
      </c>
      <c r="I7" s="72" t="s">
        <v>4258</v>
      </c>
      <c r="J7" s="72" t="s">
        <v>3948</v>
      </c>
      <c r="K7" s="72" t="s">
        <v>2308</v>
      </c>
      <c r="L7" s="72" t="s">
        <v>2698</v>
      </c>
      <c r="M7" s="72">
        <v>2004</v>
      </c>
      <c r="O7" s="72" t="s">
        <v>1</v>
      </c>
      <c r="P7" s="76" t="s">
        <v>1</v>
      </c>
      <c r="Q7" s="76" t="s">
        <v>1</v>
      </c>
      <c r="R7" s="76" t="s">
        <v>1</v>
      </c>
      <c r="S7" s="76" t="s">
        <v>1</v>
      </c>
      <c r="T7" s="76" t="s">
        <v>1</v>
      </c>
      <c r="U7" s="76" t="s">
        <v>1</v>
      </c>
      <c r="V7" s="76" t="s">
        <v>1</v>
      </c>
      <c r="W7" s="76" t="s">
        <v>1</v>
      </c>
      <c r="X7" s="76" t="s">
        <v>1</v>
      </c>
      <c r="Y7" s="76" t="s">
        <v>1</v>
      </c>
      <c r="Z7" s="76" t="s">
        <v>1</v>
      </c>
      <c r="AA7" s="76" t="s">
        <v>1</v>
      </c>
      <c r="AB7" s="165" t="s">
        <v>6600</v>
      </c>
      <c r="AC7" s="165" t="s">
        <v>6603</v>
      </c>
      <c r="AD7" s="165" t="s">
        <v>6617</v>
      </c>
      <c r="AE7" s="25" t="s">
        <v>3947</v>
      </c>
      <c r="AF7" s="64">
        <v>15730</v>
      </c>
      <c r="AG7" s="62">
        <v>0.44166666666666665</v>
      </c>
      <c r="AH7" s="64">
        <v>14780</v>
      </c>
      <c r="AI7" s="62">
        <v>0.44305555555555554</v>
      </c>
      <c r="AJ7" s="368">
        <f>+AH7/AF7-1</f>
        <v>-6.0394151303242216E-2</v>
      </c>
    </row>
    <row r="8" spans="1:41">
      <c r="B8" s="72" t="s">
        <v>3958</v>
      </c>
      <c r="C8" s="73" t="s">
        <v>3957</v>
      </c>
      <c r="D8" s="74">
        <v>456120</v>
      </c>
      <c r="E8" s="72" t="s">
        <v>1</v>
      </c>
      <c r="F8" s="74" t="s">
        <v>1</v>
      </c>
      <c r="G8" s="74" t="s">
        <v>1</v>
      </c>
      <c r="H8" s="77">
        <v>40358</v>
      </c>
      <c r="I8" s="72" t="s">
        <v>3930</v>
      </c>
      <c r="K8" s="72" t="s">
        <v>2308</v>
      </c>
      <c r="L8" s="72" t="s">
        <v>3899</v>
      </c>
      <c r="M8" s="72">
        <v>2003</v>
      </c>
      <c r="O8" s="72" t="s">
        <v>1</v>
      </c>
      <c r="P8" s="76" t="s">
        <v>1</v>
      </c>
      <c r="Q8" s="76" t="s">
        <v>1</v>
      </c>
      <c r="R8" s="76" t="s">
        <v>1</v>
      </c>
      <c r="S8" s="76" t="s">
        <v>1</v>
      </c>
      <c r="T8" s="76" t="s">
        <v>1</v>
      </c>
      <c r="U8" s="76" t="s">
        <v>1</v>
      </c>
      <c r="V8" s="76" t="s">
        <v>1</v>
      </c>
      <c r="W8" s="76" t="s">
        <v>1</v>
      </c>
      <c r="X8" s="76" t="s">
        <v>1</v>
      </c>
      <c r="Y8" s="76" t="s">
        <v>1</v>
      </c>
      <c r="Z8" s="76" t="s">
        <v>1</v>
      </c>
      <c r="AA8" s="76" t="s">
        <v>1</v>
      </c>
      <c r="AB8" s="165" t="s">
        <v>6600</v>
      </c>
      <c r="AC8" s="165" t="s">
        <v>6604</v>
      </c>
      <c r="AD8" s="72" t="s">
        <v>3956</v>
      </c>
      <c r="AE8" s="25" t="s">
        <v>3955</v>
      </c>
      <c r="AF8" s="64">
        <v>20.48</v>
      </c>
      <c r="AG8" s="62">
        <v>0.15694444444444444</v>
      </c>
      <c r="AH8" s="64">
        <v>20.52</v>
      </c>
      <c r="AI8" s="62">
        <v>0.16111111111111112</v>
      </c>
      <c r="AJ8" s="368">
        <f t="shared" si="0"/>
        <v>1.953125E-3</v>
      </c>
    </row>
    <row r="9" spans="1:41">
      <c r="B9" s="396" t="s">
        <v>4278</v>
      </c>
      <c r="C9" s="397" t="s">
        <v>1691</v>
      </c>
      <c r="D9" s="74">
        <v>268000</v>
      </c>
      <c r="H9" s="77"/>
      <c r="I9" s="396" t="s">
        <v>9759</v>
      </c>
      <c r="K9" s="396" t="s">
        <v>2308</v>
      </c>
      <c r="L9" s="396" t="s">
        <v>2698</v>
      </c>
      <c r="AB9" s="165"/>
      <c r="AC9" s="165"/>
      <c r="AD9" s="165"/>
      <c r="AE9" s="25"/>
      <c r="AF9" s="64"/>
      <c r="AG9" s="62"/>
      <c r="AH9" s="64"/>
      <c r="AI9" s="62"/>
      <c r="AJ9" s="368"/>
    </row>
    <row r="10" spans="1:41">
      <c r="B10" s="12" t="s">
        <v>0</v>
      </c>
      <c r="C10" s="29" t="s">
        <v>1691</v>
      </c>
      <c r="D10" s="15">
        <v>90000</v>
      </c>
      <c r="E10" s="12" t="s">
        <v>1</v>
      </c>
      <c r="F10" s="15">
        <v>300</v>
      </c>
      <c r="G10" s="15">
        <f>F10+10000</f>
        <v>10300</v>
      </c>
      <c r="H10" s="14">
        <v>45044</v>
      </c>
      <c r="I10" s="12" t="s">
        <v>3941</v>
      </c>
      <c r="J10" s="12" t="s">
        <v>4462</v>
      </c>
      <c r="K10" s="12" t="s">
        <v>2569</v>
      </c>
      <c r="L10" s="12" t="s">
        <v>3169</v>
      </c>
      <c r="M10" s="12">
        <v>2015</v>
      </c>
      <c r="N10" s="12"/>
      <c r="O10" s="12" t="s">
        <v>3940</v>
      </c>
      <c r="P10" s="24" t="s">
        <v>1</v>
      </c>
      <c r="Q10" s="24" t="s">
        <v>3939</v>
      </c>
      <c r="R10" s="24" t="s">
        <v>3938</v>
      </c>
      <c r="S10" s="24" t="s">
        <v>4</v>
      </c>
      <c r="T10" s="24" t="s">
        <v>1</v>
      </c>
      <c r="U10" s="24" t="s">
        <v>3937</v>
      </c>
      <c r="V10" s="24" t="s">
        <v>1</v>
      </c>
      <c r="W10" s="24" t="s">
        <v>1</v>
      </c>
      <c r="X10" s="24" t="s">
        <v>1</v>
      </c>
      <c r="Y10" s="24" t="s">
        <v>1</v>
      </c>
      <c r="Z10" s="24" t="s">
        <v>1</v>
      </c>
      <c r="AA10" s="24" t="s">
        <v>1</v>
      </c>
      <c r="AB10" s="12" t="s">
        <v>6600</v>
      </c>
      <c r="AC10" s="12" t="s">
        <v>6603</v>
      </c>
      <c r="AD10" s="12" t="s">
        <v>2362</v>
      </c>
      <c r="AE10" s="25" t="s">
        <v>3936</v>
      </c>
      <c r="AF10" s="64">
        <v>1406</v>
      </c>
      <c r="AG10" s="62">
        <v>0.18194444444444444</v>
      </c>
      <c r="AH10" s="64">
        <v>1557</v>
      </c>
      <c r="AI10" s="62">
        <v>0.21458333333333332</v>
      </c>
      <c r="AJ10" s="368">
        <f t="shared" si="0"/>
        <v>0.10739687055476521</v>
      </c>
      <c r="AN10" s="25"/>
    </row>
    <row r="11" spans="1:41">
      <c r="B11" s="72" t="s">
        <v>3935</v>
      </c>
      <c r="C11" s="73" t="s">
        <v>3934</v>
      </c>
      <c r="D11" s="74">
        <v>47990</v>
      </c>
      <c r="E11" s="72" t="s">
        <v>3793</v>
      </c>
      <c r="F11" s="74">
        <v>444</v>
      </c>
      <c r="G11" s="74" t="s">
        <v>1</v>
      </c>
      <c r="H11" s="77">
        <v>41894</v>
      </c>
      <c r="I11" s="216" t="s">
        <v>7272</v>
      </c>
      <c r="J11" s="72" t="s">
        <v>4356</v>
      </c>
      <c r="K11" s="72" t="s">
        <v>2045</v>
      </c>
      <c r="L11" s="72" t="s">
        <v>2056</v>
      </c>
      <c r="M11" s="72">
        <v>2003</v>
      </c>
      <c r="O11" s="72" t="s">
        <v>4368</v>
      </c>
      <c r="P11" s="76" t="s">
        <v>2486</v>
      </c>
      <c r="Q11" s="76" t="s">
        <v>4366</v>
      </c>
      <c r="R11" s="76" t="s">
        <v>4367</v>
      </c>
      <c r="S11" s="76" t="s">
        <v>504</v>
      </c>
      <c r="T11" s="76">
        <v>56</v>
      </c>
      <c r="U11" s="76" t="s">
        <v>4364</v>
      </c>
      <c r="V11" s="76" t="s">
        <v>9</v>
      </c>
      <c r="W11" s="76">
        <v>50</v>
      </c>
      <c r="X11" s="76" t="s">
        <v>4362</v>
      </c>
      <c r="Y11" s="76" t="s">
        <v>8</v>
      </c>
      <c r="Z11" s="76" t="s">
        <v>4363</v>
      </c>
      <c r="AA11" s="76" t="s">
        <v>4360</v>
      </c>
      <c r="AB11" s="165" t="s">
        <v>6600</v>
      </c>
      <c r="AC11" s="165" t="s">
        <v>6605</v>
      </c>
      <c r="AD11" s="165" t="s">
        <v>6615</v>
      </c>
      <c r="AE11" s="25" t="s">
        <v>4337</v>
      </c>
      <c r="AF11" s="342">
        <v>0.39068900000000001</v>
      </c>
      <c r="AG11" s="62">
        <v>0.1173611111111111</v>
      </c>
      <c r="AH11" s="343">
        <v>0.53688899999999995</v>
      </c>
      <c r="AI11" s="62">
        <v>0.1173611111111111</v>
      </c>
      <c r="AJ11" s="368">
        <f>+AH11/AF11-1</f>
        <v>0.37421068932066159</v>
      </c>
    </row>
    <row r="12" spans="1:41">
      <c r="B12" s="72" t="s">
        <v>1006</v>
      </c>
      <c r="C12" s="73" t="s">
        <v>1691</v>
      </c>
      <c r="D12" s="74">
        <v>42500</v>
      </c>
      <c r="E12" s="264" t="s">
        <v>7890</v>
      </c>
      <c r="F12" s="74">
        <v>684.6</v>
      </c>
      <c r="G12" s="74">
        <f>F12+Q12+T12+W12+Z12</f>
        <v>3934.6</v>
      </c>
      <c r="H12" s="77">
        <v>45183</v>
      </c>
      <c r="I12" s="72" t="s">
        <v>3933</v>
      </c>
      <c r="J12" s="216" t="s">
        <v>7267</v>
      </c>
      <c r="K12" s="72" t="s">
        <v>2045</v>
      </c>
      <c r="L12" s="72" t="s">
        <v>3932</v>
      </c>
      <c r="M12" s="72">
        <v>2013</v>
      </c>
      <c r="O12" s="264" t="s">
        <v>7906</v>
      </c>
      <c r="P12" s="267" t="s">
        <v>2486</v>
      </c>
      <c r="Q12" s="217">
        <v>1600</v>
      </c>
      <c r="R12" s="216" t="s">
        <v>7268</v>
      </c>
      <c r="S12" s="267" t="s">
        <v>504</v>
      </c>
      <c r="T12" s="76">
        <v>1000</v>
      </c>
      <c r="U12" s="217" t="s">
        <v>7269</v>
      </c>
      <c r="V12" s="217" t="s">
        <v>53</v>
      </c>
      <c r="W12" s="217">
        <v>400</v>
      </c>
      <c r="X12" s="217" t="s">
        <v>7270</v>
      </c>
      <c r="Y12" s="217" t="s">
        <v>9</v>
      </c>
      <c r="Z12" s="217">
        <v>250</v>
      </c>
      <c r="AA12" s="217" t="s">
        <v>7271</v>
      </c>
      <c r="AB12" s="165" t="s">
        <v>6600</v>
      </c>
      <c r="AC12" s="165" t="s">
        <v>6603</v>
      </c>
      <c r="AD12" s="72" t="s">
        <v>2362</v>
      </c>
      <c r="AE12" s="25" t="s">
        <v>4338</v>
      </c>
      <c r="AF12" s="342">
        <v>2.931</v>
      </c>
      <c r="AG12" s="62">
        <v>0.47291666666666665</v>
      </c>
      <c r="AH12" s="343">
        <v>3.343</v>
      </c>
      <c r="AI12" s="62">
        <v>0.49375000000000002</v>
      </c>
      <c r="AJ12" s="368">
        <f t="shared" si="0"/>
        <v>0.14056635960423058</v>
      </c>
    </row>
    <row r="13" spans="1:41">
      <c r="B13" s="72" t="s">
        <v>3946</v>
      </c>
      <c r="C13" s="73" t="s">
        <v>3945</v>
      </c>
      <c r="D13" s="74">
        <v>34560</v>
      </c>
      <c r="E13" s="72" t="s">
        <v>3793</v>
      </c>
      <c r="F13" s="74">
        <v>109</v>
      </c>
      <c r="G13" s="74" t="s">
        <v>1</v>
      </c>
      <c r="H13" s="77">
        <v>38569</v>
      </c>
      <c r="I13" s="72" t="s">
        <v>3944</v>
      </c>
      <c r="J13" s="72" t="s">
        <v>3943</v>
      </c>
      <c r="K13" s="72" t="s">
        <v>2045</v>
      </c>
      <c r="L13" s="72" t="s">
        <v>2765</v>
      </c>
      <c r="M13" s="72">
        <v>1999</v>
      </c>
      <c r="O13" s="72" t="s">
        <v>1</v>
      </c>
      <c r="P13" s="72" t="s">
        <v>1</v>
      </c>
      <c r="Q13" s="72" t="s">
        <v>1</v>
      </c>
      <c r="R13" s="72" t="s">
        <v>1</v>
      </c>
      <c r="S13" s="72" t="s">
        <v>1</v>
      </c>
      <c r="T13" s="72" t="s">
        <v>1</v>
      </c>
      <c r="U13" s="72" t="s">
        <v>1</v>
      </c>
      <c r="V13" s="72" t="s">
        <v>1</v>
      </c>
      <c r="W13" s="72" t="s">
        <v>1</v>
      </c>
      <c r="X13" s="72" t="s">
        <v>1</v>
      </c>
      <c r="Y13" s="72" t="s">
        <v>1</v>
      </c>
      <c r="Z13" s="72" t="s">
        <v>1</v>
      </c>
      <c r="AA13" s="72" t="s">
        <v>1</v>
      </c>
      <c r="AB13" s="165" t="s">
        <v>6601</v>
      </c>
      <c r="AD13" s="165" t="s">
        <v>6616</v>
      </c>
      <c r="AE13" s="25" t="s">
        <v>3942</v>
      </c>
      <c r="AF13" s="64">
        <v>4827</v>
      </c>
      <c r="AG13" s="62">
        <v>0.21319444444444444</v>
      </c>
      <c r="AH13" s="64">
        <v>4065</v>
      </c>
      <c r="AI13" s="62">
        <v>0.18263888888888888</v>
      </c>
      <c r="AJ13" s="368">
        <f>+AH13/AF13-1</f>
        <v>-0.15786202610316968</v>
      </c>
    </row>
    <row r="14" spans="1:41">
      <c r="B14" s="72" t="s">
        <v>1125</v>
      </c>
      <c r="C14" s="73" t="s">
        <v>1691</v>
      </c>
      <c r="D14" s="74">
        <v>30000</v>
      </c>
      <c r="E14" s="72" t="s">
        <v>7</v>
      </c>
      <c r="F14" s="74">
        <v>2500</v>
      </c>
      <c r="G14" s="74">
        <f>+F14+Q14</f>
        <v>5500</v>
      </c>
      <c r="H14" s="77">
        <v>44363</v>
      </c>
      <c r="I14" s="72" t="s">
        <v>3930</v>
      </c>
      <c r="J14" s="72" t="s">
        <v>3929</v>
      </c>
      <c r="K14" s="72" t="s">
        <v>2308</v>
      </c>
      <c r="L14" s="72" t="s">
        <v>3899</v>
      </c>
      <c r="M14" s="72">
        <v>2009</v>
      </c>
      <c r="N14" s="72" t="s">
        <v>3928</v>
      </c>
      <c r="O14" s="72" t="s">
        <v>3927</v>
      </c>
      <c r="P14" s="76" t="s">
        <v>5</v>
      </c>
      <c r="Q14" s="76">
        <v>3000</v>
      </c>
      <c r="R14" s="76" t="s">
        <v>3926</v>
      </c>
      <c r="S14" s="76" t="s">
        <v>1</v>
      </c>
      <c r="T14" s="76" t="s">
        <v>1</v>
      </c>
      <c r="U14" s="76" t="s">
        <v>1</v>
      </c>
      <c r="V14" s="76" t="s">
        <v>1</v>
      </c>
      <c r="W14" s="76" t="s">
        <v>1</v>
      </c>
      <c r="X14" s="76" t="s">
        <v>1</v>
      </c>
      <c r="Y14" s="76" t="s">
        <v>1</v>
      </c>
      <c r="Z14" s="76" t="s">
        <v>1</v>
      </c>
      <c r="AA14" s="76" t="s">
        <v>1</v>
      </c>
      <c r="AB14" s="165" t="s">
        <v>6600</v>
      </c>
      <c r="AC14" s="165" t="s">
        <v>6603</v>
      </c>
      <c r="AD14" s="165" t="s">
        <v>6611</v>
      </c>
      <c r="AE14" s="25" t="s">
        <v>4340</v>
      </c>
      <c r="AF14" s="342">
        <v>0.19157099999999999</v>
      </c>
      <c r="AG14" s="62">
        <v>4.1666666666666664E-2</v>
      </c>
      <c r="AH14" s="342">
        <v>0.25578899999999999</v>
      </c>
      <c r="AI14" s="62">
        <v>9.0972222222222218E-2</v>
      </c>
      <c r="AJ14" s="368">
        <f t="shared" si="0"/>
        <v>0.33521775216499372</v>
      </c>
    </row>
    <row r="15" spans="1:41">
      <c r="B15" s="72" t="s">
        <v>964</v>
      </c>
      <c r="C15" s="73" t="s">
        <v>1691</v>
      </c>
      <c r="D15" s="74">
        <v>25000</v>
      </c>
      <c r="E15" s="264" t="s">
        <v>2225</v>
      </c>
      <c r="F15" s="74">
        <v>1250</v>
      </c>
      <c r="G15" s="74">
        <f>F15+T15+W15+Z15</f>
        <v>2254</v>
      </c>
      <c r="H15" s="77">
        <v>45194</v>
      </c>
      <c r="I15" s="72" t="s">
        <v>3851</v>
      </c>
      <c r="J15" s="72" t="s">
        <v>3850</v>
      </c>
      <c r="K15" s="72" t="s">
        <v>2569</v>
      </c>
      <c r="L15" s="72" t="s">
        <v>3169</v>
      </c>
      <c r="M15" s="72">
        <v>2021</v>
      </c>
      <c r="N15" s="72" t="s">
        <v>3849</v>
      </c>
      <c r="O15" s="264" t="s">
        <v>856</v>
      </c>
      <c r="P15" s="72" t="s">
        <v>18</v>
      </c>
      <c r="Q15" s="76">
        <v>450</v>
      </c>
      <c r="R15" s="72" t="s">
        <v>3848</v>
      </c>
      <c r="S15" s="76" t="s">
        <v>1089</v>
      </c>
      <c r="T15" s="76">
        <v>300</v>
      </c>
      <c r="U15" s="76" t="s">
        <v>3847</v>
      </c>
      <c r="V15" s="76" t="s">
        <v>7</v>
      </c>
      <c r="W15" s="76">
        <v>580</v>
      </c>
      <c r="X15" s="76" t="s">
        <v>967</v>
      </c>
      <c r="Y15" s="76" t="s">
        <v>5</v>
      </c>
      <c r="Z15" s="76">
        <v>124</v>
      </c>
      <c r="AA15" s="76" t="s">
        <v>3846</v>
      </c>
      <c r="AB15" s="165" t="s">
        <v>6600</v>
      </c>
      <c r="AC15" s="165" t="s">
        <v>6603</v>
      </c>
      <c r="AD15" s="72" t="s">
        <v>2362</v>
      </c>
      <c r="AE15" s="25" t="s">
        <v>4345</v>
      </c>
      <c r="AF15" s="342">
        <v>3.4249999999999998</v>
      </c>
      <c r="AG15" s="62">
        <v>0.1173611111111111</v>
      </c>
      <c r="AH15" s="342">
        <v>1.883</v>
      </c>
      <c r="AI15" s="62">
        <v>0.10347222222222222</v>
      </c>
      <c r="AJ15" s="368">
        <f t="shared" si="0"/>
        <v>-0.4502189781021898</v>
      </c>
    </row>
    <row r="16" spans="1:41">
      <c r="B16" s="72" t="s">
        <v>3931</v>
      </c>
      <c r="C16" s="73" t="s">
        <v>1691</v>
      </c>
      <c r="D16" s="74">
        <v>21000</v>
      </c>
      <c r="E16" s="264" t="s">
        <v>1</v>
      </c>
      <c r="F16" s="74">
        <v>750</v>
      </c>
      <c r="G16" s="74">
        <f>+F16+Q16</f>
        <v>2750</v>
      </c>
      <c r="H16" s="77">
        <v>44301</v>
      </c>
      <c r="I16" s="72" t="s">
        <v>3930</v>
      </c>
      <c r="K16" s="72" t="s">
        <v>2308</v>
      </c>
      <c r="L16" s="72" t="s">
        <v>3899</v>
      </c>
      <c r="M16" s="72">
        <v>2013</v>
      </c>
      <c r="O16" s="264" t="s">
        <v>7907</v>
      </c>
      <c r="P16" s="267" t="s">
        <v>1</v>
      </c>
      <c r="Q16" s="76">
        <v>2000</v>
      </c>
      <c r="R16" s="267" t="s">
        <v>7908</v>
      </c>
      <c r="AB16" s="165" t="s">
        <v>6600</v>
      </c>
      <c r="AC16" s="165" t="s">
        <v>6603</v>
      </c>
      <c r="AD16" s="72" t="s">
        <v>2362</v>
      </c>
      <c r="AE16" s="25" t="s">
        <v>4339</v>
      </c>
      <c r="AF16" s="342">
        <v>0.137154</v>
      </c>
      <c r="AG16" s="62">
        <v>6.0416666666666667E-2</v>
      </c>
      <c r="AH16" s="342">
        <v>8.1332000000000002E-2</v>
      </c>
      <c r="AI16" s="62">
        <v>0.1</v>
      </c>
      <c r="AJ16" s="368">
        <f t="shared" si="0"/>
        <v>-0.40700234772591393</v>
      </c>
    </row>
    <row r="17" spans="2:37">
      <c r="B17" s="72" t="s">
        <v>3925</v>
      </c>
      <c r="C17" s="73" t="s">
        <v>3924</v>
      </c>
      <c r="D17" s="74">
        <v>20000</v>
      </c>
      <c r="E17" s="72" t="s">
        <v>3793</v>
      </c>
      <c r="F17" s="74" t="s">
        <v>1</v>
      </c>
      <c r="G17" s="211" t="s">
        <v>1</v>
      </c>
      <c r="H17" s="77">
        <v>39591</v>
      </c>
      <c r="I17" s="72" t="s">
        <v>3923</v>
      </c>
      <c r="J17" s="72" t="s">
        <v>3922</v>
      </c>
      <c r="K17" s="72" t="s">
        <v>2308</v>
      </c>
      <c r="L17" s="72" t="s">
        <v>2524</v>
      </c>
      <c r="M17" s="72">
        <v>1999</v>
      </c>
      <c r="N17" s="72" t="s">
        <v>3491</v>
      </c>
      <c r="O17" s="72" t="s">
        <v>3793</v>
      </c>
      <c r="P17" s="76" t="s">
        <v>1</v>
      </c>
      <c r="Q17" s="76" t="s">
        <v>1</v>
      </c>
      <c r="R17" s="76" t="s">
        <v>1</v>
      </c>
      <c r="S17" s="76" t="s">
        <v>1</v>
      </c>
      <c r="T17" s="76" t="s">
        <v>1</v>
      </c>
      <c r="U17" s="76" t="s">
        <v>1</v>
      </c>
      <c r="V17" s="76" t="s">
        <v>1</v>
      </c>
      <c r="W17" s="76" t="s">
        <v>1</v>
      </c>
      <c r="X17" s="76" t="s">
        <v>1</v>
      </c>
      <c r="Y17" s="76" t="s">
        <v>1</v>
      </c>
      <c r="Z17" s="76" t="s">
        <v>1</v>
      </c>
      <c r="AA17" s="76" t="s">
        <v>1</v>
      </c>
      <c r="AB17" s="165" t="s">
        <v>6601</v>
      </c>
      <c r="AD17" s="165" t="s">
        <v>6614</v>
      </c>
      <c r="AE17" s="25" t="s">
        <v>4341</v>
      </c>
      <c r="AF17" s="342">
        <v>1.0269999999999999</v>
      </c>
      <c r="AG17" s="62">
        <v>0.56805555555555554</v>
      </c>
      <c r="AH17" s="342">
        <v>0.96721199999999996</v>
      </c>
      <c r="AI17" s="62">
        <v>0.50555555555555554</v>
      </c>
      <c r="AJ17" s="368">
        <f t="shared" si="0"/>
        <v>-5.8216163583252101E-2</v>
      </c>
    </row>
    <row r="18" spans="2:37">
      <c r="B18" s="72" t="s">
        <v>3921</v>
      </c>
      <c r="C18" s="73" t="s">
        <v>3920</v>
      </c>
      <c r="D18" s="74">
        <v>12570</v>
      </c>
      <c r="E18" s="72" t="s">
        <v>1</v>
      </c>
      <c r="F18" s="75" t="s">
        <v>1</v>
      </c>
      <c r="G18" s="211" t="s">
        <v>1</v>
      </c>
      <c r="H18" s="75" t="s">
        <v>1</v>
      </c>
      <c r="I18" s="72" t="s">
        <v>3919</v>
      </c>
      <c r="K18" s="72" t="s">
        <v>2045</v>
      </c>
      <c r="L18" s="72" t="s">
        <v>2319</v>
      </c>
      <c r="M18" s="72">
        <v>1986</v>
      </c>
      <c r="N18" s="72" t="s">
        <v>3918</v>
      </c>
      <c r="O18" s="72" t="s">
        <v>1</v>
      </c>
      <c r="P18" s="72" t="s">
        <v>1</v>
      </c>
      <c r="Q18" s="72" t="s">
        <v>1</v>
      </c>
      <c r="R18" s="72" t="s">
        <v>1</v>
      </c>
      <c r="S18" s="72" t="s">
        <v>1</v>
      </c>
      <c r="T18" s="72" t="s">
        <v>1</v>
      </c>
      <c r="U18" s="72" t="s">
        <v>1</v>
      </c>
      <c r="V18" s="72" t="s">
        <v>1</v>
      </c>
      <c r="W18" s="72" t="s">
        <v>1</v>
      </c>
      <c r="X18" s="72" t="s">
        <v>1</v>
      </c>
      <c r="Y18" s="72" t="s">
        <v>1</v>
      </c>
      <c r="Z18" s="72" t="s">
        <v>1</v>
      </c>
      <c r="AA18" s="72" t="s">
        <v>1</v>
      </c>
      <c r="AB18" s="165" t="s">
        <v>6600</v>
      </c>
      <c r="AC18" s="165" t="s">
        <v>6606</v>
      </c>
      <c r="AD18" s="165" t="s">
        <v>6613</v>
      </c>
      <c r="AE18" s="25" t="s">
        <v>3917</v>
      </c>
      <c r="AF18" s="342">
        <v>0.49878899999999998</v>
      </c>
      <c r="AG18" s="62">
        <v>7.0833333333333331E-2</v>
      </c>
      <c r="AH18" s="342">
        <v>0.66881199999999996</v>
      </c>
      <c r="AI18" s="62">
        <v>0.05</v>
      </c>
      <c r="AJ18" s="368">
        <f t="shared" si="0"/>
        <v>0.34087159099338593</v>
      </c>
    </row>
    <row r="19" spans="2:37">
      <c r="B19" s="72" t="s">
        <v>3916</v>
      </c>
      <c r="C19" s="73" t="s">
        <v>3915</v>
      </c>
      <c r="D19" s="74">
        <v>11000</v>
      </c>
      <c r="E19" s="72" t="s">
        <v>3793</v>
      </c>
      <c r="F19" s="74">
        <v>740</v>
      </c>
      <c r="G19" s="211" t="s">
        <v>1</v>
      </c>
      <c r="H19" s="77">
        <v>44560</v>
      </c>
      <c r="I19" s="72" t="s">
        <v>2044</v>
      </c>
      <c r="J19" s="72" t="s">
        <v>3914</v>
      </c>
      <c r="K19" s="72" t="s">
        <v>2045</v>
      </c>
      <c r="L19" s="72" t="s">
        <v>2044</v>
      </c>
      <c r="M19" s="78">
        <v>41913</v>
      </c>
      <c r="N19" s="72" t="s">
        <v>3491</v>
      </c>
      <c r="O19" s="72" t="s">
        <v>3793</v>
      </c>
      <c r="P19" s="76" t="s">
        <v>3913</v>
      </c>
      <c r="Q19" s="76">
        <v>1000</v>
      </c>
      <c r="R19" s="76" t="s">
        <v>1149</v>
      </c>
      <c r="S19" s="76" t="s">
        <v>3912</v>
      </c>
      <c r="T19" s="76">
        <v>320</v>
      </c>
      <c r="U19" s="76" t="s">
        <v>3911</v>
      </c>
      <c r="V19" s="76" t="s">
        <v>18</v>
      </c>
      <c r="W19" s="76">
        <v>600</v>
      </c>
      <c r="X19" s="76" t="s">
        <v>3910</v>
      </c>
      <c r="Y19" s="76" t="s">
        <v>7</v>
      </c>
      <c r="Z19" s="76">
        <v>410</v>
      </c>
      <c r="AA19" s="76" t="s">
        <v>3909</v>
      </c>
      <c r="AB19" s="165" t="s">
        <v>6601</v>
      </c>
      <c r="AD19" s="72" t="s">
        <v>3908</v>
      </c>
      <c r="AE19" s="25" t="s">
        <v>4342</v>
      </c>
      <c r="AF19" s="342">
        <v>0.55719300000000005</v>
      </c>
      <c r="AG19" s="62">
        <v>0.80763888888888891</v>
      </c>
      <c r="AH19" s="342">
        <v>0.25423400000000002</v>
      </c>
      <c r="AI19" s="62">
        <v>0.30625000000000002</v>
      </c>
      <c r="AJ19" s="368">
        <f t="shared" si="0"/>
        <v>-0.54372362897595627</v>
      </c>
    </row>
    <row r="20" spans="2:37">
      <c r="B20" s="264" t="s">
        <v>4882</v>
      </c>
      <c r="C20" s="73" t="s">
        <v>1691</v>
      </c>
      <c r="D20" s="74">
        <v>9000</v>
      </c>
      <c r="E20" s="264" t="s">
        <v>9</v>
      </c>
      <c r="F20" s="74">
        <v>118</v>
      </c>
      <c r="G20" s="74">
        <f>F20+T20+W20+Z20</f>
        <v>283</v>
      </c>
      <c r="H20" s="77">
        <v>45265</v>
      </c>
      <c r="I20" s="72" t="s">
        <v>4890</v>
      </c>
      <c r="J20" s="72" t="s">
        <v>4879</v>
      </c>
      <c r="K20" s="72" t="s">
        <v>2045</v>
      </c>
      <c r="L20" s="72" t="s">
        <v>2056</v>
      </c>
      <c r="M20" s="72">
        <v>2016</v>
      </c>
      <c r="O20" s="264" t="s">
        <v>7918</v>
      </c>
      <c r="P20" s="72" t="s">
        <v>8</v>
      </c>
      <c r="Q20" s="76">
        <v>83</v>
      </c>
      <c r="R20" s="72" t="s">
        <v>4881</v>
      </c>
      <c r="S20" s="76" t="s">
        <v>18</v>
      </c>
      <c r="T20" s="76">
        <v>100</v>
      </c>
      <c r="U20" s="76" t="s">
        <v>4887</v>
      </c>
      <c r="V20" s="76" t="s">
        <v>7</v>
      </c>
      <c r="W20" s="76">
        <v>40</v>
      </c>
      <c r="X20" s="76" t="s">
        <v>4888</v>
      </c>
      <c r="Y20" s="76" t="s">
        <v>5</v>
      </c>
      <c r="Z20" s="76">
        <v>25</v>
      </c>
      <c r="AA20" s="76" t="s">
        <v>4889</v>
      </c>
      <c r="AB20" s="165" t="s">
        <v>6600</v>
      </c>
      <c r="AC20" s="165" t="s">
        <v>6608</v>
      </c>
      <c r="AD20" s="165" t="s">
        <v>6608</v>
      </c>
      <c r="AE20" s="25" t="s">
        <v>2113</v>
      </c>
      <c r="AF20" s="342">
        <v>1.9585000000000002E-2</v>
      </c>
      <c r="AG20" s="62">
        <v>9.375E-2</v>
      </c>
      <c r="AH20" s="342">
        <v>5.9923999999999998E-2</v>
      </c>
      <c r="AI20" s="62">
        <v>6.0416666666666667E-2</v>
      </c>
      <c r="AJ20" s="368">
        <f t="shared" si="0"/>
        <v>2.0596885371457745</v>
      </c>
    </row>
    <row r="21" spans="2:37">
      <c r="B21" s="72" t="s">
        <v>161</v>
      </c>
      <c r="C21" s="73" t="s">
        <v>1691</v>
      </c>
      <c r="D21" s="74">
        <v>8500</v>
      </c>
      <c r="E21" s="72" t="s">
        <v>8</v>
      </c>
      <c r="F21" s="74">
        <v>100</v>
      </c>
      <c r="G21" s="74">
        <f>F21+Q21+T21+W21+Z21</f>
        <v>1031</v>
      </c>
      <c r="H21" s="77">
        <v>45223</v>
      </c>
      <c r="I21" s="72" t="s">
        <v>3775</v>
      </c>
      <c r="J21" s="72" t="s">
        <v>3907</v>
      </c>
      <c r="K21" s="72" t="s">
        <v>2308</v>
      </c>
      <c r="L21" s="72" t="s">
        <v>3899</v>
      </c>
      <c r="M21" s="72">
        <v>2016</v>
      </c>
      <c r="O21" s="72" t="s">
        <v>1</v>
      </c>
      <c r="P21" s="76" t="s">
        <v>18</v>
      </c>
      <c r="Q21" s="76">
        <v>100</v>
      </c>
      <c r="R21" s="76" t="s">
        <v>3906</v>
      </c>
      <c r="S21" s="76" t="s">
        <v>18</v>
      </c>
      <c r="T21" s="76">
        <v>267</v>
      </c>
      <c r="U21" s="76" t="s">
        <v>3905</v>
      </c>
      <c r="V21" s="76" t="s">
        <v>7</v>
      </c>
      <c r="W21" s="76">
        <v>462</v>
      </c>
      <c r="X21" s="76" t="s">
        <v>3904</v>
      </c>
      <c r="Y21" s="76" t="s">
        <v>5</v>
      </c>
      <c r="Z21" s="76">
        <v>102</v>
      </c>
      <c r="AA21" s="76" t="s">
        <v>3903</v>
      </c>
      <c r="AB21" s="165" t="s">
        <v>6600</v>
      </c>
      <c r="AC21" s="165" t="s">
        <v>6603</v>
      </c>
      <c r="AD21" s="165" t="s">
        <v>6612</v>
      </c>
      <c r="AE21" s="25" t="s">
        <v>3902</v>
      </c>
      <c r="AF21" s="342">
        <v>2.2433000000000002E-2</v>
      </c>
      <c r="AG21" s="62">
        <v>0.51597222222222217</v>
      </c>
      <c r="AH21" s="342">
        <v>4.2285999999999997E-2</v>
      </c>
      <c r="AI21" s="62">
        <v>0.48819444444444443</v>
      </c>
      <c r="AJ21" s="368">
        <f t="shared" si="0"/>
        <v>0.88499086167699348</v>
      </c>
    </row>
    <row r="22" spans="2:37">
      <c r="B22" s="72" t="s">
        <v>253</v>
      </c>
      <c r="C22" s="73" t="s">
        <v>1691</v>
      </c>
      <c r="D22" s="74">
        <v>8000</v>
      </c>
      <c r="E22" s="72" t="s">
        <v>8</v>
      </c>
      <c r="F22" s="74">
        <v>600</v>
      </c>
      <c r="G22" s="74">
        <f>F22+Q22+T22+W22+Z22</f>
        <v>2133</v>
      </c>
      <c r="H22" s="27">
        <v>44502</v>
      </c>
      <c r="I22" s="72" t="s">
        <v>3901</v>
      </c>
      <c r="J22" s="72" t="s">
        <v>3900</v>
      </c>
      <c r="K22" s="72" t="s">
        <v>2045</v>
      </c>
      <c r="L22" s="72" t="s">
        <v>3899</v>
      </c>
      <c r="M22" s="72">
        <v>2016</v>
      </c>
      <c r="N22" s="72" t="s">
        <v>3898</v>
      </c>
      <c r="O22" s="72" t="s">
        <v>3897</v>
      </c>
      <c r="P22" s="76" t="s">
        <v>3896</v>
      </c>
      <c r="Q22" s="76">
        <v>500</v>
      </c>
      <c r="R22" s="76" t="s">
        <v>3895</v>
      </c>
      <c r="S22" s="76" t="s">
        <v>3894</v>
      </c>
      <c r="T22" s="76">
        <v>940</v>
      </c>
      <c r="U22" s="76" t="s">
        <v>3893</v>
      </c>
      <c r="V22" s="76" t="s">
        <v>5</v>
      </c>
      <c r="W22" s="76">
        <v>92</v>
      </c>
      <c r="X22" s="76" t="s">
        <v>3892</v>
      </c>
      <c r="Y22" s="76" t="s">
        <v>5</v>
      </c>
      <c r="Z22" s="76">
        <v>1</v>
      </c>
      <c r="AA22" s="76" t="s">
        <v>866</v>
      </c>
      <c r="AB22" s="165" t="s">
        <v>6600</v>
      </c>
      <c r="AC22" s="165" t="s">
        <v>6603</v>
      </c>
      <c r="AD22" s="165" t="s">
        <v>6611</v>
      </c>
      <c r="AE22" s="25" t="s">
        <v>3891</v>
      </c>
      <c r="AF22" s="342">
        <v>2.6478000000000002E-2</v>
      </c>
      <c r="AG22" s="62">
        <v>5.5555555555555552E-2</v>
      </c>
      <c r="AH22" s="342">
        <v>3.0182E-2</v>
      </c>
      <c r="AI22" s="62">
        <v>7.1527777777777773E-2</v>
      </c>
      <c r="AJ22" s="368">
        <f t="shared" si="0"/>
        <v>0.13988971976735409</v>
      </c>
    </row>
    <row r="23" spans="2:37">
      <c r="B23" s="72" t="s">
        <v>3890</v>
      </c>
      <c r="C23" s="73" t="s">
        <v>1691</v>
      </c>
      <c r="D23" s="74">
        <v>7000</v>
      </c>
      <c r="E23" s="72" t="s">
        <v>9</v>
      </c>
      <c r="F23" s="74">
        <v>325</v>
      </c>
      <c r="G23" s="74">
        <f>F23+Q23+T23+W23+Z23</f>
        <v>602.5</v>
      </c>
      <c r="H23" s="77">
        <v>44299</v>
      </c>
      <c r="I23" s="72" t="s">
        <v>3144</v>
      </c>
      <c r="J23" s="72" t="s">
        <v>3889</v>
      </c>
      <c r="K23" s="72" t="s">
        <v>2569</v>
      </c>
      <c r="L23" s="72" t="s">
        <v>2056</v>
      </c>
      <c r="M23" s="78">
        <v>42522</v>
      </c>
      <c r="N23" s="72" t="s">
        <v>3888</v>
      </c>
      <c r="O23" s="72" t="s">
        <v>3887</v>
      </c>
      <c r="P23" s="76" t="s">
        <v>3886</v>
      </c>
      <c r="Q23" s="76">
        <v>155</v>
      </c>
      <c r="R23" s="76" t="s">
        <v>3885</v>
      </c>
      <c r="S23" s="76" t="s">
        <v>18</v>
      </c>
      <c r="T23" s="76">
        <v>100</v>
      </c>
      <c r="U23" s="76" t="s">
        <v>3884</v>
      </c>
      <c r="V23" s="76" t="s">
        <v>7</v>
      </c>
      <c r="W23" s="76">
        <v>18</v>
      </c>
      <c r="X23" s="76" t="s">
        <v>3883</v>
      </c>
      <c r="Y23" s="76" t="s">
        <v>5</v>
      </c>
      <c r="Z23" s="76">
        <v>4.5</v>
      </c>
      <c r="AA23" s="76" t="s">
        <v>3882</v>
      </c>
      <c r="AB23" s="165" t="s">
        <v>6600</v>
      </c>
      <c r="AC23" s="165" t="s">
        <v>6603</v>
      </c>
      <c r="AD23" s="165" t="s">
        <v>2362</v>
      </c>
      <c r="AE23" s="25" t="s">
        <v>4343</v>
      </c>
      <c r="AF23" s="342">
        <v>0.38327699999999998</v>
      </c>
      <c r="AG23" s="62">
        <v>0.11875000000000001</v>
      </c>
      <c r="AH23" s="342">
        <v>0.30865799999999999</v>
      </c>
      <c r="AI23" s="62">
        <v>7.9166666666666663E-2</v>
      </c>
      <c r="AJ23" s="368">
        <f t="shared" si="0"/>
        <v>-0.19468687137501073</v>
      </c>
    </row>
    <row r="24" spans="2:37">
      <c r="B24" s="72" t="s">
        <v>3881</v>
      </c>
      <c r="C24" s="73" t="s">
        <v>1691</v>
      </c>
      <c r="D24" s="74">
        <v>7000</v>
      </c>
      <c r="E24" s="72" t="s">
        <v>9</v>
      </c>
      <c r="F24" s="74">
        <v>250</v>
      </c>
      <c r="G24" s="74">
        <f>F24+Q24+T24+W24+Z24</f>
        <v>577</v>
      </c>
      <c r="H24" s="77">
        <v>44350</v>
      </c>
      <c r="I24" s="72" t="s">
        <v>3880</v>
      </c>
      <c r="J24" s="72" t="s">
        <v>3879</v>
      </c>
      <c r="K24" s="72" t="s">
        <v>2045</v>
      </c>
      <c r="L24" s="72" t="s">
        <v>2123</v>
      </c>
      <c r="M24" s="72">
        <v>2015</v>
      </c>
      <c r="N24" s="72" t="s">
        <v>3878</v>
      </c>
      <c r="O24" s="72" t="s">
        <v>3877</v>
      </c>
      <c r="P24" s="76" t="s">
        <v>8</v>
      </c>
      <c r="Q24" s="76">
        <v>200</v>
      </c>
      <c r="R24" s="76" t="s">
        <v>3876</v>
      </c>
      <c r="S24" s="76" t="s">
        <v>18</v>
      </c>
      <c r="T24" s="76">
        <v>65</v>
      </c>
      <c r="U24" s="76" t="s">
        <v>3875</v>
      </c>
      <c r="V24" s="76" t="s">
        <v>7</v>
      </c>
      <c r="W24" s="76">
        <v>40</v>
      </c>
      <c r="X24" s="76" t="s">
        <v>3874</v>
      </c>
      <c r="Y24" s="76" t="s">
        <v>5</v>
      </c>
      <c r="Z24" s="76">
        <v>22</v>
      </c>
      <c r="AA24" s="76" t="s">
        <v>3873</v>
      </c>
      <c r="AB24" s="165" t="s">
        <v>6600</v>
      </c>
      <c r="AC24" s="165" t="s">
        <v>6603</v>
      </c>
      <c r="AD24" s="165" t="s">
        <v>2362</v>
      </c>
      <c r="AE24" s="25" t="s">
        <v>3872</v>
      </c>
      <c r="AF24" s="342">
        <v>1.0680000000000001</v>
      </c>
      <c r="AG24" s="62">
        <v>0.16180555555555556</v>
      </c>
      <c r="AH24" s="342">
        <v>1.1220000000000001</v>
      </c>
      <c r="AI24" s="62">
        <v>0.14097222222222222</v>
      </c>
      <c r="AJ24" s="368">
        <f t="shared" si="0"/>
        <v>5.0561797752809001E-2</v>
      </c>
    </row>
    <row r="25" spans="2:37">
      <c r="B25" s="72" t="s">
        <v>3733</v>
      </c>
      <c r="C25" s="73" t="s">
        <v>1691</v>
      </c>
      <c r="D25" s="74">
        <v>4500</v>
      </c>
      <c r="E25" s="264" t="s">
        <v>8</v>
      </c>
      <c r="F25" s="74">
        <v>235</v>
      </c>
      <c r="G25" s="74">
        <f>F25+Q25+T25+W25+Z25</f>
        <v>394</v>
      </c>
      <c r="H25" s="77">
        <v>45161</v>
      </c>
      <c r="I25" s="264" t="s">
        <v>7916</v>
      </c>
      <c r="J25" s="72" t="s">
        <v>3732</v>
      </c>
      <c r="K25" s="72" t="s">
        <v>2569</v>
      </c>
      <c r="L25" s="72" t="s">
        <v>2056</v>
      </c>
      <c r="M25" s="72">
        <v>2016</v>
      </c>
      <c r="N25" s="25" t="s">
        <v>3731</v>
      </c>
      <c r="O25" s="264" t="s">
        <v>7915</v>
      </c>
      <c r="P25" s="267" t="s">
        <v>18</v>
      </c>
      <c r="Q25" s="76">
        <v>100</v>
      </c>
      <c r="R25" s="72" t="s">
        <v>3730</v>
      </c>
      <c r="S25" s="76" t="s">
        <v>7</v>
      </c>
      <c r="T25" s="76">
        <v>40</v>
      </c>
      <c r="U25" s="76" t="s">
        <v>3729</v>
      </c>
      <c r="V25" s="76" t="s">
        <v>5</v>
      </c>
      <c r="W25" s="76">
        <v>15</v>
      </c>
      <c r="X25" s="76" t="s">
        <v>3728</v>
      </c>
      <c r="Y25" s="76" t="s">
        <v>4</v>
      </c>
      <c r="Z25" s="76">
        <v>4</v>
      </c>
      <c r="AA25" s="76" t="s">
        <v>3727</v>
      </c>
      <c r="AB25" s="165" t="s">
        <v>6600</v>
      </c>
      <c r="AC25" s="165" t="s">
        <v>6608</v>
      </c>
      <c r="AD25" s="165" t="s">
        <v>6608</v>
      </c>
      <c r="AE25" s="25" t="s">
        <v>4352</v>
      </c>
      <c r="AF25" s="64">
        <v>20.74</v>
      </c>
      <c r="AG25" s="62">
        <v>0.17500000000000002</v>
      </c>
      <c r="AH25" s="64">
        <v>18.48</v>
      </c>
      <c r="AI25" s="62">
        <v>0.21180555555555555</v>
      </c>
      <c r="AJ25" s="368">
        <f t="shared" si="0"/>
        <v>-0.10896817743490828</v>
      </c>
    </row>
    <row r="26" spans="2:37">
      <c r="B26" s="72" t="s">
        <v>245</v>
      </c>
      <c r="C26" s="73" t="s">
        <v>1691</v>
      </c>
      <c r="D26" s="74">
        <v>4200</v>
      </c>
      <c r="E26" s="72" t="s">
        <v>18</v>
      </c>
      <c r="F26" s="74">
        <v>820</v>
      </c>
      <c r="G26" s="74">
        <f>F26+Q26+T26</f>
        <v>940</v>
      </c>
      <c r="H26" s="27">
        <v>43223</v>
      </c>
      <c r="I26" s="72" t="s">
        <v>3857</v>
      </c>
      <c r="J26" s="72" t="s">
        <v>3856</v>
      </c>
      <c r="K26" s="72" t="s">
        <v>2045</v>
      </c>
      <c r="L26" s="72" t="s">
        <v>2349</v>
      </c>
      <c r="M26" s="72">
        <v>2012</v>
      </c>
      <c r="O26" s="72" t="s">
        <v>3855</v>
      </c>
      <c r="P26" s="76" t="s">
        <v>3854</v>
      </c>
      <c r="Q26" s="76">
        <v>100</v>
      </c>
      <c r="R26" s="76" t="s">
        <v>3853</v>
      </c>
      <c r="S26" s="76" t="s">
        <v>5</v>
      </c>
      <c r="T26" s="76">
        <v>20</v>
      </c>
      <c r="U26" s="76" t="s">
        <v>246</v>
      </c>
      <c r="V26" s="76" t="s">
        <v>1</v>
      </c>
      <c r="W26" s="76" t="s">
        <v>1</v>
      </c>
      <c r="X26" s="76" t="s">
        <v>1</v>
      </c>
      <c r="Y26" s="76" t="s">
        <v>1</v>
      </c>
      <c r="Z26" s="76" t="s">
        <v>1</v>
      </c>
      <c r="AA26" s="76" t="s">
        <v>1</v>
      </c>
      <c r="AB26" s="165" t="s">
        <v>6601</v>
      </c>
      <c r="AD26" s="165" t="s">
        <v>3599</v>
      </c>
      <c r="AE26" s="25" t="s">
        <v>3852</v>
      </c>
      <c r="AF26" s="342">
        <v>6.6556000000000004E-2</v>
      </c>
      <c r="AG26" s="62">
        <v>0.2590277777777778</v>
      </c>
      <c r="AH26" s="343">
        <v>7.1416999999999994E-2</v>
      </c>
      <c r="AI26" s="62">
        <v>0.27986111111111112</v>
      </c>
      <c r="AJ26" s="368">
        <f t="shared" si="0"/>
        <v>7.3036240158663279E-2</v>
      </c>
    </row>
    <row r="27" spans="2:37">
      <c r="B27" s="72" t="s">
        <v>1133</v>
      </c>
      <c r="C27" s="73" t="s">
        <v>1691</v>
      </c>
      <c r="D27" s="74">
        <v>4000</v>
      </c>
      <c r="E27" s="72" t="s">
        <v>5</v>
      </c>
      <c r="F27" s="74">
        <v>1300</v>
      </c>
      <c r="G27" s="74">
        <f>F27+Q27</f>
        <v>1525</v>
      </c>
      <c r="H27" s="77">
        <v>45106</v>
      </c>
      <c r="I27" s="72" t="s">
        <v>3836</v>
      </c>
      <c r="J27" s="72" t="s">
        <v>3835</v>
      </c>
      <c r="K27" s="72" t="s">
        <v>2308</v>
      </c>
      <c r="L27" s="72" t="s">
        <v>2467</v>
      </c>
      <c r="M27" s="72">
        <v>2022</v>
      </c>
      <c r="N27" s="72" t="s">
        <v>3834</v>
      </c>
      <c r="O27" s="72" t="s">
        <v>3833</v>
      </c>
      <c r="P27" s="76" t="s">
        <v>5</v>
      </c>
      <c r="Q27" s="76">
        <v>225</v>
      </c>
      <c r="R27" s="72" t="s">
        <v>1134</v>
      </c>
      <c r="S27" s="76" t="s">
        <v>1</v>
      </c>
      <c r="T27" s="76" t="s">
        <v>1</v>
      </c>
      <c r="U27" s="76" t="s">
        <v>1</v>
      </c>
      <c r="V27" s="76" t="s">
        <v>1</v>
      </c>
      <c r="W27" s="76" t="s">
        <v>1</v>
      </c>
      <c r="X27" s="76" t="s">
        <v>1</v>
      </c>
      <c r="Y27" s="76" t="s">
        <v>1</v>
      </c>
      <c r="Z27" s="76" t="s">
        <v>1</v>
      </c>
      <c r="AA27" s="76" t="s">
        <v>1</v>
      </c>
      <c r="AB27" s="165" t="s">
        <v>6600</v>
      </c>
      <c r="AC27" s="165" t="s">
        <v>6603</v>
      </c>
      <c r="AD27" s="165" t="s">
        <v>6610</v>
      </c>
      <c r="AE27" s="25" t="s">
        <v>4346</v>
      </c>
      <c r="AF27" s="342">
        <v>1.9219999999999999</v>
      </c>
      <c r="AG27" s="62">
        <v>0.27152777777777776</v>
      </c>
      <c r="AH27" s="343">
        <v>3.698</v>
      </c>
      <c r="AI27" s="341">
        <v>0.21666666666666667</v>
      </c>
      <c r="AJ27" s="368">
        <f t="shared" si="0"/>
        <v>0.92403746097814787</v>
      </c>
      <c r="AK27" s="72">
        <f>+AH27/AH10</f>
        <v>2.3750802825947335E-3</v>
      </c>
    </row>
    <row r="28" spans="2:37">
      <c r="B28" s="72" t="s">
        <v>74</v>
      </c>
      <c r="C28" s="73" t="s">
        <v>1691</v>
      </c>
      <c r="D28" s="74">
        <v>3800</v>
      </c>
      <c r="E28" s="72" t="s">
        <v>53</v>
      </c>
      <c r="F28" s="74">
        <v>250</v>
      </c>
      <c r="G28" s="74">
        <f>F28+Q28</f>
        <v>522</v>
      </c>
      <c r="H28" s="27">
        <v>44510</v>
      </c>
      <c r="I28" s="72" t="s">
        <v>3832</v>
      </c>
      <c r="J28" s="72" t="s">
        <v>3831</v>
      </c>
      <c r="K28" s="72" t="s">
        <v>2100</v>
      </c>
      <c r="L28" s="72" t="s">
        <v>3830</v>
      </c>
      <c r="M28" s="72">
        <v>2016</v>
      </c>
      <c r="O28" s="72" t="s">
        <v>3829</v>
      </c>
      <c r="P28" s="76" t="s">
        <v>9</v>
      </c>
      <c r="Q28" s="76">
        <v>272</v>
      </c>
      <c r="R28" s="76" t="s">
        <v>1</v>
      </c>
      <c r="S28" s="76" t="s">
        <v>8</v>
      </c>
      <c r="T28" s="76">
        <v>81</v>
      </c>
      <c r="U28" s="76" t="s">
        <v>3828</v>
      </c>
      <c r="V28" s="76" t="s">
        <v>18</v>
      </c>
      <c r="W28" s="76">
        <v>60</v>
      </c>
      <c r="X28" s="76" t="s">
        <v>3827</v>
      </c>
      <c r="Y28" s="76" t="s">
        <v>7</v>
      </c>
      <c r="Z28" s="76">
        <v>25</v>
      </c>
      <c r="AA28" s="76" t="s">
        <v>3826</v>
      </c>
      <c r="AB28" s="165" t="s">
        <v>6600</v>
      </c>
      <c r="AC28" s="165" t="s">
        <v>6603</v>
      </c>
      <c r="AD28" s="165" t="s">
        <v>6609</v>
      </c>
      <c r="AE28" s="25" t="s">
        <v>3825</v>
      </c>
      <c r="AF28" s="342">
        <v>6.4711000000000005E-2</v>
      </c>
      <c r="AG28" s="62">
        <v>5.0694444444444452E-2</v>
      </c>
      <c r="AH28" s="342">
        <v>5.8518000000000001E-2</v>
      </c>
      <c r="AI28" s="62">
        <v>2.7083333333333334E-2</v>
      </c>
      <c r="AJ28" s="368">
        <f t="shared" si="0"/>
        <v>-9.5702430807745209E-2</v>
      </c>
    </row>
    <row r="29" spans="2:37">
      <c r="B29" s="72" t="s">
        <v>3796</v>
      </c>
      <c r="C29" s="73" t="s">
        <v>3795</v>
      </c>
      <c r="D29" s="74">
        <v>3680</v>
      </c>
      <c r="E29" s="72" t="s">
        <v>3793</v>
      </c>
      <c r="F29" s="74">
        <v>651</v>
      </c>
      <c r="G29" s="266" t="s">
        <v>1</v>
      </c>
      <c r="H29" s="77">
        <v>44174</v>
      </c>
      <c r="I29" s="72" t="s">
        <v>2045</v>
      </c>
      <c r="J29" s="72" t="s">
        <v>3794</v>
      </c>
      <c r="K29" s="72" t="s">
        <v>2045</v>
      </c>
      <c r="L29" s="72" t="s">
        <v>2230</v>
      </c>
      <c r="M29" s="72">
        <v>2009</v>
      </c>
      <c r="O29" s="72" t="s">
        <v>3793</v>
      </c>
      <c r="P29" s="76" t="s">
        <v>53</v>
      </c>
      <c r="Q29" s="76">
        <v>106</v>
      </c>
      <c r="R29" s="76" t="s">
        <v>3792</v>
      </c>
      <c r="T29" s="76" t="s">
        <v>1</v>
      </c>
      <c r="U29" s="76" t="s">
        <v>1</v>
      </c>
      <c r="V29" s="76" t="s">
        <v>1</v>
      </c>
      <c r="W29" s="76" t="s">
        <v>1</v>
      </c>
      <c r="X29" s="76" t="s">
        <v>1</v>
      </c>
      <c r="Y29" s="76" t="s">
        <v>1</v>
      </c>
      <c r="Z29" s="76" t="s">
        <v>1</v>
      </c>
      <c r="AA29" s="76" t="s">
        <v>1</v>
      </c>
      <c r="AB29" s="165" t="s">
        <v>6600</v>
      </c>
      <c r="AC29" s="165" t="s">
        <v>6603</v>
      </c>
      <c r="AD29" s="165" t="s">
        <v>6620</v>
      </c>
      <c r="AE29" s="25" t="s">
        <v>4347</v>
      </c>
      <c r="AF29" s="342">
        <v>0.17391100000000001</v>
      </c>
      <c r="AG29" s="62">
        <v>6.458333333333334E-2</v>
      </c>
      <c r="AH29" s="343">
        <v>0.61713200000000001</v>
      </c>
      <c r="AI29" s="341">
        <v>1.7361111111111112E-2</v>
      </c>
      <c r="AJ29" s="368">
        <f t="shared" si="0"/>
        <v>2.5485506954706718</v>
      </c>
    </row>
    <row r="30" spans="2:37">
      <c r="B30" s="72" t="s">
        <v>211</v>
      </c>
      <c r="C30" s="73" t="s">
        <v>1691</v>
      </c>
      <c r="D30" s="74">
        <v>3500</v>
      </c>
      <c r="E30" s="72" t="s">
        <v>8</v>
      </c>
      <c r="F30" s="74">
        <v>700</v>
      </c>
      <c r="G30" s="74">
        <f>F30+Q30+T30</f>
        <v>1070</v>
      </c>
      <c r="H30" s="77">
        <v>44218</v>
      </c>
      <c r="I30" s="72" t="s">
        <v>3791</v>
      </c>
      <c r="J30" s="72" t="s">
        <v>3790</v>
      </c>
      <c r="K30" s="72" t="s">
        <v>2045</v>
      </c>
      <c r="L30" s="72" t="s">
        <v>2056</v>
      </c>
      <c r="M30" s="72">
        <v>2014</v>
      </c>
      <c r="N30" s="72" t="s">
        <v>3789</v>
      </c>
      <c r="O30" s="72" t="s">
        <v>3788</v>
      </c>
      <c r="P30" s="76" t="s">
        <v>18</v>
      </c>
      <c r="Q30" s="76">
        <v>230</v>
      </c>
      <c r="R30" s="76" t="s">
        <v>3787</v>
      </c>
      <c r="S30" s="76" t="s">
        <v>18</v>
      </c>
      <c r="T30" s="76">
        <v>140</v>
      </c>
      <c r="U30" s="76" t="s">
        <v>3786</v>
      </c>
      <c r="V30" s="76" t="s">
        <v>7</v>
      </c>
      <c r="W30" s="76" t="s">
        <v>1</v>
      </c>
      <c r="X30" s="76" t="s">
        <v>3785</v>
      </c>
      <c r="Y30" s="76" t="s">
        <v>5</v>
      </c>
      <c r="Z30" s="76" t="s">
        <v>1</v>
      </c>
      <c r="AA30" s="76" t="s">
        <v>3784</v>
      </c>
      <c r="AB30" s="165" t="s">
        <v>6601</v>
      </c>
      <c r="AD30" s="165" t="s">
        <v>6616</v>
      </c>
      <c r="AE30" s="25" t="s">
        <v>3783</v>
      </c>
      <c r="AF30" s="342">
        <v>0.41541</v>
      </c>
      <c r="AG30" s="62">
        <v>0.21111111111111111</v>
      </c>
      <c r="AH30" s="344" t="s">
        <v>1</v>
      </c>
      <c r="AI30" s="344" t="s">
        <v>1</v>
      </c>
      <c r="AJ30" s="368"/>
    </row>
    <row r="31" spans="2:37">
      <c r="B31" s="72" t="s">
        <v>2116</v>
      </c>
      <c r="C31" s="73" t="s">
        <v>1691</v>
      </c>
      <c r="D31" s="74">
        <v>3400</v>
      </c>
      <c r="E31" s="72" t="s">
        <v>8</v>
      </c>
      <c r="F31" s="74">
        <v>175</v>
      </c>
      <c r="G31" s="74">
        <f>F31+Q31+T31+W31</f>
        <v>351.5</v>
      </c>
      <c r="H31" s="27">
        <v>44511</v>
      </c>
      <c r="I31" s="72" t="s">
        <v>4878</v>
      </c>
      <c r="J31" s="72" t="s">
        <v>4869</v>
      </c>
      <c r="K31" s="72" t="s">
        <v>2045</v>
      </c>
      <c r="L31" s="72" t="s">
        <v>2115</v>
      </c>
      <c r="M31" s="72">
        <v>2017</v>
      </c>
      <c r="O31" s="72" t="s">
        <v>4871</v>
      </c>
      <c r="P31" s="76" t="s">
        <v>18</v>
      </c>
      <c r="Q31" s="76">
        <v>125</v>
      </c>
      <c r="R31" s="76" t="s">
        <v>4874</v>
      </c>
      <c r="S31" s="76" t="s">
        <v>7</v>
      </c>
      <c r="T31" s="76">
        <v>40</v>
      </c>
      <c r="U31" s="76" t="s">
        <v>4873</v>
      </c>
      <c r="V31" s="76" t="s">
        <v>5</v>
      </c>
      <c r="W31" s="76">
        <v>11.5</v>
      </c>
      <c r="X31" s="76" t="s">
        <v>4875</v>
      </c>
      <c r="Y31" s="76" t="s">
        <v>4</v>
      </c>
      <c r="Z31" s="76" t="s">
        <v>1</v>
      </c>
      <c r="AA31" s="76" t="s">
        <v>4877</v>
      </c>
      <c r="AB31" s="165" t="s">
        <v>6600</v>
      </c>
      <c r="AC31" s="165" t="s">
        <v>6603</v>
      </c>
      <c r="AD31" s="165" t="s">
        <v>6611</v>
      </c>
      <c r="AE31" s="25" t="s">
        <v>2114</v>
      </c>
      <c r="AF31" s="342">
        <v>6.0814E-2</v>
      </c>
      <c r="AG31" s="62">
        <v>5.6250000000000001E-2</v>
      </c>
      <c r="AH31" s="342">
        <v>5.9340999999999998E-2</v>
      </c>
      <c r="AI31" s="62">
        <v>2.1527777777777778E-2</v>
      </c>
      <c r="AJ31" s="368">
        <f t="shared" si="0"/>
        <v>-2.4221396388989458E-2</v>
      </c>
    </row>
    <row r="32" spans="2:37">
      <c r="B32" s="72" t="s">
        <v>154</v>
      </c>
      <c r="C32" s="73" t="s">
        <v>1691</v>
      </c>
      <c r="D32" s="74">
        <v>3500</v>
      </c>
      <c r="E32" s="72" t="s">
        <v>53</v>
      </c>
      <c r="F32" s="74">
        <v>200</v>
      </c>
      <c r="G32" s="74">
        <f>F32+Q32+T32+W32</f>
        <v>801</v>
      </c>
      <c r="H32" s="77">
        <v>44907</v>
      </c>
      <c r="I32" s="72" t="s">
        <v>3804</v>
      </c>
      <c r="J32" s="72" t="s">
        <v>3803</v>
      </c>
      <c r="K32" s="72" t="s">
        <v>2045</v>
      </c>
      <c r="L32" s="72" t="s">
        <v>2850</v>
      </c>
      <c r="M32" s="72">
        <v>2013</v>
      </c>
      <c r="O32" s="72" t="s">
        <v>3802</v>
      </c>
      <c r="P32" s="76" t="s">
        <v>9</v>
      </c>
      <c r="Q32" s="76">
        <v>400</v>
      </c>
      <c r="R32" s="76" t="s">
        <v>3801</v>
      </c>
      <c r="S32" s="76" t="s">
        <v>8</v>
      </c>
      <c r="T32" s="76">
        <v>100</v>
      </c>
      <c r="U32" s="76" t="s">
        <v>3800</v>
      </c>
      <c r="V32" s="76" t="s">
        <v>18</v>
      </c>
      <c r="W32" s="76">
        <v>101</v>
      </c>
      <c r="X32" s="76" t="s">
        <v>3799</v>
      </c>
      <c r="Y32" s="76" t="s">
        <v>7</v>
      </c>
      <c r="Z32" s="76">
        <v>28</v>
      </c>
      <c r="AA32" s="76" t="s">
        <v>3798</v>
      </c>
      <c r="AB32" s="165" t="s">
        <v>6624</v>
      </c>
      <c r="AD32" s="165" t="s">
        <v>2145</v>
      </c>
      <c r="AE32" s="25" t="s">
        <v>3797</v>
      </c>
      <c r="AF32" s="342">
        <v>0.65510400000000002</v>
      </c>
      <c r="AG32" s="62">
        <v>6.1111111111111116E-2</v>
      </c>
      <c r="AH32" s="342">
        <v>0.482935</v>
      </c>
      <c r="AI32" s="62">
        <v>7.9166666666666663E-2</v>
      </c>
      <c r="AJ32" s="368">
        <f t="shared" si="0"/>
        <v>-0.26281170623290351</v>
      </c>
    </row>
    <row r="33" spans="1:36">
      <c r="B33" s="72" t="s">
        <v>232</v>
      </c>
      <c r="C33" s="73" t="s">
        <v>1691</v>
      </c>
      <c r="D33" s="74">
        <v>3300</v>
      </c>
      <c r="E33" s="72" t="s">
        <v>8</v>
      </c>
      <c r="F33" s="74">
        <v>750</v>
      </c>
      <c r="G33" s="74">
        <f>F33+Q33+T33+W33</f>
        <v>1332</v>
      </c>
      <c r="H33" s="27">
        <v>43593</v>
      </c>
      <c r="I33" s="72" t="s">
        <v>3813</v>
      </c>
      <c r="J33" s="72" t="s">
        <v>3812</v>
      </c>
      <c r="K33" s="72" t="s">
        <v>2045</v>
      </c>
      <c r="L33" s="72" t="s">
        <v>2044</v>
      </c>
      <c r="M33" s="72">
        <v>2011</v>
      </c>
      <c r="N33" s="72" t="s">
        <v>3811</v>
      </c>
      <c r="O33" s="72" t="s">
        <v>3810</v>
      </c>
      <c r="P33" s="76" t="s">
        <v>18</v>
      </c>
      <c r="Q33" s="76">
        <v>460</v>
      </c>
      <c r="R33" s="76" t="s">
        <v>3809</v>
      </c>
      <c r="S33" s="76" t="s">
        <v>18</v>
      </c>
      <c r="T33" s="76">
        <v>100</v>
      </c>
      <c r="U33" s="76" t="s">
        <v>3808</v>
      </c>
      <c r="V33" s="76" t="s">
        <v>7</v>
      </c>
      <c r="W33" s="76">
        <v>22</v>
      </c>
      <c r="X33" s="76" t="s">
        <v>3807</v>
      </c>
      <c r="Y33" s="76" t="s">
        <v>5</v>
      </c>
      <c r="Z33" s="76" t="s">
        <v>1</v>
      </c>
      <c r="AA33" s="76" t="s">
        <v>3806</v>
      </c>
      <c r="AB33" s="165" t="s">
        <v>6601</v>
      </c>
      <c r="AD33" s="165" t="s">
        <v>6616</v>
      </c>
      <c r="AE33" s="25" t="s">
        <v>3805</v>
      </c>
      <c r="AF33" s="342">
        <v>5.3029E-2</v>
      </c>
      <c r="AG33" s="62">
        <v>5.7638888888888885E-2</v>
      </c>
      <c r="AH33" s="343">
        <v>4.9887000000000001E-2</v>
      </c>
      <c r="AI33" s="341">
        <v>5.2777777777777778E-2</v>
      </c>
      <c r="AJ33" s="368">
        <f t="shared" si="0"/>
        <v>-5.9250598728997295E-2</v>
      </c>
    </row>
    <row r="34" spans="1:36">
      <c r="B34" s="72" t="s">
        <v>3782</v>
      </c>
      <c r="C34" s="73" t="s">
        <v>1691</v>
      </c>
      <c r="D34" s="74">
        <v>3000</v>
      </c>
      <c r="E34" s="72" t="s">
        <v>1</v>
      </c>
      <c r="F34" s="74" t="s">
        <v>1</v>
      </c>
      <c r="G34" s="94" t="s">
        <v>1</v>
      </c>
      <c r="H34" s="74" t="s">
        <v>1</v>
      </c>
      <c r="I34" s="72" t="s">
        <v>3781</v>
      </c>
      <c r="J34" s="72" t="s">
        <v>3780</v>
      </c>
      <c r="K34" s="72" t="s">
        <v>2045</v>
      </c>
      <c r="L34" s="72" t="s">
        <v>2071</v>
      </c>
      <c r="M34" s="72">
        <v>2017</v>
      </c>
      <c r="N34" s="72" t="s">
        <v>5014</v>
      </c>
      <c r="O34" s="72" t="s">
        <v>1</v>
      </c>
      <c r="P34" s="72" t="s">
        <v>1</v>
      </c>
      <c r="Q34" s="72" t="s">
        <v>1</v>
      </c>
      <c r="R34" s="72" t="s">
        <v>1</v>
      </c>
      <c r="S34" s="72" t="s">
        <v>1</v>
      </c>
      <c r="T34" s="72" t="s">
        <v>1</v>
      </c>
      <c r="U34" s="72" t="s">
        <v>1</v>
      </c>
      <c r="V34" s="72" t="s">
        <v>1</v>
      </c>
      <c r="W34" s="72" t="s">
        <v>1</v>
      </c>
      <c r="X34" s="72" t="s">
        <v>1</v>
      </c>
      <c r="Y34" s="72" t="s">
        <v>1</v>
      </c>
      <c r="Z34" s="72" t="s">
        <v>1</v>
      </c>
      <c r="AA34" s="72" t="s">
        <v>1</v>
      </c>
      <c r="AB34" s="165" t="s">
        <v>6600</v>
      </c>
      <c r="AC34" s="165" t="s">
        <v>6603</v>
      </c>
      <c r="AD34" s="165" t="s">
        <v>6610</v>
      </c>
      <c r="AE34" s="25" t="s">
        <v>3779</v>
      </c>
      <c r="AF34" s="342">
        <v>1.9136E-2</v>
      </c>
      <c r="AG34" s="62">
        <v>5.6250000000000001E-2</v>
      </c>
      <c r="AH34" s="343">
        <v>0.12296799999999999</v>
      </c>
      <c r="AI34" s="341">
        <v>4.1666666666666664E-2</v>
      </c>
      <c r="AJ34" s="368">
        <f t="shared" si="0"/>
        <v>5.4260033444816047</v>
      </c>
    </row>
    <row r="35" spans="1:36" s="12" customFormat="1">
      <c r="A35" s="72"/>
      <c r="B35" s="72" t="s">
        <v>197</v>
      </c>
      <c r="C35" s="73" t="s">
        <v>1691</v>
      </c>
      <c r="D35" s="74">
        <v>2500</v>
      </c>
      <c r="E35" s="72" t="s">
        <v>18</v>
      </c>
      <c r="F35" s="74">
        <v>500</v>
      </c>
      <c r="G35" s="74">
        <f>F35+Q35+T35+W35</f>
        <v>698</v>
      </c>
      <c r="H35" s="27">
        <v>44274</v>
      </c>
      <c r="I35" s="72" t="s">
        <v>3775</v>
      </c>
      <c r="J35" s="72"/>
      <c r="K35" s="72" t="s">
        <v>2045</v>
      </c>
      <c r="L35" s="72" t="s">
        <v>2203</v>
      </c>
      <c r="M35" s="72">
        <v>2016</v>
      </c>
      <c r="N35" s="72"/>
      <c r="O35" s="72" t="s">
        <v>3774</v>
      </c>
      <c r="P35" s="76" t="s">
        <v>7</v>
      </c>
      <c r="Q35" s="76">
        <v>120</v>
      </c>
      <c r="R35" s="76" t="s">
        <v>3773</v>
      </c>
      <c r="S35" s="76" t="s">
        <v>7</v>
      </c>
      <c r="T35" s="76">
        <v>32</v>
      </c>
      <c r="U35" s="76" t="s">
        <v>1078</v>
      </c>
      <c r="V35" s="76" t="s">
        <v>7</v>
      </c>
      <c r="W35" s="76">
        <v>46</v>
      </c>
      <c r="X35" s="76" t="s">
        <v>3772</v>
      </c>
      <c r="Y35" s="76" t="s">
        <v>5</v>
      </c>
      <c r="Z35" s="76" t="s">
        <v>1</v>
      </c>
      <c r="AA35" s="76" t="s">
        <v>3771</v>
      </c>
      <c r="AB35" s="165" t="s">
        <v>6601</v>
      </c>
      <c r="AC35" s="72"/>
      <c r="AD35" s="165" t="s">
        <v>6616</v>
      </c>
      <c r="AE35" s="25" t="s">
        <v>3770</v>
      </c>
      <c r="AF35" s="342">
        <v>3.5132999999999998E-2</v>
      </c>
      <c r="AG35" s="62">
        <v>6.1805555555555558E-2</v>
      </c>
      <c r="AH35" s="342">
        <v>1.6292000000000001E-2</v>
      </c>
      <c r="AI35" s="62">
        <v>5.6944444444444443E-2</v>
      </c>
      <c r="AJ35" s="368">
        <f t="shared" si="0"/>
        <v>-0.53627643526029645</v>
      </c>
    </row>
    <row r="36" spans="1:36">
      <c r="B36" s="72" t="s">
        <v>3</v>
      </c>
      <c r="C36" s="73" t="s">
        <v>1691</v>
      </c>
      <c r="D36" s="74">
        <v>2500</v>
      </c>
      <c r="E36" s="264" t="s">
        <v>53</v>
      </c>
      <c r="F36" s="74">
        <v>200</v>
      </c>
      <c r="G36" s="74">
        <f>F36+Q36+T36+W36+Z36</f>
        <v>595</v>
      </c>
      <c r="H36" s="77">
        <v>45230</v>
      </c>
      <c r="I36" s="72" t="s">
        <v>3760</v>
      </c>
      <c r="J36" s="72" t="s">
        <v>3759</v>
      </c>
      <c r="K36" s="72" t="s">
        <v>2184</v>
      </c>
      <c r="L36" s="72" t="s">
        <v>3758</v>
      </c>
      <c r="M36" s="72">
        <v>2015</v>
      </c>
      <c r="O36" s="264" t="s">
        <v>7923</v>
      </c>
      <c r="P36" s="267" t="s">
        <v>9</v>
      </c>
      <c r="Q36" s="76">
        <v>90</v>
      </c>
      <c r="R36" s="72" t="s">
        <v>3757</v>
      </c>
      <c r="S36" s="76" t="s">
        <v>8</v>
      </c>
      <c r="T36" s="76">
        <v>210</v>
      </c>
      <c r="U36" s="76" t="s">
        <v>3756</v>
      </c>
      <c r="V36" s="76" t="s">
        <v>18</v>
      </c>
      <c r="W36" s="76">
        <v>70</v>
      </c>
      <c r="X36" s="76" t="s">
        <v>3755</v>
      </c>
      <c r="Y36" s="76" t="s">
        <v>7</v>
      </c>
      <c r="Z36" s="76">
        <v>25</v>
      </c>
      <c r="AA36" s="76" t="s">
        <v>3754</v>
      </c>
      <c r="AB36" s="165" t="s">
        <v>6600</v>
      </c>
      <c r="AC36" s="165" t="s">
        <v>6603</v>
      </c>
      <c r="AD36" s="165" t="s">
        <v>6622</v>
      </c>
      <c r="AE36" s="25" t="s">
        <v>3753</v>
      </c>
      <c r="AF36" s="342">
        <v>2.2540000000000001E-2</v>
      </c>
      <c r="AG36" s="62">
        <v>3.888888888888889E-2</v>
      </c>
      <c r="AH36" s="342">
        <v>3.8671999999999998E-2</v>
      </c>
      <c r="AI36" s="62">
        <v>5.0694444444444445E-2</v>
      </c>
      <c r="AJ36" s="368">
        <f t="shared" si="0"/>
        <v>0.71570541259982234</v>
      </c>
    </row>
    <row r="37" spans="1:36">
      <c r="B37" s="72" t="s">
        <v>3752</v>
      </c>
      <c r="C37" s="73" t="s">
        <v>1691</v>
      </c>
      <c r="D37" s="74">
        <v>2100</v>
      </c>
      <c r="E37" s="72" t="s">
        <v>9</v>
      </c>
      <c r="F37" s="74">
        <v>400</v>
      </c>
      <c r="G37" s="74">
        <f>F37+Q37+T37+W37+Z37</f>
        <v>664.9</v>
      </c>
      <c r="H37" s="77">
        <v>44608</v>
      </c>
      <c r="I37" s="72" t="s">
        <v>3751</v>
      </c>
      <c r="J37" s="72" t="s">
        <v>3750</v>
      </c>
      <c r="K37" s="72" t="s">
        <v>2045</v>
      </c>
      <c r="L37" s="72" t="s">
        <v>2524</v>
      </c>
      <c r="M37" s="72">
        <v>2008</v>
      </c>
      <c r="O37" s="72" t="s">
        <v>3749</v>
      </c>
      <c r="P37" s="76" t="s">
        <v>8</v>
      </c>
      <c r="Q37" s="76">
        <v>140</v>
      </c>
      <c r="R37" s="76" t="s">
        <v>3748</v>
      </c>
      <c r="S37" s="76" t="s">
        <v>18</v>
      </c>
      <c r="T37" s="76">
        <v>110</v>
      </c>
      <c r="U37" s="76" t="s">
        <v>3747</v>
      </c>
      <c r="V37" s="76" t="s">
        <v>7</v>
      </c>
      <c r="W37" s="76">
        <v>9.4</v>
      </c>
      <c r="X37" s="76" t="s">
        <v>3746</v>
      </c>
      <c r="Y37" s="76" t="s">
        <v>5</v>
      </c>
      <c r="Z37" s="76">
        <v>5.5</v>
      </c>
      <c r="AA37" s="76" t="s">
        <v>3745</v>
      </c>
      <c r="AB37" s="165" t="s">
        <v>6600</v>
      </c>
      <c r="AC37" s="165" t="s">
        <v>6603</v>
      </c>
      <c r="AD37" s="165" t="s">
        <v>6610</v>
      </c>
      <c r="AE37" s="25" t="s">
        <v>4349</v>
      </c>
      <c r="AF37" s="342">
        <v>6.0018000000000002E-2</v>
      </c>
      <c r="AG37" s="62">
        <v>6.25E-2</v>
      </c>
      <c r="AH37" s="342">
        <v>6.1126E-2</v>
      </c>
      <c r="AI37" s="62">
        <v>4.5138888888888888E-2</v>
      </c>
      <c r="AJ37" s="368">
        <f t="shared" si="0"/>
        <v>1.8461128328168153E-2</v>
      </c>
    </row>
    <row r="38" spans="1:36">
      <c r="B38" s="72" t="s">
        <v>952</v>
      </c>
      <c r="C38" s="73" t="s">
        <v>1691</v>
      </c>
      <c r="D38" s="74">
        <v>2000</v>
      </c>
      <c r="E38" s="72" t="s">
        <v>18</v>
      </c>
      <c r="F38" s="74">
        <v>270</v>
      </c>
      <c r="G38" s="74">
        <f>F38+Q38+T38</f>
        <v>440</v>
      </c>
      <c r="H38" s="77">
        <v>45048</v>
      </c>
      <c r="I38" s="72" t="s">
        <v>3739</v>
      </c>
      <c r="J38" s="72" t="s">
        <v>3738</v>
      </c>
      <c r="K38" s="72" t="s">
        <v>2569</v>
      </c>
      <c r="L38" s="72" t="s">
        <v>3169</v>
      </c>
      <c r="M38" s="72">
        <v>2019</v>
      </c>
      <c r="N38" s="72" t="s">
        <v>3737</v>
      </c>
      <c r="O38" s="72" t="s">
        <v>3736</v>
      </c>
      <c r="P38" s="76" t="s">
        <v>7</v>
      </c>
      <c r="Q38" s="76">
        <v>130</v>
      </c>
      <c r="R38" s="76" t="s">
        <v>3735</v>
      </c>
      <c r="S38" s="76" t="s">
        <v>5</v>
      </c>
      <c r="T38" s="76">
        <v>40</v>
      </c>
      <c r="U38" s="76" t="s">
        <v>3734</v>
      </c>
      <c r="V38" s="76" t="s">
        <v>1</v>
      </c>
      <c r="W38" s="76" t="s">
        <v>1</v>
      </c>
      <c r="X38" s="76" t="s">
        <v>1</v>
      </c>
      <c r="Y38" s="76" t="s">
        <v>1</v>
      </c>
      <c r="Z38" s="76" t="s">
        <v>1</v>
      </c>
      <c r="AA38" s="76" t="s">
        <v>1</v>
      </c>
      <c r="AB38" s="165" t="s">
        <v>6626</v>
      </c>
      <c r="AD38" s="165" t="s">
        <v>2904</v>
      </c>
      <c r="AE38" s="25" t="s">
        <v>4351</v>
      </c>
      <c r="AF38" s="342">
        <v>0.75510100000000002</v>
      </c>
      <c r="AG38" s="62">
        <v>7.3611111111111113E-2</v>
      </c>
      <c r="AH38" s="343">
        <v>0.40391100000000002</v>
      </c>
      <c r="AI38" s="341">
        <v>0.14930555555555555</v>
      </c>
      <c r="AJ38" s="368">
        <f t="shared" si="0"/>
        <v>-0.46509010052959798</v>
      </c>
    </row>
    <row r="39" spans="1:36">
      <c r="B39" s="72" t="s">
        <v>39</v>
      </c>
      <c r="C39" s="73" t="s">
        <v>1691</v>
      </c>
      <c r="D39" s="74">
        <v>2000</v>
      </c>
      <c r="E39" s="72" t="s">
        <v>9</v>
      </c>
      <c r="F39" s="74">
        <v>230</v>
      </c>
      <c r="G39" s="74">
        <f>F39+Q39+T39+W39+Z39</f>
        <v>567</v>
      </c>
      <c r="H39" s="77">
        <v>44984</v>
      </c>
      <c r="I39" s="72" t="s">
        <v>3716</v>
      </c>
      <c r="J39" s="72" t="s">
        <v>3717</v>
      </c>
      <c r="K39" s="72" t="s">
        <v>2100</v>
      </c>
      <c r="L39" s="72" t="s">
        <v>3716</v>
      </c>
      <c r="M39" s="72">
        <v>2014</v>
      </c>
      <c r="N39" s="72" t="s">
        <v>3715</v>
      </c>
      <c r="O39" s="72" t="s">
        <v>3714</v>
      </c>
      <c r="P39" s="76" t="s">
        <v>8</v>
      </c>
      <c r="Q39" s="76">
        <v>170</v>
      </c>
      <c r="R39" s="76" t="s">
        <v>3713</v>
      </c>
      <c r="S39" s="76" t="s">
        <v>18</v>
      </c>
      <c r="T39" s="76">
        <v>100</v>
      </c>
      <c r="U39" s="76" t="s">
        <v>3712</v>
      </c>
      <c r="V39" s="76" t="s">
        <v>7</v>
      </c>
      <c r="W39" s="76">
        <v>42</v>
      </c>
      <c r="X39" s="76" t="s">
        <v>3711</v>
      </c>
      <c r="Y39" s="76" t="s">
        <v>5</v>
      </c>
      <c r="Z39" s="76">
        <v>25</v>
      </c>
      <c r="AA39" s="76" t="s">
        <v>3710</v>
      </c>
      <c r="AB39" s="165" t="s">
        <v>6600</v>
      </c>
      <c r="AC39" s="165" t="s">
        <v>6603</v>
      </c>
      <c r="AD39" s="165" t="s">
        <v>6620</v>
      </c>
      <c r="AE39" s="25" t="s">
        <v>3709</v>
      </c>
      <c r="AF39" s="342">
        <v>9.7415000000000002E-2</v>
      </c>
      <c r="AG39" s="62">
        <v>0.1111111111111111</v>
      </c>
      <c r="AH39" s="343">
        <v>7.8823000000000004E-2</v>
      </c>
      <c r="AI39" s="341">
        <v>7.7777777777777779E-2</v>
      </c>
      <c r="AJ39" s="368">
        <f t="shared" si="0"/>
        <v>-0.1908535646461017</v>
      </c>
    </row>
    <row r="40" spans="1:36" s="176" customFormat="1">
      <c r="A40" s="72"/>
      <c r="B40" s="274" t="s">
        <v>883</v>
      </c>
      <c r="C40" s="275" t="s">
        <v>1691</v>
      </c>
      <c r="D40" s="325">
        <v>2100</v>
      </c>
      <c r="E40" s="274" t="s">
        <v>18</v>
      </c>
      <c r="F40" s="325">
        <v>200</v>
      </c>
      <c r="G40" s="325">
        <f>F40+Q40+T40</f>
        <v>305</v>
      </c>
      <c r="H40" s="27">
        <v>44377</v>
      </c>
      <c r="I40" s="274" t="s">
        <v>2694</v>
      </c>
      <c r="J40" s="274" t="s">
        <v>3744</v>
      </c>
      <c r="K40" s="12" t="s">
        <v>2045</v>
      </c>
      <c r="L40" s="12" t="s">
        <v>3743</v>
      </c>
      <c r="M40" s="12">
        <v>2016</v>
      </c>
      <c r="N40" s="12"/>
      <c r="O40" s="12" t="s">
        <v>3742</v>
      </c>
      <c r="P40" s="24" t="s">
        <v>7</v>
      </c>
      <c r="Q40" s="24">
        <v>75</v>
      </c>
      <c r="R40" s="24" t="s">
        <v>3741</v>
      </c>
      <c r="S40" s="24" t="s">
        <v>5</v>
      </c>
      <c r="T40" s="24">
        <v>30</v>
      </c>
      <c r="U40" s="24" t="s">
        <v>3740</v>
      </c>
      <c r="V40" s="24" t="s">
        <v>1</v>
      </c>
      <c r="W40" s="24" t="s">
        <v>1</v>
      </c>
      <c r="X40" s="24" t="s">
        <v>1</v>
      </c>
      <c r="Y40" s="24" t="s">
        <v>1</v>
      </c>
      <c r="Z40" s="24" t="s">
        <v>1</v>
      </c>
      <c r="AA40" s="24" t="s">
        <v>1</v>
      </c>
      <c r="AB40" s="12" t="s">
        <v>6600</v>
      </c>
      <c r="AC40" s="12" t="s">
        <v>6603</v>
      </c>
      <c r="AD40" s="12" t="s">
        <v>2362</v>
      </c>
      <c r="AE40" s="25" t="s">
        <v>4350</v>
      </c>
      <c r="AF40" s="342">
        <v>5.4670999999999997E-2</v>
      </c>
      <c r="AG40" s="62">
        <v>9.4444444444444442E-2</v>
      </c>
      <c r="AH40" s="343">
        <v>6.5806000000000003E-2</v>
      </c>
      <c r="AI40" s="345">
        <v>3.2638888888888891E-2</v>
      </c>
      <c r="AJ40" s="368">
        <f t="shared" si="0"/>
        <v>0.20367287958881319</v>
      </c>
    </row>
    <row r="41" spans="1:36">
      <c r="B41" s="274" t="s">
        <v>3655</v>
      </c>
      <c r="C41" s="275" t="s">
        <v>1691</v>
      </c>
      <c r="D41" s="325">
        <v>2000</v>
      </c>
      <c r="E41" s="274" t="s">
        <v>5</v>
      </c>
      <c r="F41" s="325">
        <v>150</v>
      </c>
      <c r="G41" s="325">
        <f>F41</f>
        <v>150</v>
      </c>
      <c r="H41" s="326">
        <v>45008</v>
      </c>
      <c r="I41" s="274" t="s">
        <v>935</v>
      </c>
      <c r="J41" s="274" t="s">
        <v>3654</v>
      </c>
      <c r="K41" s="12" t="s">
        <v>2308</v>
      </c>
      <c r="L41" s="12" t="s">
        <v>2467</v>
      </c>
      <c r="M41" s="12">
        <v>2021</v>
      </c>
      <c r="N41" s="264" t="s">
        <v>7941</v>
      </c>
      <c r="O41" s="72" t="s">
        <v>3653</v>
      </c>
      <c r="P41" s="76" t="s">
        <v>4</v>
      </c>
      <c r="Q41" s="76" t="s">
        <v>1</v>
      </c>
      <c r="R41" s="76" t="s">
        <v>3652</v>
      </c>
      <c r="S41" s="76" t="s">
        <v>1</v>
      </c>
      <c r="T41" s="76" t="s">
        <v>1</v>
      </c>
      <c r="U41" s="76" t="s">
        <v>1</v>
      </c>
      <c r="V41" s="76" t="s">
        <v>1</v>
      </c>
      <c r="W41" s="76" t="s">
        <v>1</v>
      </c>
      <c r="X41" s="76" t="s">
        <v>1</v>
      </c>
      <c r="Y41" s="76" t="s">
        <v>1</v>
      </c>
      <c r="Z41" s="76" t="s">
        <v>1</v>
      </c>
      <c r="AA41" s="76" t="s">
        <v>1</v>
      </c>
      <c r="AB41" s="264" t="s">
        <v>6600</v>
      </c>
      <c r="AC41" s="264" t="s">
        <v>6603</v>
      </c>
      <c r="AD41" s="264" t="s">
        <v>6617</v>
      </c>
      <c r="AE41" s="25" t="s">
        <v>5015</v>
      </c>
      <c r="AF41" s="63">
        <v>180.9</v>
      </c>
      <c r="AG41" s="67" t="s">
        <v>5016</v>
      </c>
      <c r="AH41" s="63">
        <v>172.6</v>
      </c>
      <c r="AI41" s="67" t="s">
        <v>8895</v>
      </c>
      <c r="AJ41" s="368">
        <f t="shared" si="0"/>
        <v>-4.5881702598120522E-2</v>
      </c>
    </row>
    <row r="42" spans="1:36">
      <c r="B42" s="12" t="s">
        <v>3213</v>
      </c>
      <c r="C42" s="29" t="s">
        <v>1691</v>
      </c>
      <c r="D42" s="15">
        <v>2000</v>
      </c>
      <c r="E42" s="12" t="s">
        <v>1</v>
      </c>
      <c r="F42" s="15">
        <v>18.5</v>
      </c>
      <c r="G42" s="74">
        <f>+F42</f>
        <v>18.5</v>
      </c>
      <c r="H42" s="14">
        <v>45063</v>
      </c>
      <c r="I42" s="12" t="s">
        <v>3212</v>
      </c>
      <c r="J42" s="12" t="s">
        <v>3211</v>
      </c>
      <c r="K42" s="12" t="s">
        <v>2569</v>
      </c>
      <c r="L42" s="72" t="s">
        <v>2524</v>
      </c>
      <c r="M42" s="83">
        <v>44652</v>
      </c>
      <c r="N42" s="264" t="s">
        <v>7942</v>
      </c>
      <c r="O42" s="34" t="s">
        <v>5430</v>
      </c>
      <c r="P42" s="76" t="s">
        <v>4</v>
      </c>
      <c r="Q42" s="76" t="s">
        <v>1</v>
      </c>
      <c r="R42" s="76" t="s">
        <v>3210</v>
      </c>
      <c r="S42" s="76" t="s">
        <v>4</v>
      </c>
      <c r="T42" s="76">
        <v>2</v>
      </c>
      <c r="U42" s="76" t="s">
        <v>3209</v>
      </c>
      <c r="V42" s="76" t="s">
        <v>1</v>
      </c>
      <c r="W42" s="76" t="s">
        <v>1</v>
      </c>
      <c r="X42" s="76" t="s">
        <v>1</v>
      </c>
      <c r="Y42" s="76" t="s">
        <v>1</v>
      </c>
      <c r="Z42" s="76" t="s">
        <v>1</v>
      </c>
      <c r="AA42" s="76" t="s">
        <v>1</v>
      </c>
      <c r="AB42" s="72" t="s">
        <v>2055</v>
      </c>
      <c r="AE42" s="25" t="s">
        <v>5133</v>
      </c>
      <c r="AF42" s="63">
        <v>8.4960000000000004</v>
      </c>
      <c r="AG42" s="68">
        <v>0.23750000000000002</v>
      </c>
      <c r="AH42" s="63">
        <v>17.39</v>
      </c>
      <c r="AI42" s="68">
        <v>0.21944444444444444</v>
      </c>
      <c r="AJ42" s="368">
        <f t="shared" si="0"/>
        <v>1.0468455743879472</v>
      </c>
    </row>
    <row r="43" spans="1:36">
      <c r="B43" s="72" t="s">
        <v>2129</v>
      </c>
      <c r="C43" s="73" t="s">
        <v>1691</v>
      </c>
      <c r="D43" s="74">
        <v>2000</v>
      </c>
      <c r="E43" s="72" t="s">
        <v>7</v>
      </c>
      <c r="F43" s="74">
        <f>147*1.2</f>
        <v>176.4</v>
      </c>
      <c r="G43" s="74">
        <f>F43+Q43+T43+W43</f>
        <v>219.4</v>
      </c>
      <c r="H43" s="77">
        <v>44578</v>
      </c>
      <c r="I43" s="72" t="s">
        <v>4388</v>
      </c>
      <c r="J43" s="72" t="s">
        <v>4385</v>
      </c>
      <c r="K43" s="72" t="s">
        <v>4387</v>
      </c>
      <c r="L43" s="72" t="s">
        <v>2115</v>
      </c>
      <c r="M43" s="72">
        <v>2017</v>
      </c>
      <c r="O43" s="385" t="s">
        <v>4389</v>
      </c>
      <c r="P43" s="76" t="s">
        <v>5</v>
      </c>
      <c r="Q43" s="76">
        <v>20</v>
      </c>
      <c r="R43" s="76" t="s">
        <v>4395</v>
      </c>
      <c r="S43" s="76" t="s">
        <v>5</v>
      </c>
      <c r="T43" s="76">
        <v>20</v>
      </c>
      <c r="U43" s="76" t="s">
        <v>4397</v>
      </c>
      <c r="V43" s="76" t="s">
        <v>4</v>
      </c>
      <c r="W43" s="76">
        <v>3</v>
      </c>
      <c r="X43" s="76" t="s">
        <v>4398</v>
      </c>
      <c r="Y43" s="76" t="s">
        <v>1</v>
      </c>
      <c r="Z43" s="76" t="s">
        <v>1</v>
      </c>
      <c r="AA43" s="76" t="s">
        <v>1</v>
      </c>
      <c r="AB43" s="165" t="s">
        <v>6625</v>
      </c>
      <c r="AD43" s="165" t="s">
        <v>2094</v>
      </c>
      <c r="AE43" s="25" t="s">
        <v>2128</v>
      </c>
      <c r="AF43" s="350">
        <v>4.0629999999999999E-2</v>
      </c>
      <c r="AG43" s="62">
        <v>0.11875000000000001</v>
      </c>
      <c r="AH43" s="350">
        <v>2.5971999999999999E-2</v>
      </c>
      <c r="AI43" s="62">
        <v>5.0694444444444445E-2</v>
      </c>
      <c r="AJ43" s="368">
        <f t="shared" si="0"/>
        <v>-0.36076790548855531</v>
      </c>
    </row>
    <row r="44" spans="1:36">
      <c r="B44" s="72" t="s">
        <v>2134</v>
      </c>
      <c r="C44" s="73" t="s">
        <v>1691</v>
      </c>
      <c r="D44" s="74">
        <v>2000</v>
      </c>
      <c r="E44" s="72" t="s">
        <v>8</v>
      </c>
      <c r="F44" s="74">
        <v>220</v>
      </c>
      <c r="G44" s="74">
        <f>F44+Q44+T44</f>
        <v>520</v>
      </c>
      <c r="H44" s="27">
        <v>44287</v>
      </c>
      <c r="I44" s="72" t="s">
        <v>4319</v>
      </c>
      <c r="J44" s="72" t="s">
        <v>2133</v>
      </c>
      <c r="K44" s="72" t="s">
        <v>2100</v>
      </c>
      <c r="L44" s="72" t="s">
        <v>2115</v>
      </c>
      <c r="M44" s="72">
        <v>2016</v>
      </c>
      <c r="O44" s="72" t="s">
        <v>2132</v>
      </c>
      <c r="P44" s="76" t="s">
        <v>8</v>
      </c>
      <c r="Q44" s="76">
        <v>200</v>
      </c>
      <c r="R44" s="76" t="s">
        <v>4326</v>
      </c>
      <c r="S44" s="76" t="s">
        <v>18</v>
      </c>
      <c r="T44" s="76">
        <v>100</v>
      </c>
      <c r="U44" s="76" t="s">
        <v>4333</v>
      </c>
      <c r="V44" s="76" t="s">
        <v>5</v>
      </c>
      <c r="W44" s="76" t="s">
        <v>1</v>
      </c>
      <c r="X44" s="76" t="s">
        <v>4334</v>
      </c>
      <c r="Y44" s="76" t="s">
        <v>4</v>
      </c>
      <c r="Z44" s="76" t="s">
        <v>1</v>
      </c>
      <c r="AA44" s="76" t="s">
        <v>4335</v>
      </c>
      <c r="AB44" s="165" t="s">
        <v>6600</v>
      </c>
      <c r="AC44" s="165" t="s">
        <v>6603</v>
      </c>
      <c r="AD44" s="165" t="s">
        <v>6623</v>
      </c>
      <c r="AE44" s="25" t="s">
        <v>2131</v>
      </c>
      <c r="AF44" s="350">
        <v>1.7038000000000001E-2</v>
      </c>
      <c r="AG44" s="62">
        <v>0.13749999999999998</v>
      </c>
      <c r="AH44" s="350">
        <v>0.11534899999999999</v>
      </c>
      <c r="AI44" s="356" t="s">
        <v>8910</v>
      </c>
      <c r="AJ44" s="368">
        <f t="shared" si="0"/>
        <v>5.7701021246625182</v>
      </c>
    </row>
    <row r="45" spans="1:36">
      <c r="B45" s="72" t="s">
        <v>3726</v>
      </c>
      <c r="C45" s="73" t="s">
        <v>1691</v>
      </c>
      <c r="D45" s="74">
        <v>2000</v>
      </c>
      <c r="E45" s="72" t="s">
        <v>7</v>
      </c>
      <c r="F45" s="74">
        <v>138</v>
      </c>
      <c r="G45" s="74">
        <f>F45</f>
        <v>138</v>
      </c>
      <c r="H45" s="77">
        <v>44872</v>
      </c>
      <c r="I45" s="72" t="s">
        <v>3725</v>
      </c>
      <c r="K45" s="72" t="s">
        <v>2045</v>
      </c>
      <c r="L45" s="72" t="s">
        <v>3281</v>
      </c>
      <c r="M45" s="72">
        <v>2014</v>
      </c>
      <c r="N45" s="72" t="s">
        <v>3724</v>
      </c>
      <c r="O45" s="72" t="s">
        <v>1</v>
      </c>
      <c r="P45" s="76" t="s">
        <v>5</v>
      </c>
      <c r="Q45" s="76" t="s">
        <v>1</v>
      </c>
      <c r="R45" s="76" t="s">
        <v>3723</v>
      </c>
      <c r="AB45" s="165" t="s">
        <v>6601</v>
      </c>
      <c r="AD45" s="165" t="s">
        <v>6616</v>
      </c>
      <c r="AE45" s="72" t="s">
        <v>8948</v>
      </c>
      <c r="AF45" s="350" t="s">
        <v>7145</v>
      </c>
      <c r="AG45" s="353" t="s">
        <v>7145</v>
      </c>
      <c r="AH45" s="348">
        <v>9.5416000000000001E-2</v>
      </c>
      <c r="AI45" s="341">
        <v>0.36875000000000002</v>
      </c>
      <c r="AJ45" s="368"/>
    </row>
    <row r="46" spans="1:36" s="176" customFormat="1">
      <c r="A46" s="72"/>
      <c r="B46" s="72" t="s">
        <v>2092</v>
      </c>
      <c r="C46" s="73" t="s">
        <v>1691</v>
      </c>
      <c r="D46" s="74">
        <v>2000</v>
      </c>
      <c r="E46" s="72" t="s">
        <v>8</v>
      </c>
      <c r="F46" s="74">
        <v>50</v>
      </c>
      <c r="G46" s="74">
        <f>F46+Q46+T46+W46+Z46</f>
        <v>120.69999999999999</v>
      </c>
      <c r="H46" s="77">
        <v>44307</v>
      </c>
      <c r="I46" s="91" t="s">
        <v>5406</v>
      </c>
      <c r="J46" s="91" t="s">
        <v>5403</v>
      </c>
      <c r="K46" s="72" t="s">
        <v>2045</v>
      </c>
      <c r="L46" s="72" t="s">
        <v>2056</v>
      </c>
      <c r="M46" s="72">
        <v>2013</v>
      </c>
      <c r="N46" s="72"/>
      <c r="O46" s="91" t="s">
        <v>5405</v>
      </c>
      <c r="P46" s="93" t="s">
        <v>18</v>
      </c>
      <c r="Q46" s="76">
        <v>37</v>
      </c>
      <c r="R46" s="93" t="s">
        <v>5410</v>
      </c>
      <c r="S46" s="93" t="s">
        <v>7</v>
      </c>
      <c r="T46" s="76">
        <v>13.5</v>
      </c>
      <c r="U46" s="93" t="s">
        <v>5415</v>
      </c>
      <c r="V46" s="93" t="s">
        <v>5</v>
      </c>
      <c r="W46" s="76">
        <v>18.100000000000001</v>
      </c>
      <c r="X46" s="93" t="s">
        <v>5414</v>
      </c>
      <c r="Y46" s="93" t="s">
        <v>4</v>
      </c>
      <c r="Z46" s="76">
        <v>2.1</v>
      </c>
      <c r="AA46" s="93" t="s">
        <v>1130</v>
      </c>
      <c r="AB46" s="165" t="s">
        <v>6600</v>
      </c>
      <c r="AC46" s="165" t="s">
        <v>6603</v>
      </c>
      <c r="AD46" s="165" t="s">
        <v>2362</v>
      </c>
      <c r="AE46" s="25" t="s">
        <v>2091</v>
      </c>
      <c r="AF46" s="350" t="s">
        <v>7145</v>
      </c>
      <c r="AG46" s="353" t="s">
        <v>7145</v>
      </c>
      <c r="AH46" s="343">
        <v>9.3572000000000002E-2</v>
      </c>
      <c r="AI46" s="356" t="s">
        <v>8911</v>
      </c>
      <c r="AJ46" s="368"/>
    </row>
    <row r="47" spans="1:36">
      <c r="B47" s="72" t="s">
        <v>3722</v>
      </c>
      <c r="C47" s="73" t="s">
        <v>1691</v>
      </c>
      <c r="D47" s="74">
        <v>2000</v>
      </c>
      <c r="E47" s="72" t="s">
        <v>18</v>
      </c>
      <c r="F47" s="74">
        <v>50</v>
      </c>
      <c r="G47" s="74">
        <f>F47+Q47+T47</f>
        <v>225</v>
      </c>
      <c r="H47" s="27">
        <v>44380</v>
      </c>
      <c r="J47" s="72" t="s">
        <v>3721</v>
      </c>
      <c r="K47" s="72" t="s">
        <v>2308</v>
      </c>
      <c r="L47" s="72" t="s">
        <v>2290</v>
      </c>
      <c r="M47" s="72">
        <v>2014</v>
      </c>
      <c r="O47" s="72" t="s">
        <v>3720</v>
      </c>
      <c r="P47" s="76" t="s">
        <v>7</v>
      </c>
      <c r="Q47" s="76">
        <v>150</v>
      </c>
      <c r="R47" s="76" t="s">
        <v>3719</v>
      </c>
      <c r="S47" s="76" t="s">
        <v>5</v>
      </c>
      <c r="T47" s="76">
        <f>150/6</f>
        <v>25</v>
      </c>
      <c r="U47" s="76" t="s">
        <v>3718</v>
      </c>
      <c r="V47" s="76" t="s">
        <v>1</v>
      </c>
      <c r="W47" s="76" t="s">
        <v>1</v>
      </c>
      <c r="X47" s="76" t="s">
        <v>1</v>
      </c>
      <c r="Y47" s="76" t="s">
        <v>1</v>
      </c>
      <c r="Z47" s="76" t="s">
        <v>1</v>
      </c>
      <c r="AA47" s="76" t="s">
        <v>1</v>
      </c>
      <c r="AB47" s="165" t="s">
        <v>6601</v>
      </c>
      <c r="AD47" s="165" t="s">
        <v>3487</v>
      </c>
      <c r="AE47" s="25" t="s">
        <v>5035</v>
      </c>
      <c r="AF47" s="351">
        <v>0</v>
      </c>
      <c r="AG47" s="354">
        <v>0.11805555555555557</v>
      </c>
      <c r="AH47" s="351">
        <v>0</v>
      </c>
      <c r="AI47" s="354">
        <v>3.6805555555555557E-2</v>
      </c>
      <c r="AJ47" s="368"/>
    </row>
    <row r="48" spans="1:36">
      <c r="B48" s="72" t="s">
        <v>208</v>
      </c>
      <c r="C48" s="73" t="s">
        <v>1691</v>
      </c>
      <c r="D48" s="79">
        <v>2000</v>
      </c>
      <c r="E48" s="72" t="s">
        <v>8</v>
      </c>
      <c r="F48" s="74">
        <v>676</v>
      </c>
      <c r="G48" s="74">
        <f>F48+Q48+T48</f>
        <v>1076</v>
      </c>
      <c r="H48" s="27">
        <v>44299</v>
      </c>
      <c r="I48" s="72" t="s">
        <v>3865</v>
      </c>
      <c r="J48" s="72" t="s">
        <v>3864</v>
      </c>
      <c r="K48" s="72" t="s">
        <v>2045</v>
      </c>
      <c r="L48" s="72" t="s">
        <v>2850</v>
      </c>
      <c r="M48" s="72">
        <v>2017</v>
      </c>
      <c r="N48" s="204" t="s">
        <v>7124</v>
      </c>
      <c r="O48" s="72" t="s">
        <v>3863</v>
      </c>
      <c r="P48" s="76" t="s">
        <v>3862</v>
      </c>
      <c r="Q48" s="76">
        <v>250</v>
      </c>
      <c r="R48" s="76" t="s">
        <v>3861</v>
      </c>
      <c r="S48" s="76" t="s">
        <v>7</v>
      </c>
      <c r="T48" s="76">
        <v>150</v>
      </c>
      <c r="U48" s="76" t="s">
        <v>3860</v>
      </c>
      <c r="V48" s="76" t="s">
        <v>5</v>
      </c>
      <c r="W48" s="76">
        <v>56</v>
      </c>
      <c r="X48" s="76" t="s">
        <v>3859</v>
      </c>
      <c r="Y48" s="76" t="s">
        <v>4</v>
      </c>
      <c r="Z48" s="76">
        <v>2</v>
      </c>
      <c r="AA48" s="76" t="s">
        <v>1107</v>
      </c>
      <c r="AB48" s="165" t="s">
        <v>6600</v>
      </c>
      <c r="AC48" s="165" t="s">
        <v>6603</v>
      </c>
      <c r="AD48" s="165" t="s">
        <v>6610</v>
      </c>
      <c r="AE48" s="25" t="s">
        <v>3858</v>
      </c>
      <c r="AF48" s="350">
        <v>1.1689E-2</v>
      </c>
      <c r="AG48" s="355">
        <v>0.14444444444444446</v>
      </c>
      <c r="AH48" s="350">
        <v>4.5151999999999998E-2</v>
      </c>
      <c r="AI48" s="356" t="s">
        <v>8912</v>
      </c>
      <c r="AJ48" s="368">
        <f t="shared" si="0"/>
        <v>2.8627769698006671</v>
      </c>
    </row>
    <row r="49" spans="1:36">
      <c r="B49" s="72" t="s">
        <v>3708</v>
      </c>
      <c r="C49" s="73" t="s">
        <v>1691</v>
      </c>
      <c r="D49" s="74">
        <v>1900</v>
      </c>
      <c r="E49" s="72" t="s">
        <v>9</v>
      </c>
      <c r="F49" s="74">
        <v>220</v>
      </c>
      <c r="G49" s="74">
        <f>F49+Q49+T49+W49+Z49</f>
        <v>396.8</v>
      </c>
      <c r="H49" s="77">
        <v>44357</v>
      </c>
      <c r="I49" s="72" t="s">
        <v>3707</v>
      </c>
      <c r="J49" s="72" t="s">
        <v>3706</v>
      </c>
      <c r="K49" s="72" t="s">
        <v>2045</v>
      </c>
      <c r="L49" s="72" t="s">
        <v>2126</v>
      </c>
      <c r="M49" s="72">
        <v>2016</v>
      </c>
      <c r="O49" s="385" t="s">
        <v>3705</v>
      </c>
      <c r="P49" s="76" t="s">
        <v>8</v>
      </c>
      <c r="Q49" s="76">
        <v>125</v>
      </c>
      <c r="R49" s="76" t="s">
        <v>3704</v>
      </c>
      <c r="S49" s="76" t="s">
        <v>18</v>
      </c>
      <c r="T49" s="76">
        <v>28</v>
      </c>
      <c r="U49" s="76" t="s">
        <v>3703</v>
      </c>
      <c r="V49" s="76" t="s">
        <v>7</v>
      </c>
      <c r="W49" s="76">
        <v>18</v>
      </c>
      <c r="X49" s="76" t="s">
        <v>3702</v>
      </c>
      <c r="Y49" s="76" t="s">
        <v>5</v>
      </c>
      <c r="Z49" s="76">
        <v>5.8</v>
      </c>
      <c r="AA49" s="76" t="s">
        <v>1</v>
      </c>
      <c r="AB49" s="165" t="s">
        <v>6600</v>
      </c>
      <c r="AC49" s="165" t="s">
        <v>6603</v>
      </c>
      <c r="AD49" s="165" t="s">
        <v>6618</v>
      </c>
      <c r="AE49" s="25" t="s">
        <v>3701</v>
      </c>
      <c r="AF49" s="350">
        <v>6.0490000000000004</v>
      </c>
      <c r="AG49" s="355">
        <v>0.11319444444444444</v>
      </c>
      <c r="AH49" s="350">
        <v>5.0869999999999997</v>
      </c>
      <c r="AI49" s="355">
        <v>0.10902777777777778</v>
      </c>
      <c r="AJ49" s="368">
        <f t="shared" si="0"/>
        <v>-0.15903455116548204</v>
      </c>
    </row>
    <row r="50" spans="1:36">
      <c r="B50" s="72" t="s">
        <v>47</v>
      </c>
      <c r="C50" s="73" t="s">
        <v>1691</v>
      </c>
      <c r="D50" s="79">
        <v>1500</v>
      </c>
      <c r="E50" s="72" t="s">
        <v>53</v>
      </c>
      <c r="F50" s="74">
        <v>100</v>
      </c>
      <c r="H50" s="27">
        <v>44515</v>
      </c>
      <c r="J50" s="72" t="s">
        <v>3845</v>
      </c>
      <c r="K50" s="72" t="s">
        <v>2045</v>
      </c>
      <c r="L50" s="72" t="s">
        <v>2071</v>
      </c>
      <c r="M50" s="72">
        <v>2012</v>
      </c>
      <c r="N50" s="204" t="s">
        <v>7125</v>
      </c>
      <c r="O50" s="385" t="s">
        <v>3844</v>
      </c>
      <c r="P50" s="76" t="s">
        <v>9</v>
      </c>
      <c r="Q50" s="76" t="s">
        <v>3843</v>
      </c>
      <c r="R50" s="76" t="s">
        <v>3842</v>
      </c>
      <c r="S50" s="76" t="s">
        <v>8</v>
      </c>
      <c r="T50" s="76" t="s">
        <v>3841</v>
      </c>
      <c r="U50" s="76" t="s">
        <v>3840</v>
      </c>
      <c r="V50" s="76" t="s">
        <v>18</v>
      </c>
      <c r="W50" s="76">
        <v>60</v>
      </c>
      <c r="X50" s="76" t="s">
        <v>3839</v>
      </c>
      <c r="Y50" s="76" t="s">
        <v>18</v>
      </c>
      <c r="Z50" s="76">
        <v>50</v>
      </c>
      <c r="AA50" s="76" t="s">
        <v>3838</v>
      </c>
      <c r="AB50" s="165" t="s">
        <v>6600</v>
      </c>
      <c r="AC50" s="165" t="s">
        <v>6603</v>
      </c>
      <c r="AD50" s="165" t="s">
        <v>6611</v>
      </c>
      <c r="AE50" s="25" t="s">
        <v>3837</v>
      </c>
      <c r="AF50" s="350">
        <v>0.24010600000000001</v>
      </c>
      <c r="AG50" s="355">
        <v>0.30833333333333335</v>
      </c>
      <c r="AH50" s="350">
        <v>0.297954</v>
      </c>
      <c r="AI50" s="355">
        <v>0.37013888888888891</v>
      </c>
      <c r="AJ50" s="368">
        <f t="shared" si="0"/>
        <v>0.24092692394192561</v>
      </c>
    </row>
    <row r="51" spans="1:36">
      <c r="B51" s="72" t="s">
        <v>80</v>
      </c>
      <c r="C51" s="73" t="s">
        <v>1691</v>
      </c>
      <c r="D51" s="74">
        <v>1500</v>
      </c>
      <c r="E51" s="264" t="s">
        <v>8</v>
      </c>
      <c r="F51" s="74">
        <v>333.33333333333331</v>
      </c>
      <c r="G51" s="74">
        <f>F51+T51+W51+Z51+Q51</f>
        <v>781.90476190476193</v>
      </c>
      <c r="H51" s="77">
        <v>45197</v>
      </c>
      <c r="I51" s="72" t="s">
        <v>2372</v>
      </c>
      <c r="J51" s="72" t="s">
        <v>3676</v>
      </c>
      <c r="K51" s="72" t="s">
        <v>2045</v>
      </c>
      <c r="L51" s="72" t="s">
        <v>2100</v>
      </c>
      <c r="M51" s="72">
        <v>2018</v>
      </c>
      <c r="O51" s="385" t="s">
        <v>7937</v>
      </c>
      <c r="P51" s="267" t="s">
        <v>18</v>
      </c>
      <c r="Q51" s="76">
        <v>257</v>
      </c>
      <c r="R51" s="72" t="s">
        <v>3675</v>
      </c>
      <c r="S51" s="76" t="s">
        <v>7</v>
      </c>
      <c r="T51" s="76">
        <v>100</v>
      </c>
      <c r="U51" s="76" t="s">
        <v>3674</v>
      </c>
      <c r="V51" s="76" t="s">
        <v>5</v>
      </c>
      <c r="W51" s="76">
        <v>43</v>
      </c>
      <c r="X51" s="76" t="s">
        <v>3673</v>
      </c>
      <c r="Y51" s="76" t="s">
        <v>4</v>
      </c>
      <c r="Z51" s="80">
        <f>340/7</f>
        <v>48.571428571428569</v>
      </c>
      <c r="AA51" s="76" t="s">
        <v>3672</v>
      </c>
      <c r="AB51" s="264" t="s">
        <v>6601</v>
      </c>
      <c r="AD51" s="264" t="s">
        <v>3487</v>
      </c>
      <c r="AE51" s="25" t="s">
        <v>3671</v>
      </c>
      <c r="AF51" s="350">
        <v>1.1807E-2</v>
      </c>
      <c r="AG51" s="355">
        <v>0.10486111111111111</v>
      </c>
      <c r="AH51" s="350">
        <v>5.0000000000000001E-3</v>
      </c>
      <c r="AI51" s="355">
        <v>5.1388888888888887E-2</v>
      </c>
      <c r="AJ51" s="368">
        <f t="shared" si="0"/>
        <v>-0.57652240196493598</v>
      </c>
    </row>
    <row r="52" spans="1:36">
      <c r="B52" s="72" t="s">
        <v>763</v>
      </c>
      <c r="C52" s="73" t="s">
        <v>1691</v>
      </c>
      <c r="D52" s="74">
        <v>1500</v>
      </c>
      <c r="E52" s="72" t="s">
        <v>5</v>
      </c>
      <c r="F52" s="74">
        <v>125</v>
      </c>
      <c r="G52" s="74">
        <f>F52+Q52+T52</f>
        <v>132</v>
      </c>
      <c r="H52" s="77">
        <v>44852</v>
      </c>
      <c r="I52" s="72" t="s">
        <v>2556</v>
      </c>
      <c r="J52" s="72" t="s">
        <v>3700</v>
      </c>
      <c r="K52" s="72" t="s">
        <v>2308</v>
      </c>
      <c r="L52" s="72" t="s">
        <v>2698</v>
      </c>
      <c r="M52" s="72">
        <v>2021</v>
      </c>
      <c r="N52" s="264" t="s">
        <v>7931</v>
      </c>
      <c r="O52" s="385" t="s">
        <v>3699</v>
      </c>
      <c r="P52" s="76" t="s">
        <v>4</v>
      </c>
      <c r="Q52" s="76">
        <v>6</v>
      </c>
      <c r="R52" s="76" t="s">
        <v>3698</v>
      </c>
      <c r="S52" s="76" t="s">
        <v>278</v>
      </c>
      <c r="T52" s="76">
        <v>1</v>
      </c>
      <c r="U52" s="76" t="s">
        <v>3697</v>
      </c>
      <c r="V52" s="76" t="s">
        <v>1</v>
      </c>
      <c r="W52" s="76" t="s">
        <v>1</v>
      </c>
      <c r="X52" s="76" t="s">
        <v>1</v>
      </c>
      <c r="Y52" s="76" t="s">
        <v>1</v>
      </c>
      <c r="Z52" s="76" t="s">
        <v>1</v>
      </c>
      <c r="AA52" s="76" t="s">
        <v>1</v>
      </c>
      <c r="AB52" s="165" t="s">
        <v>6626</v>
      </c>
      <c r="AD52" s="165" t="s">
        <v>3696</v>
      </c>
      <c r="AE52" s="25" t="s">
        <v>5032</v>
      </c>
      <c r="AF52" s="351">
        <v>3.9180000000000001</v>
      </c>
      <c r="AG52" s="354">
        <v>0.1673611111111111</v>
      </c>
      <c r="AH52" s="351">
        <v>2.1739999999999999</v>
      </c>
      <c r="AI52" s="354">
        <v>0.20833333333333334</v>
      </c>
      <c r="AJ52" s="368">
        <f t="shared" si="0"/>
        <v>-0.44512506380806538</v>
      </c>
    </row>
    <row r="53" spans="1:36">
      <c r="B53" s="72" t="s">
        <v>57</v>
      </c>
      <c r="C53" s="73" t="s">
        <v>1691</v>
      </c>
      <c r="D53" s="74">
        <v>1500</v>
      </c>
      <c r="E53" s="72" t="s">
        <v>8</v>
      </c>
      <c r="F53" s="74">
        <v>250</v>
      </c>
      <c r="G53" s="74">
        <f>F53+Q53</f>
        <v>350</v>
      </c>
      <c r="H53" s="77">
        <v>45069</v>
      </c>
      <c r="I53" s="72" t="s">
        <v>3695</v>
      </c>
      <c r="J53" s="72" t="s">
        <v>3694</v>
      </c>
      <c r="K53" s="72" t="s">
        <v>2045</v>
      </c>
      <c r="L53" s="72" t="s">
        <v>2237</v>
      </c>
      <c r="M53" s="72">
        <v>2016</v>
      </c>
      <c r="N53" s="72" t="s">
        <v>3693</v>
      </c>
      <c r="O53" s="385" t="s">
        <v>3692</v>
      </c>
      <c r="P53" s="76" t="s">
        <v>18</v>
      </c>
      <c r="Q53" s="76">
        <v>100</v>
      </c>
      <c r="R53" s="76" t="s">
        <v>3691</v>
      </c>
      <c r="S53" s="76" t="s">
        <v>7</v>
      </c>
      <c r="T53" s="76" t="s">
        <v>1</v>
      </c>
      <c r="U53" s="76" t="s">
        <v>3690</v>
      </c>
      <c r="V53" s="76" t="s">
        <v>5</v>
      </c>
      <c r="W53" s="76">
        <v>29.5</v>
      </c>
      <c r="X53" s="76" t="s">
        <v>3689</v>
      </c>
      <c r="Y53" s="76" t="s">
        <v>1</v>
      </c>
      <c r="Z53" s="76" t="s">
        <v>1</v>
      </c>
      <c r="AA53" s="76" t="s">
        <v>1</v>
      </c>
      <c r="AB53" s="264" t="s">
        <v>6625</v>
      </c>
      <c r="AD53" s="264" t="s">
        <v>2094</v>
      </c>
      <c r="AE53" s="25" t="s">
        <v>3688</v>
      </c>
      <c r="AF53" s="350">
        <v>0.60908600000000002</v>
      </c>
      <c r="AG53" s="355">
        <v>0.31597222222222221</v>
      </c>
      <c r="AH53" s="350">
        <v>0.37791599999999997</v>
      </c>
      <c r="AI53" s="355">
        <v>0.24722222222222223</v>
      </c>
      <c r="AJ53" s="368">
        <f t="shared" si="0"/>
        <v>-0.37953589476691307</v>
      </c>
    </row>
    <row r="54" spans="1:36">
      <c r="B54" s="12" t="s">
        <v>957</v>
      </c>
      <c r="C54" s="29" t="s">
        <v>1691</v>
      </c>
      <c r="D54" s="15">
        <v>1400</v>
      </c>
      <c r="E54" s="12" t="s">
        <v>1040</v>
      </c>
      <c r="F54" s="15">
        <v>141</v>
      </c>
      <c r="G54" s="15">
        <f>F54+Q54+T54+W54+Z54</f>
        <v>236.5</v>
      </c>
      <c r="H54" s="14">
        <v>45106</v>
      </c>
      <c r="I54" s="12" t="s">
        <v>2303</v>
      </c>
      <c r="J54" s="12" t="s">
        <v>3687</v>
      </c>
      <c r="K54" s="72" t="s">
        <v>2308</v>
      </c>
      <c r="L54" s="72" t="s">
        <v>2302</v>
      </c>
      <c r="M54" s="78">
        <v>43101</v>
      </c>
      <c r="N54" s="72" t="s">
        <v>4271</v>
      </c>
      <c r="O54" s="385" t="s">
        <v>7924</v>
      </c>
      <c r="P54" s="76" t="s">
        <v>18</v>
      </c>
      <c r="Q54" s="76">
        <v>50</v>
      </c>
      <c r="R54" s="76" t="s">
        <v>3686</v>
      </c>
      <c r="S54" s="76" t="s">
        <v>7</v>
      </c>
      <c r="T54" s="76">
        <v>35</v>
      </c>
      <c r="U54" s="76" t="s">
        <v>3685</v>
      </c>
      <c r="V54" s="76" t="s">
        <v>5</v>
      </c>
      <c r="W54" s="76">
        <v>8.5</v>
      </c>
      <c r="X54" s="76" t="s">
        <v>3684</v>
      </c>
      <c r="Y54" s="76" t="s">
        <v>4</v>
      </c>
      <c r="Z54" s="76">
        <v>2</v>
      </c>
      <c r="AA54" s="76" t="s">
        <v>3683</v>
      </c>
      <c r="AB54" s="264" t="s">
        <v>6600</v>
      </c>
      <c r="AC54" s="264" t="s">
        <v>6608</v>
      </c>
      <c r="AD54" s="264" t="s">
        <v>6608</v>
      </c>
      <c r="AE54" s="25" t="s">
        <v>5033</v>
      </c>
      <c r="AF54" s="351">
        <v>5.6790000000000003</v>
      </c>
      <c r="AG54" s="354">
        <v>0.16666666666666666</v>
      </c>
      <c r="AH54" s="351">
        <v>8.5350000000000001</v>
      </c>
      <c r="AI54" s="354">
        <v>0.15416666666666667</v>
      </c>
      <c r="AJ54" s="368">
        <f t="shared" si="0"/>
        <v>0.50290544109878499</v>
      </c>
    </row>
    <row r="55" spans="1:36">
      <c r="B55" s="72" t="s">
        <v>2127</v>
      </c>
      <c r="C55" s="73" t="s">
        <v>1691</v>
      </c>
      <c r="D55" s="74">
        <v>1300</v>
      </c>
      <c r="E55" s="72" t="s">
        <v>18</v>
      </c>
      <c r="F55" s="74">
        <v>200</v>
      </c>
      <c r="G55" s="74">
        <f>F55+Q55+T55</f>
        <v>253.3</v>
      </c>
      <c r="H55" s="77">
        <v>44557</v>
      </c>
      <c r="I55" s="72" t="s">
        <v>4452</v>
      </c>
      <c r="J55" s="72" t="s">
        <v>4451</v>
      </c>
      <c r="K55" s="72" t="s">
        <v>2045</v>
      </c>
      <c r="L55" s="72" t="s">
        <v>2126</v>
      </c>
      <c r="M55" s="72">
        <v>2016</v>
      </c>
      <c r="O55" s="385" t="s">
        <v>4453</v>
      </c>
      <c r="P55" s="76" t="s">
        <v>7</v>
      </c>
      <c r="Q55" s="76">
        <v>40</v>
      </c>
      <c r="R55" s="76" t="s">
        <v>4458</v>
      </c>
      <c r="S55" s="76" t="s">
        <v>5</v>
      </c>
      <c r="T55" s="76">
        <v>13.3</v>
      </c>
      <c r="U55" s="76" t="s">
        <v>1</v>
      </c>
      <c r="V55" s="76" t="s">
        <v>1</v>
      </c>
      <c r="W55" s="76" t="s">
        <v>1</v>
      </c>
      <c r="X55" s="76" t="s">
        <v>1</v>
      </c>
      <c r="Y55" s="76" t="s">
        <v>1</v>
      </c>
      <c r="Z55" s="76" t="s">
        <v>1</v>
      </c>
      <c r="AA55" s="76" t="s">
        <v>1</v>
      </c>
      <c r="AB55" s="264" t="s">
        <v>6600</v>
      </c>
      <c r="AC55" s="264" t="s">
        <v>7925</v>
      </c>
      <c r="AD55" s="264" t="s">
        <v>7926</v>
      </c>
      <c r="AE55" s="25" t="s">
        <v>2125</v>
      </c>
      <c r="AF55" s="350">
        <v>4.1040000000000001</v>
      </c>
      <c r="AG55" s="355">
        <v>0.13541666666666666</v>
      </c>
      <c r="AH55" s="350">
        <v>4.5380000000000003</v>
      </c>
      <c r="AI55" s="355">
        <v>0.14374999999999999</v>
      </c>
      <c r="AJ55" s="368">
        <f t="shared" si="0"/>
        <v>0.10575048732943482</v>
      </c>
    </row>
    <row r="56" spans="1:36">
      <c r="B56" s="72" t="s">
        <v>3529</v>
      </c>
      <c r="C56" s="73" t="s">
        <v>1691</v>
      </c>
      <c r="D56" s="74">
        <v>1300</v>
      </c>
      <c r="E56" s="264" t="s">
        <v>18</v>
      </c>
      <c r="F56" s="74">
        <v>53</v>
      </c>
      <c r="G56" s="74">
        <f>F56+Q56+T56+W56</f>
        <v>171.5</v>
      </c>
      <c r="H56" s="77">
        <v>45251</v>
      </c>
      <c r="I56" s="72" t="s">
        <v>3528</v>
      </c>
      <c r="J56" s="72" t="s">
        <v>3527</v>
      </c>
      <c r="K56" s="72" t="s">
        <v>2569</v>
      </c>
      <c r="L56" s="72" t="s">
        <v>3169</v>
      </c>
      <c r="M56" s="72">
        <v>2017</v>
      </c>
      <c r="N56" s="25" t="s">
        <v>3526</v>
      </c>
      <c r="O56" s="385" t="s">
        <v>7943</v>
      </c>
      <c r="P56" s="72" t="s">
        <v>7</v>
      </c>
      <c r="Q56" s="76">
        <v>64</v>
      </c>
      <c r="R56" s="34" t="s">
        <v>3525</v>
      </c>
      <c r="S56" s="76" t="s">
        <v>7</v>
      </c>
      <c r="T56" s="76">
        <v>20</v>
      </c>
      <c r="U56" s="76" t="s">
        <v>3524</v>
      </c>
      <c r="V56" s="76" t="s">
        <v>5</v>
      </c>
      <c r="W56" s="76">
        <v>34.5</v>
      </c>
      <c r="X56" s="76" t="s">
        <v>3523</v>
      </c>
      <c r="Y56" s="76" t="s">
        <v>4</v>
      </c>
      <c r="Z56" s="76" t="s">
        <v>1</v>
      </c>
      <c r="AA56" s="76" t="s">
        <v>3523</v>
      </c>
      <c r="AB56" s="264" t="s">
        <v>6760</v>
      </c>
      <c r="AD56" s="264" t="s">
        <v>2851</v>
      </c>
      <c r="AE56" s="25" t="s">
        <v>5057</v>
      </c>
      <c r="AF56" s="351">
        <v>0.31137399999999998</v>
      </c>
      <c r="AG56" s="354">
        <v>5.7638888888888885E-2</v>
      </c>
      <c r="AH56" s="351">
        <v>0.249309</v>
      </c>
      <c r="AI56" s="354">
        <v>9.583333333333334E-2</v>
      </c>
      <c r="AJ56" s="368">
        <f t="shared" si="0"/>
        <v>-0.1993262122078272</v>
      </c>
    </row>
    <row r="57" spans="1:36" s="274" customFormat="1">
      <c r="B57" s="274" t="s">
        <v>9426</v>
      </c>
      <c r="C57" s="275" t="s">
        <v>1691</v>
      </c>
      <c r="D57" s="325">
        <v>1250</v>
      </c>
      <c r="E57" s="274" t="s">
        <v>7</v>
      </c>
      <c r="F57" s="325">
        <v>106</v>
      </c>
      <c r="G57" s="325">
        <f>+F57+Q57+T57</f>
        <v>228.5</v>
      </c>
      <c r="H57" s="326">
        <v>45364</v>
      </c>
      <c r="I57" s="274" t="s">
        <v>9432</v>
      </c>
      <c r="J57" s="274" t="s">
        <v>9427</v>
      </c>
      <c r="K57" s="274" t="s">
        <v>2045</v>
      </c>
      <c r="L57" s="274" t="s">
        <v>2389</v>
      </c>
      <c r="M57" s="327">
        <v>44723</v>
      </c>
      <c r="O57" s="385" t="s">
        <v>9433</v>
      </c>
      <c r="P57" s="274" t="s">
        <v>5</v>
      </c>
      <c r="Q57" s="274">
        <v>102.5</v>
      </c>
      <c r="R57" s="274" t="s">
        <v>9431</v>
      </c>
      <c r="S57" s="274" t="s">
        <v>4</v>
      </c>
      <c r="T57" s="336">
        <v>20</v>
      </c>
      <c r="U57" s="274" t="s">
        <v>9428</v>
      </c>
      <c r="V57" s="274" t="s">
        <v>1</v>
      </c>
      <c r="W57" s="274" t="s">
        <v>1</v>
      </c>
      <c r="X57" s="274" t="s">
        <v>1</v>
      </c>
      <c r="Y57" s="274" t="s">
        <v>1</v>
      </c>
      <c r="Z57" s="274" t="s">
        <v>1</v>
      </c>
      <c r="AA57" s="274" t="s">
        <v>1</v>
      </c>
    </row>
    <row r="58" spans="1:36" s="12" customFormat="1">
      <c r="A58" s="72"/>
      <c r="B58" s="274" t="s">
        <v>3662</v>
      </c>
      <c r="C58" s="275" t="s">
        <v>1691</v>
      </c>
      <c r="D58" s="325">
        <v>1200</v>
      </c>
      <c r="E58" s="274" t="s">
        <v>1040</v>
      </c>
      <c r="F58" s="325">
        <v>50</v>
      </c>
      <c r="G58" s="325">
        <f>F58+Q58+T58</f>
        <v>230</v>
      </c>
      <c r="H58" s="326">
        <v>45147</v>
      </c>
      <c r="I58" s="274" t="s">
        <v>3661</v>
      </c>
      <c r="J58" s="274" t="s">
        <v>3660</v>
      </c>
      <c r="K58" s="72" t="s">
        <v>2569</v>
      </c>
      <c r="L58" s="72" t="s">
        <v>2056</v>
      </c>
      <c r="M58" s="72">
        <v>2017</v>
      </c>
      <c r="N58" s="72" t="s">
        <v>3659</v>
      </c>
      <c r="O58" s="385" t="s">
        <v>7938</v>
      </c>
      <c r="P58" s="264" t="s">
        <v>18</v>
      </c>
      <c r="Q58" s="76">
        <v>135</v>
      </c>
      <c r="R58" s="72" t="s">
        <v>3658</v>
      </c>
      <c r="S58" s="76" t="s">
        <v>7</v>
      </c>
      <c r="T58" s="76">
        <v>45</v>
      </c>
      <c r="U58" s="76" t="s">
        <v>3657</v>
      </c>
      <c r="V58" s="76" t="s">
        <v>5</v>
      </c>
      <c r="W58" s="76">
        <v>5</v>
      </c>
      <c r="X58" s="76" t="s">
        <v>3656</v>
      </c>
      <c r="Y58" s="76" t="s">
        <v>1</v>
      </c>
      <c r="Z58" s="76" t="s">
        <v>1</v>
      </c>
      <c r="AA58" s="76" t="s">
        <v>1</v>
      </c>
      <c r="AB58" s="264" t="s">
        <v>6600</v>
      </c>
      <c r="AC58" s="264" t="s">
        <v>6603</v>
      </c>
      <c r="AD58" s="264" t="s">
        <v>2362</v>
      </c>
      <c r="AE58" s="25" t="s">
        <v>5037</v>
      </c>
      <c r="AF58" s="351">
        <v>1.5369999999999999</v>
      </c>
      <c r="AG58" s="354">
        <v>0.31875000000000003</v>
      </c>
      <c r="AH58" s="351">
        <v>1.7150000000000001</v>
      </c>
      <c r="AI58" s="354">
        <v>0.29444444444444445</v>
      </c>
      <c r="AJ58" s="368">
        <f t="shared" si="0"/>
        <v>0.11581001951854275</v>
      </c>
    </row>
    <row r="59" spans="1:36" s="274" customFormat="1">
      <c r="B59" s="274" t="s">
        <v>8309</v>
      </c>
      <c r="C59" s="275" t="s">
        <v>1691</v>
      </c>
      <c r="D59" s="325">
        <v>1200</v>
      </c>
      <c r="E59" s="274" t="s">
        <v>9</v>
      </c>
      <c r="F59" s="274">
        <v>65</v>
      </c>
      <c r="G59" s="274">
        <f>+F59+Q59+T59+W59+Z59</f>
        <v>183</v>
      </c>
      <c r="H59" s="327">
        <v>45125</v>
      </c>
      <c r="I59" s="274" t="s">
        <v>8896</v>
      </c>
      <c r="J59" s="274" t="s">
        <v>8898</v>
      </c>
      <c r="K59" s="274" t="s">
        <v>2045</v>
      </c>
      <c r="L59" s="274" t="s">
        <v>2332</v>
      </c>
      <c r="M59" s="274">
        <v>2014</v>
      </c>
      <c r="O59" s="385" t="s">
        <v>8899</v>
      </c>
      <c r="P59" s="274" t="s">
        <v>8</v>
      </c>
      <c r="Q59" s="274">
        <v>60</v>
      </c>
      <c r="R59" s="274" t="s">
        <v>8902</v>
      </c>
      <c r="S59" s="274" t="s">
        <v>18</v>
      </c>
      <c r="T59" s="336">
        <v>25</v>
      </c>
      <c r="U59" s="274" t="s">
        <v>8903</v>
      </c>
      <c r="V59" s="274" t="s">
        <v>7</v>
      </c>
      <c r="W59" s="274">
        <v>25</v>
      </c>
      <c r="X59" s="274" t="s">
        <v>8905</v>
      </c>
      <c r="Y59" s="274" t="s">
        <v>5</v>
      </c>
      <c r="Z59" s="274">
        <v>8</v>
      </c>
      <c r="AA59" s="274" t="s">
        <v>8906</v>
      </c>
      <c r="AB59" s="274" t="s">
        <v>6625</v>
      </c>
      <c r="AC59" s="274" t="s">
        <v>2094</v>
      </c>
      <c r="AD59" s="274" t="s">
        <v>2094</v>
      </c>
      <c r="AE59" s="25" t="s">
        <v>8897</v>
      </c>
      <c r="AF59" s="352" t="s">
        <v>7145</v>
      </c>
      <c r="AG59" s="335" t="s">
        <v>7145</v>
      </c>
      <c r="AH59" s="349">
        <v>1.1212E-2</v>
      </c>
      <c r="AI59" s="345">
        <v>6.6666666666666666E-2</v>
      </c>
      <c r="AJ59" s="368"/>
    </row>
    <row r="60" spans="1:36">
      <c r="B60" s="72" t="s">
        <v>606</v>
      </c>
      <c r="C60" s="73" t="s">
        <v>1691</v>
      </c>
      <c r="D60" s="74">
        <v>1000</v>
      </c>
      <c r="E60" s="264" t="s">
        <v>7934</v>
      </c>
      <c r="F60" s="74">
        <v>59</v>
      </c>
      <c r="G60" s="74">
        <f>F60+Q60+T60+W60+Z60</f>
        <v>306</v>
      </c>
      <c r="H60" s="77">
        <v>45124</v>
      </c>
      <c r="I60" s="72" t="s">
        <v>3682</v>
      </c>
      <c r="J60" s="72" t="s">
        <v>3681</v>
      </c>
      <c r="K60" s="72" t="s">
        <v>2308</v>
      </c>
      <c r="L60" s="72" t="s">
        <v>2062</v>
      </c>
      <c r="M60" s="72">
        <v>2016</v>
      </c>
      <c r="O60" s="385" t="s">
        <v>7935</v>
      </c>
      <c r="P60" s="267" t="s">
        <v>9</v>
      </c>
      <c r="Q60" s="76">
        <v>132</v>
      </c>
      <c r="R60" s="72" t="s">
        <v>3680</v>
      </c>
      <c r="S60" s="76" t="s">
        <v>8</v>
      </c>
      <c r="T60" s="76">
        <v>42</v>
      </c>
      <c r="U60" s="76" t="s">
        <v>3679</v>
      </c>
      <c r="V60" s="76" t="s">
        <v>18</v>
      </c>
      <c r="W60" s="76">
        <v>48</v>
      </c>
      <c r="X60" s="76" t="s">
        <v>3678</v>
      </c>
      <c r="Y60" s="76" t="s">
        <v>7</v>
      </c>
      <c r="Z60" s="76">
        <v>25</v>
      </c>
      <c r="AA60" s="76" t="s">
        <v>3677</v>
      </c>
      <c r="AB60" s="264" t="s">
        <v>6600</v>
      </c>
      <c r="AC60" s="264" t="s">
        <v>6608</v>
      </c>
      <c r="AD60" s="264" t="s">
        <v>6608</v>
      </c>
      <c r="AE60" s="25" t="s">
        <v>5034</v>
      </c>
      <c r="AF60" s="351">
        <v>2.2080000000000002</v>
      </c>
      <c r="AG60" s="354">
        <v>7.2222222222222229E-2</v>
      </c>
      <c r="AH60" s="351">
        <v>1.919</v>
      </c>
      <c r="AI60" s="354">
        <v>6.0416666666666667E-2</v>
      </c>
      <c r="AJ60" s="368">
        <f t="shared" si="0"/>
        <v>-0.1308876811594204</v>
      </c>
    </row>
    <row r="61" spans="1:36">
      <c r="B61" s="72" t="s">
        <v>2130</v>
      </c>
      <c r="C61" s="73" t="s">
        <v>1691</v>
      </c>
      <c r="D61" s="74">
        <f>7700/7</f>
        <v>1100</v>
      </c>
      <c r="E61" s="72" t="s">
        <v>7</v>
      </c>
      <c r="F61" s="74">
        <f>1300/7</f>
        <v>185.71428571428572</v>
      </c>
      <c r="G61" s="74">
        <f>F61</f>
        <v>185.71428571428572</v>
      </c>
      <c r="H61" s="77">
        <v>44648</v>
      </c>
      <c r="I61" s="72" t="s">
        <v>4376</v>
      </c>
      <c r="J61" s="72" t="s">
        <v>4377</v>
      </c>
      <c r="K61" s="72" t="s">
        <v>2045</v>
      </c>
      <c r="L61" s="72" t="s">
        <v>2115</v>
      </c>
      <c r="M61" s="72">
        <v>2014</v>
      </c>
      <c r="N61" s="72" t="s">
        <v>4382</v>
      </c>
      <c r="O61" s="72" t="s">
        <v>4378</v>
      </c>
      <c r="P61" s="76" t="s">
        <v>5</v>
      </c>
      <c r="Q61" s="76" t="s">
        <v>1</v>
      </c>
      <c r="R61" s="76" t="s">
        <v>4381</v>
      </c>
      <c r="S61" s="76" t="s">
        <v>1</v>
      </c>
      <c r="T61" s="76" t="s">
        <v>1</v>
      </c>
      <c r="U61" s="76" t="s">
        <v>1</v>
      </c>
      <c r="V61" s="76" t="s">
        <v>1</v>
      </c>
      <c r="W61" s="76" t="s">
        <v>1</v>
      </c>
      <c r="X61" s="76" t="s">
        <v>1</v>
      </c>
      <c r="Y61" s="76" t="s">
        <v>1</v>
      </c>
      <c r="Z61" s="76" t="s">
        <v>1</v>
      </c>
      <c r="AA61" s="76" t="s">
        <v>1</v>
      </c>
      <c r="AB61" s="264" t="s">
        <v>6601</v>
      </c>
      <c r="AD61" s="264" t="s">
        <v>7927</v>
      </c>
      <c r="AE61" s="25" t="s">
        <v>4375</v>
      </c>
      <c r="AF61" s="350">
        <v>7.4970000000000002E-3</v>
      </c>
      <c r="AG61" s="355">
        <v>0.2388888888888889</v>
      </c>
      <c r="AH61" s="350">
        <v>5.0000000000000001E-3</v>
      </c>
      <c r="AI61" s="355">
        <v>0.5756944444444444</v>
      </c>
      <c r="AJ61" s="368">
        <f t="shared" si="0"/>
        <v>-0.33306655995731627</v>
      </c>
    </row>
    <row r="62" spans="1:36">
      <c r="B62" s="72" t="s">
        <v>3670</v>
      </c>
      <c r="C62" s="73" t="s">
        <v>1691</v>
      </c>
      <c r="D62" s="74">
        <v>1100</v>
      </c>
      <c r="E62" s="72" t="s">
        <v>18</v>
      </c>
      <c r="F62" s="74">
        <v>130</v>
      </c>
      <c r="G62" s="74">
        <f>F62+Q62+T62+W62</f>
        <v>191.5</v>
      </c>
      <c r="H62" s="27">
        <v>44323</v>
      </c>
      <c r="I62" s="72" t="s">
        <v>3669</v>
      </c>
      <c r="J62" s="72" t="s">
        <v>3668</v>
      </c>
      <c r="K62" s="72" t="s">
        <v>2045</v>
      </c>
      <c r="L62" s="72" t="s">
        <v>2630</v>
      </c>
      <c r="M62" s="72">
        <v>2016</v>
      </c>
      <c r="O62" s="72" t="s">
        <v>3667</v>
      </c>
      <c r="P62" s="76" t="s">
        <v>7</v>
      </c>
      <c r="Q62" s="76">
        <v>44</v>
      </c>
      <c r="R62" s="76" t="s">
        <v>3666</v>
      </c>
      <c r="S62" s="76" t="s">
        <v>5</v>
      </c>
      <c r="T62" s="76">
        <v>15</v>
      </c>
      <c r="U62" s="76" t="s">
        <v>3665</v>
      </c>
      <c r="V62" s="76" t="s">
        <v>4</v>
      </c>
      <c r="W62" s="76">
        <v>2.5</v>
      </c>
      <c r="X62" s="76" t="s">
        <v>3664</v>
      </c>
      <c r="Y62" s="76" t="s">
        <v>278</v>
      </c>
      <c r="Z62" s="76" t="s">
        <v>1</v>
      </c>
      <c r="AA62" s="76" t="s">
        <v>3663</v>
      </c>
      <c r="AB62" s="264" t="s">
        <v>6626</v>
      </c>
      <c r="AD62" s="264" t="s">
        <v>2904</v>
      </c>
      <c r="AE62" s="25" t="s">
        <v>5036</v>
      </c>
      <c r="AF62" s="351">
        <v>0.26639200000000002</v>
      </c>
      <c r="AG62" s="354">
        <v>7.9166666666666663E-2</v>
      </c>
      <c r="AH62" s="351">
        <v>0.23053999999999999</v>
      </c>
      <c r="AI62" s="354">
        <v>4.3055555555555555E-2</v>
      </c>
      <c r="AJ62" s="368">
        <f t="shared" si="0"/>
        <v>-0.13458362112976374</v>
      </c>
    </row>
    <row r="63" spans="1:36">
      <c r="B63" s="12" t="s">
        <v>403</v>
      </c>
      <c r="C63" s="29" t="s">
        <v>1691</v>
      </c>
      <c r="D63" s="15">
        <v>1000</v>
      </c>
      <c r="E63" s="12" t="s">
        <v>18</v>
      </c>
      <c r="F63" s="15">
        <v>90</v>
      </c>
      <c r="G63" s="15">
        <f>F63+Q63+T63+W63+Z63</f>
        <v>156.6</v>
      </c>
      <c r="H63" s="14">
        <v>45090</v>
      </c>
      <c r="I63" s="12" t="s">
        <v>2303</v>
      </c>
      <c r="J63" s="12" t="s">
        <v>3592</v>
      </c>
      <c r="K63" s="12" t="s">
        <v>2045</v>
      </c>
      <c r="L63" s="72" t="s">
        <v>2302</v>
      </c>
      <c r="M63" s="72">
        <v>2017</v>
      </c>
      <c r="O63" s="72" t="s">
        <v>3591</v>
      </c>
      <c r="P63" s="76" t="s">
        <v>7</v>
      </c>
      <c r="Q63" s="76">
        <v>50</v>
      </c>
      <c r="R63" s="76" t="s">
        <v>3590</v>
      </c>
      <c r="S63" s="76" t="s">
        <v>5</v>
      </c>
      <c r="T63" s="76">
        <v>12.5</v>
      </c>
      <c r="U63" s="76" t="s">
        <v>3589</v>
      </c>
      <c r="V63" s="76" t="s">
        <v>4</v>
      </c>
      <c r="W63" s="76">
        <v>3.1</v>
      </c>
      <c r="X63" s="76" t="s">
        <v>3588</v>
      </c>
      <c r="Y63" s="76" t="s">
        <v>278</v>
      </c>
      <c r="Z63" s="76">
        <v>1</v>
      </c>
      <c r="AA63" s="76" t="s">
        <v>3587</v>
      </c>
      <c r="AB63" s="264" t="s">
        <v>6625</v>
      </c>
      <c r="AD63" s="264" t="s">
        <v>2094</v>
      </c>
      <c r="AE63" s="25" t="s">
        <v>5048</v>
      </c>
      <c r="AF63" s="351">
        <v>3.3330000000000002</v>
      </c>
      <c r="AG63" s="354">
        <v>0.1361111111111111</v>
      </c>
      <c r="AH63" s="351">
        <v>2.1160000000000001</v>
      </c>
      <c r="AI63" s="354">
        <v>0.12083333333333333</v>
      </c>
      <c r="AJ63" s="368">
        <f t="shared" si="0"/>
        <v>-0.36513651365136512</v>
      </c>
    </row>
    <row r="64" spans="1:36">
      <c r="B64" s="12" t="s">
        <v>936</v>
      </c>
      <c r="C64" s="29" t="s">
        <v>1691</v>
      </c>
      <c r="D64" s="15">
        <v>1000</v>
      </c>
      <c r="E64" s="12" t="s">
        <v>4</v>
      </c>
      <c r="F64" s="15">
        <v>75</v>
      </c>
      <c r="G64" s="15">
        <f>F64+Q64</f>
        <v>175</v>
      </c>
      <c r="H64" s="14">
        <v>45239</v>
      </c>
      <c r="I64" s="12" t="s">
        <v>3778</v>
      </c>
      <c r="J64" s="12" t="s">
        <v>3777</v>
      </c>
      <c r="K64" s="72" t="s">
        <v>2308</v>
      </c>
      <c r="L64" s="72" t="s">
        <v>2698</v>
      </c>
      <c r="M64" s="72">
        <v>2019</v>
      </c>
      <c r="N64" s="264" t="s">
        <v>7919</v>
      </c>
      <c r="O64" s="264" t="s">
        <v>7922</v>
      </c>
      <c r="P64" s="267" t="s">
        <v>5</v>
      </c>
      <c r="Q64" s="76">
        <v>100</v>
      </c>
      <c r="R64" s="72" t="s">
        <v>3776</v>
      </c>
      <c r="S64" s="76" t="s">
        <v>1</v>
      </c>
      <c r="T64" s="76" t="s">
        <v>1</v>
      </c>
      <c r="U64" s="76" t="s">
        <v>1</v>
      </c>
      <c r="V64" s="76" t="s">
        <v>1</v>
      </c>
      <c r="W64" s="76" t="s">
        <v>1</v>
      </c>
      <c r="X64" s="76" t="s">
        <v>1</v>
      </c>
      <c r="Y64" s="76" t="s">
        <v>1</v>
      </c>
      <c r="Z64" s="76" t="s">
        <v>1</v>
      </c>
      <c r="AA64" s="76" t="s">
        <v>1</v>
      </c>
      <c r="AB64" s="165" t="s">
        <v>6625</v>
      </c>
      <c r="AD64" s="165" t="s">
        <v>2094</v>
      </c>
      <c r="AE64" s="25" t="s">
        <v>4348</v>
      </c>
      <c r="AF64" s="350">
        <v>2.9129999999999998</v>
      </c>
      <c r="AG64" s="355">
        <v>8.1944444444444445E-2</v>
      </c>
      <c r="AH64" s="350">
        <v>2.36</v>
      </c>
      <c r="AI64" s="355">
        <v>9.6527777777777782E-2</v>
      </c>
      <c r="AJ64" s="368">
        <f t="shared" si="0"/>
        <v>-0.18983865430827329</v>
      </c>
    </row>
    <row r="65" spans="1:36">
      <c r="B65" s="12" t="s">
        <v>3647</v>
      </c>
      <c r="C65" s="29" t="s">
        <v>1691</v>
      </c>
      <c r="D65" s="15">
        <v>1000</v>
      </c>
      <c r="E65" s="12" t="s">
        <v>3646</v>
      </c>
      <c r="F65" s="15">
        <v>0</v>
      </c>
      <c r="G65" s="15">
        <v>0</v>
      </c>
      <c r="H65" s="13" t="s">
        <v>1</v>
      </c>
      <c r="I65" s="12" t="s">
        <v>3645</v>
      </c>
      <c r="J65" s="12" t="s">
        <v>3644</v>
      </c>
      <c r="K65" s="72" t="s">
        <v>2308</v>
      </c>
      <c r="L65" s="72" t="s">
        <v>2698</v>
      </c>
      <c r="M65" s="78">
        <v>44754</v>
      </c>
      <c r="N65" s="72" t="s">
        <v>3643</v>
      </c>
      <c r="O65" s="72" t="s">
        <v>1</v>
      </c>
      <c r="P65" s="76" t="s">
        <v>1</v>
      </c>
      <c r="Q65" s="76" t="s">
        <v>1</v>
      </c>
      <c r="R65" s="76" t="s">
        <v>1</v>
      </c>
      <c r="S65" s="76" t="s">
        <v>1</v>
      </c>
      <c r="T65" s="76" t="s">
        <v>1</v>
      </c>
      <c r="U65" s="76" t="s">
        <v>1</v>
      </c>
      <c r="V65" s="76" t="s">
        <v>1</v>
      </c>
      <c r="W65" s="76" t="s">
        <v>1</v>
      </c>
      <c r="X65" s="76" t="s">
        <v>1</v>
      </c>
      <c r="Y65" s="76" t="s">
        <v>1</v>
      </c>
      <c r="Z65" s="76" t="s">
        <v>1</v>
      </c>
      <c r="AA65" s="76" t="s">
        <v>1</v>
      </c>
      <c r="AB65" s="264" t="s">
        <v>6600</v>
      </c>
      <c r="AC65" s="264" t="s">
        <v>6603</v>
      </c>
      <c r="AD65" s="264" t="s">
        <v>2772</v>
      </c>
      <c r="AE65" s="25" t="s">
        <v>5039</v>
      </c>
      <c r="AF65" s="63">
        <v>25.69</v>
      </c>
      <c r="AG65" s="68">
        <v>0.28194444444444444</v>
      </c>
      <c r="AH65" s="63">
        <v>16.23</v>
      </c>
      <c r="AI65" s="68">
        <v>0.3298611111111111</v>
      </c>
      <c r="AJ65" s="368">
        <f t="shared" si="0"/>
        <v>-0.36823666796418841</v>
      </c>
    </row>
    <row r="66" spans="1:36">
      <c r="B66" s="72" t="s">
        <v>949</v>
      </c>
      <c r="C66" s="73" t="s">
        <v>1691</v>
      </c>
      <c r="D66" s="74">
        <v>1000</v>
      </c>
      <c r="E66" s="72" t="s">
        <v>7</v>
      </c>
      <c r="F66" s="74">
        <v>350</v>
      </c>
      <c r="G66" s="74">
        <f>F66+Q66</f>
        <v>415</v>
      </c>
      <c r="H66" s="77">
        <v>44999</v>
      </c>
      <c r="I66" s="72" t="s">
        <v>1</v>
      </c>
      <c r="J66" s="72" t="s">
        <v>3651</v>
      </c>
      <c r="K66" s="34" t="s">
        <v>2045</v>
      </c>
      <c r="L66" s="34" t="s">
        <v>2733</v>
      </c>
      <c r="M66" s="72">
        <v>2022</v>
      </c>
      <c r="N66" s="72" t="s">
        <v>3650</v>
      </c>
      <c r="O66" s="72" t="s">
        <v>3649</v>
      </c>
      <c r="P66" s="76" t="s">
        <v>5</v>
      </c>
      <c r="Q66" s="76">
        <v>65</v>
      </c>
      <c r="R66" s="76" t="s">
        <v>3648</v>
      </c>
      <c r="S66" s="76" t="s">
        <v>1</v>
      </c>
      <c r="T66" s="76" t="s">
        <v>1</v>
      </c>
      <c r="U66" s="76" t="s">
        <v>1</v>
      </c>
      <c r="V66" s="76" t="s">
        <v>1</v>
      </c>
      <c r="W66" s="76" t="s">
        <v>1</v>
      </c>
      <c r="X66" s="76" t="s">
        <v>1</v>
      </c>
      <c r="Y66" s="76" t="s">
        <v>1</v>
      </c>
      <c r="Z66" s="76" t="s">
        <v>1</v>
      </c>
      <c r="AA66" s="76" t="s">
        <v>1</v>
      </c>
      <c r="AB66" s="264" t="s">
        <v>6600</v>
      </c>
      <c r="AC66" s="264" t="s">
        <v>6603</v>
      </c>
      <c r="AD66" s="264" t="s">
        <v>2362</v>
      </c>
      <c r="AE66" s="25" t="s">
        <v>5038</v>
      </c>
      <c r="AF66" s="357">
        <v>0.10972999999999999</v>
      </c>
      <c r="AG66" s="68">
        <v>4.8611111111111112E-2</v>
      </c>
      <c r="AH66" s="348">
        <v>7.3380000000000001E-2</v>
      </c>
      <c r="AI66" s="68">
        <v>0.17152777777777778</v>
      </c>
      <c r="AJ66" s="368">
        <f t="shared" si="0"/>
        <v>-0.3312676569762143</v>
      </c>
    </row>
    <row r="67" spans="1:36">
      <c r="B67" s="72" t="s">
        <v>832</v>
      </c>
      <c r="C67" s="73" t="s">
        <v>1691</v>
      </c>
      <c r="D67" s="74">
        <v>1000</v>
      </c>
      <c r="E67" s="72" t="s">
        <v>18</v>
      </c>
      <c r="F67" s="74">
        <v>99</v>
      </c>
      <c r="G67" s="74">
        <f>F67+Q67+T67+W67</f>
        <v>259</v>
      </c>
      <c r="H67" s="77">
        <v>44796</v>
      </c>
      <c r="I67" s="72" t="s">
        <v>2850</v>
      </c>
      <c r="J67" s="72" t="s">
        <v>3598</v>
      </c>
      <c r="K67" s="72" t="s">
        <v>2569</v>
      </c>
      <c r="L67" s="72" t="s">
        <v>2056</v>
      </c>
      <c r="M67" s="72">
        <v>2019</v>
      </c>
      <c r="N67" s="72" t="s">
        <v>3597</v>
      </c>
      <c r="O67" s="72" t="s">
        <v>3596</v>
      </c>
      <c r="P67" s="76" t="s">
        <v>1116</v>
      </c>
      <c r="Q67" s="76">
        <v>100</v>
      </c>
      <c r="R67" s="76" t="s">
        <v>3595</v>
      </c>
      <c r="S67" s="76" t="s">
        <v>7</v>
      </c>
      <c r="T67" s="76">
        <v>40</v>
      </c>
      <c r="U67" s="76" t="s">
        <v>3594</v>
      </c>
      <c r="V67" s="76" t="s">
        <v>5</v>
      </c>
      <c r="W67" s="76">
        <v>20</v>
      </c>
      <c r="X67" s="76" t="s">
        <v>3593</v>
      </c>
      <c r="Y67" s="76" t="s">
        <v>1</v>
      </c>
      <c r="Z67" s="76" t="s">
        <v>1</v>
      </c>
      <c r="AA67" s="76" t="s">
        <v>1</v>
      </c>
      <c r="AB67" s="264" t="s">
        <v>6600</v>
      </c>
      <c r="AC67" s="264" t="s">
        <v>6603</v>
      </c>
      <c r="AD67" s="264" t="s">
        <v>2362</v>
      </c>
      <c r="AE67" s="25" t="s">
        <v>5046</v>
      </c>
      <c r="AF67" s="357">
        <v>9.9955000000000002E-2</v>
      </c>
      <c r="AG67" s="68">
        <v>5.5555555555555552E-2</v>
      </c>
      <c r="AH67" s="348">
        <v>0.17279600000000001</v>
      </c>
      <c r="AI67" s="341">
        <v>0.13750000000000001</v>
      </c>
      <c r="AJ67" s="368">
        <f t="shared" si="0"/>
        <v>0.72873793206943116</v>
      </c>
    </row>
    <row r="68" spans="1:36">
      <c r="B68" s="72" t="s">
        <v>1063</v>
      </c>
      <c r="C68" s="73" t="s">
        <v>1691</v>
      </c>
      <c r="D68" s="74">
        <v>1000</v>
      </c>
      <c r="E68" s="72" t="s">
        <v>7</v>
      </c>
      <c r="F68" s="74">
        <v>100</v>
      </c>
      <c r="G68" s="74">
        <f>F68+Q68</f>
        <v>165</v>
      </c>
      <c r="H68" s="77">
        <v>45106</v>
      </c>
      <c r="J68" s="72" t="s">
        <v>3579</v>
      </c>
      <c r="K68" s="72" t="s">
        <v>2045</v>
      </c>
      <c r="L68" s="72" t="s">
        <v>2698</v>
      </c>
      <c r="M68" s="72">
        <v>2022</v>
      </c>
      <c r="O68" s="72" t="s">
        <v>3578</v>
      </c>
      <c r="P68" s="76" t="s">
        <v>5</v>
      </c>
      <c r="Q68" s="76">
        <v>65</v>
      </c>
      <c r="R68" s="264" t="s">
        <v>7940</v>
      </c>
      <c r="S68" s="76" t="s">
        <v>1</v>
      </c>
      <c r="T68" s="76" t="s">
        <v>1</v>
      </c>
      <c r="U68" s="76" t="s">
        <v>1</v>
      </c>
      <c r="V68" s="76" t="s">
        <v>1</v>
      </c>
      <c r="W68" s="76" t="s">
        <v>1</v>
      </c>
      <c r="X68" s="76" t="s">
        <v>1</v>
      </c>
      <c r="Y68" s="76" t="s">
        <v>1</v>
      </c>
      <c r="Z68" s="76" t="s">
        <v>1</v>
      </c>
      <c r="AA68" s="76" t="s">
        <v>1</v>
      </c>
      <c r="AB68" s="264" t="s">
        <v>6600</v>
      </c>
      <c r="AC68" s="264" t="s">
        <v>6603</v>
      </c>
      <c r="AD68" s="264" t="s">
        <v>2362</v>
      </c>
      <c r="AE68" s="25" t="s">
        <v>5050</v>
      </c>
      <c r="AF68" s="357">
        <v>9.4228999999999993E-2</v>
      </c>
      <c r="AG68" s="68">
        <v>0.14305555555555557</v>
      </c>
      <c r="AH68" s="357">
        <v>3.2011999999999999E-2</v>
      </c>
      <c r="AI68" s="68">
        <v>0.18680555555555556</v>
      </c>
      <c r="AJ68" s="368">
        <f t="shared" si="0"/>
        <v>-0.660274437805771</v>
      </c>
    </row>
    <row r="69" spans="1:36">
      <c r="B69" s="72" t="s">
        <v>520</v>
      </c>
      <c r="C69" s="73" t="s">
        <v>1691</v>
      </c>
      <c r="D69" s="74">
        <v>1000</v>
      </c>
      <c r="E69" s="72" t="s">
        <v>8</v>
      </c>
      <c r="F69" s="74">
        <v>100</v>
      </c>
      <c r="G69" s="74">
        <f>F69+Q69+T69+W69+Z69</f>
        <v>200</v>
      </c>
      <c r="H69" s="77">
        <v>44419</v>
      </c>
      <c r="I69" s="72" t="s">
        <v>3619</v>
      </c>
      <c r="J69" s="72" t="s">
        <v>3618</v>
      </c>
      <c r="K69" s="72" t="s">
        <v>2045</v>
      </c>
      <c r="L69" s="72" t="s">
        <v>2255</v>
      </c>
      <c r="M69" s="72">
        <v>2016</v>
      </c>
      <c r="O69" s="72" t="s">
        <v>3617</v>
      </c>
      <c r="P69" s="76" t="s">
        <v>18</v>
      </c>
      <c r="Q69" s="76">
        <v>60</v>
      </c>
      <c r="R69" s="76" t="s">
        <v>3616</v>
      </c>
      <c r="S69" s="76" t="s">
        <v>7</v>
      </c>
      <c r="T69" s="76">
        <v>30</v>
      </c>
      <c r="U69" s="76" t="s">
        <v>3615</v>
      </c>
      <c r="V69" s="76" t="s">
        <v>5</v>
      </c>
      <c r="W69" s="76">
        <v>7</v>
      </c>
      <c r="X69" s="76" t="s">
        <v>3614</v>
      </c>
      <c r="Y69" s="76" t="s">
        <v>4</v>
      </c>
      <c r="Z69" s="76">
        <v>3</v>
      </c>
      <c r="AA69" s="76" t="s">
        <v>3613</v>
      </c>
      <c r="AB69" s="264" t="s">
        <v>6600</v>
      </c>
      <c r="AC69" s="264" t="s">
        <v>6603</v>
      </c>
      <c r="AD69" s="264" t="s">
        <v>2362</v>
      </c>
      <c r="AE69" s="25" t="s">
        <v>5044</v>
      </c>
      <c r="AF69" s="357">
        <v>8.3721000000000004E-2</v>
      </c>
      <c r="AG69" s="68">
        <v>0.17083333333333331</v>
      </c>
      <c r="AH69" s="357">
        <v>6.1211000000000002E-2</v>
      </c>
      <c r="AI69" s="68">
        <v>0.17986111111111111</v>
      </c>
      <c r="AJ69" s="368">
        <f t="shared" si="0"/>
        <v>-0.26886922038676075</v>
      </c>
    </row>
    <row r="70" spans="1:36">
      <c r="B70" s="72" t="s">
        <v>1043</v>
      </c>
      <c r="C70" s="73" t="s">
        <v>1691</v>
      </c>
      <c r="D70" s="74">
        <v>1000</v>
      </c>
      <c r="E70" s="72" t="s">
        <v>18</v>
      </c>
      <c r="F70" s="74">
        <v>100</v>
      </c>
      <c r="G70" s="74">
        <f>F70+Q70+T70</f>
        <v>155</v>
      </c>
      <c r="H70" s="77">
        <v>44699</v>
      </c>
      <c r="I70" s="72" t="s">
        <v>3625</v>
      </c>
      <c r="J70" s="72" t="s">
        <v>3624</v>
      </c>
      <c r="K70" s="72" t="s">
        <v>2045</v>
      </c>
      <c r="L70" s="72" t="s">
        <v>2230</v>
      </c>
      <c r="M70" s="72">
        <v>2019</v>
      </c>
      <c r="N70" s="72" t="s">
        <v>3623</v>
      </c>
      <c r="O70" s="72" t="s">
        <v>3622</v>
      </c>
      <c r="P70" s="76" t="s">
        <v>7</v>
      </c>
      <c r="Q70" s="76">
        <v>40</v>
      </c>
      <c r="R70" s="76" t="s">
        <v>3621</v>
      </c>
      <c r="S70" s="76" t="s">
        <v>5</v>
      </c>
      <c r="T70" s="76">
        <v>15</v>
      </c>
      <c r="U70" s="76" t="s">
        <v>3620</v>
      </c>
      <c r="V70" s="76" t="s">
        <v>1</v>
      </c>
      <c r="W70" s="76" t="s">
        <v>1</v>
      </c>
      <c r="X70" s="76" t="s">
        <v>1</v>
      </c>
      <c r="Y70" s="76" t="s">
        <v>1</v>
      </c>
      <c r="Z70" s="76" t="s">
        <v>1</v>
      </c>
      <c r="AA70" s="76" t="s">
        <v>1</v>
      </c>
      <c r="AB70" s="264" t="s">
        <v>6600</v>
      </c>
      <c r="AC70" s="264" t="s">
        <v>6603</v>
      </c>
      <c r="AD70" s="264" t="s">
        <v>6610</v>
      </c>
      <c r="AE70" s="25" t="s">
        <v>5043</v>
      </c>
      <c r="AF70" s="357">
        <v>3.1140999999999999E-2</v>
      </c>
      <c r="AG70" s="68">
        <v>7.6388888888888886E-3</v>
      </c>
      <c r="AH70" s="357">
        <v>4.3047000000000002E-2</v>
      </c>
      <c r="AI70" s="68">
        <v>1.1805555555555555E-2</v>
      </c>
      <c r="AJ70" s="368">
        <f t="shared" ref="AJ70:AJ134" si="1">+AH70/AF70-1</f>
        <v>0.38232555152371495</v>
      </c>
    </row>
    <row r="71" spans="1:36">
      <c r="B71" s="72" t="s">
        <v>877</v>
      </c>
      <c r="C71" s="73" t="s">
        <v>1691</v>
      </c>
      <c r="D71" s="74">
        <v>1000</v>
      </c>
      <c r="E71" s="72" t="s">
        <v>18</v>
      </c>
      <c r="F71" s="74">
        <v>85</v>
      </c>
      <c r="G71" s="74">
        <f>F71+Q71+T71+W71</f>
        <v>135.30000000000001</v>
      </c>
      <c r="H71" s="77">
        <v>44417</v>
      </c>
      <c r="I71" s="72" t="s">
        <v>3586</v>
      </c>
      <c r="J71" s="72" t="s">
        <v>3585</v>
      </c>
      <c r="K71" s="72" t="s">
        <v>2045</v>
      </c>
      <c r="L71" s="72" t="s">
        <v>2056</v>
      </c>
      <c r="M71" s="72">
        <v>2019</v>
      </c>
      <c r="N71" s="72" t="s">
        <v>3584</v>
      </c>
      <c r="O71" s="72" t="s">
        <v>3583</v>
      </c>
      <c r="P71" s="76" t="s">
        <v>7</v>
      </c>
      <c r="Q71" s="76">
        <v>35</v>
      </c>
      <c r="R71" s="76" t="s">
        <v>3582</v>
      </c>
      <c r="S71" s="76" t="s">
        <v>5</v>
      </c>
      <c r="T71" s="76">
        <v>12</v>
      </c>
      <c r="U71" s="76" t="s">
        <v>3581</v>
      </c>
      <c r="V71" s="76" t="s">
        <v>4</v>
      </c>
      <c r="W71" s="76">
        <v>3.3</v>
      </c>
      <c r="X71" s="76" t="s">
        <v>3580</v>
      </c>
      <c r="Y71" s="76" t="s">
        <v>1</v>
      </c>
      <c r="Z71" s="76" t="s">
        <v>1</v>
      </c>
      <c r="AA71" s="76" t="s">
        <v>1</v>
      </c>
      <c r="AB71" s="264" t="s">
        <v>6600</v>
      </c>
      <c r="AC71" s="264" t="s">
        <v>6603</v>
      </c>
      <c r="AD71" s="264" t="s">
        <v>6620</v>
      </c>
      <c r="AE71" s="25" t="s">
        <v>5049</v>
      </c>
      <c r="AF71" s="357">
        <v>2.9928E-2</v>
      </c>
      <c r="AG71" s="68">
        <v>9.5833333333333326E-2</v>
      </c>
      <c r="AH71" s="357">
        <v>3.1308999999999997E-2</v>
      </c>
      <c r="AI71" s="68">
        <v>3.4722222222222224E-2</v>
      </c>
      <c r="AJ71" s="368">
        <f t="shared" si="1"/>
        <v>4.6144079123229043E-2</v>
      </c>
    </row>
    <row r="72" spans="1:36">
      <c r="B72" s="72" t="s">
        <v>1005</v>
      </c>
      <c r="C72" s="73" t="s">
        <v>1691</v>
      </c>
      <c r="D72" s="74">
        <v>1000</v>
      </c>
      <c r="E72" s="72" t="s">
        <v>18</v>
      </c>
      <c r="F72" s="74">
        <v>100</v>
      </c>
      <c r="G72" s="74">
        <f>F72+Q72+T72+W72</f>
        <v>160</v>
      </c>
      <c r="H72" s="77">
        <v>44754</v>
      </c>
      <c r="I72" s="72" t="s">
        <v>3612</v>
      </c>
      <c r="J72" s="72" t="s">
        <v>3611</v>
      </c>
      <c r="K72" s="72" t="s">
        <v>2569</v>
      </c>
      <c r="L72" s="72" t="s">
        <v>2056</v>
      </c>
      <c r="M72" s="72">
        <v>2019</v>
      </c>
      <c r="N72" s="72" t="s">
        <v>3610</v>
      </c>
      <c r="O72" s="72" t="s">
        <v>3609</v>
      </c>
      <c r="P72" s="76" t="s">
        <v>7</v>
      </c>
      <c r="Q72" s="76">
        <v>35</v>
      </c>
      <c r="R72" s="76" t="s">
        <v>3608</v>
      </c>
      <c r="S72" s="76" t="s">
        <v>5</v>
      </c>
      <c r="T72" s="76">
        <v>20</v>
      </c>
      <c r="U72" s="76" t="s">
        <v>3607</v>
      </c>
      <c r="V72" s="76" t="s">
        <v>4</v>
      </c>
      <c r="W72" s="76">
        <v>5</v>
      </c>
      <c r="X72" s="76" t="s">
        <v>3606</v>
      </c>
      <c r="Y72" s="76" t="s">
        <v>1</v>
      </c>
      <c r="Z72" s="76" t="s">
        <v>1</v>
      </c>
      <c r="AA72" s="76" t="s">
        <v>1</v>
      </c>
      <c r="AB72" s="264" t="s">
        <v>6600</v>
      </c>
      <c r="AC72" s="264" t="s">
        <v>6603</v>
      </c>
      <c r="AD72" s="264" t="s">
        <v>2362</v>
      </c>
      <c r="AE72" s="25" t="s">
        <v>5045</v>
      </c>
      <c r="AF72" s="357">
        <v>2.9766999999999998E-2</v>
      </c>
      <c r="AG72" s="68">
        <v>0.32569444444444445</v>
      </c>
      <c r="AH72" s="357">
        <v>4.2673000000000003E-2</v>
      </c>
      <c r="AI72" s="68">
        <v>0.25486111111111109</v>
      </c>
      <c r="AJ72" s="368">
        <f t="shared" si="1"/>
        <v>0.43356737326569705</v>
      </c>
    </row>
    <row r="73" spans="1:36">
      <c r="B73" s="72" t="s">
        <v>3642</v>
      </c>
      <c r="C73" s="73" t="s">
        <v>1691</v>
      </c>
      <c r="D73" s="74">
        <v>1000</v>
      </c>
      <c r="E73" s="72" t="s">
        <v>7</v>
      </c>
      <c r="F73" s="74">
        <v>300</v>
      </c>
      <c r="G73" s="74">
        <f>F73</f>
        <v>300</v>
      </c>
      <c r="H73" s="77">
        <v>44453</v>
      </c>
      <c r="I73" s="72" t="s">
        <v>3641</v>
      </c>
      <c r="J73" s="72" t="s">
        <v>3640</v>
      </c>
      <c r="K73" s="72" t="s">
        <v>2308</v>
      </c>
      <c r="L73" s="72" t="s">
        <v>3491</v>
      </c>
      <c r="M73" s="78">
        <v>43817</v>
      </c>
      <c r="N73" s="72" t="s">
        <v>3491</v>
      </c>
      <c r="O73" s="72" t="s">
        <v>3639</v>
      </c>
      <c r="P73" s="76" t="s">
        <v>1</v>
      </c>
      <c r="Q73" s="76" t="s">
        <v>1</v>
      </c>
      <c r="R73" s="76" t="s">
        <v>1</v>
      </c>
      <c r="S73" s="76" t="s">
        <v>1</v>
      </c>
      <c r="T73" s="76" t="s">
        <v>1</v>
      </c>
      <c r="U73" s="76" t="s">
        <v>1</v>
      </c>
      <c r="V73" s="76" t="s">
        <v>1</v>
      </c>
      <c r="W73" s="76" t="s">
        <v>1</v>
      </c>
      <c r="X73" s="76" t="s">
        <v>1</v>
      </c>
      <c r="Y73" s="76" t="s">
        <v>1</v>
      </c>
      <c r="Z73" s="76" t="s">
        <v>1</v>
      </c>
      <c r="AA73" s="76" t="s">
        <v>1</v>
      </c>
      <c r="AB73" s="264" t="s">
        <v>6601</v>
      </c>
      <c r="AD73" s="264" t="s">
        <v>3599</v>
      </c>
      <c r="AE73" s="25" t="s">
        <v>5040</v>
      </c>
      <c r="AF73" s="357">
        <v>3.4018E-2</v>
      </c>
      <c r="AG73" s="68">
        <v>0.75416666666666676</v>
      </c>
      <c r="AH73" s="357">
        <v>5.1958999999999998E-2</v>
      </c>
      <c r="AI73" s="68">
        <v>0.65277777777777779</v>
      </c>
      <c r="AJ73" s="368">
        <f t="shared" si="1"/>
        <v>0.52739726027397249</v>
      </c>
    </row>
    <row r="74" spans="1:36">
      <c r="B74" s="72" t="s">
        <v>5041</v>
      </c>
      <c r="C74" s="73" t="s">
        <v>1691</v>
      </c>
      <c r="D74" s="74">
        <v>1000</v>
      </c>
      <c r="E74" s="72" t="s">
        <v>18</v>
      </c>
      <c r="F74" s="74">
        <v>235</v>
      </c>
      <c r="G74" s="74">
        <f>F74+Q74+T74+W74+Z74</f>
        <v>352</v>
      </c>
      <c r="H74" s="77">
        <v>44384</v>
      </c>
      <c r="I74" s="72" t="s">
        <v>3631</v>
      </c>
      <c r="J74" s="72" t="s">
        <v>3630</v>
      </c>
      <c r="K74" s="72" t="s">
        <v>2045</v>
      </c>
      <c r="L74" s="72" t="s">
        <v>2044</v>
      </c>
      <c r="M74" s="72">
        <v>2015</v>
      </c>
      <c r="O74" s="72" t="s">
        <v>3629</v>
      </c>
      <c r="P74" s="76" t="s">
        <v>7</v>
      </c>
      <c r="Q74" s="76">
        <v>43</v>
      </c>
      <c r="R74" s="76" t="s">
        <v>3628</v>
      </c>
      <c r="S74" s="76" t="s">
        <v>5</v>
      </c>
      <c r="T74" s="76">
        <v>31</v>
      </c>
      <c r="U74" s="76" t="s">
        <v>493</v>
      </c>
      <c r="V74" s="76" t="s">
        <v>5</v>
      </c>
      <c r="W74" s="76">
        <v>15</v>
      </c>
      <c r="X74" s="76" t="s">
        <v>3627</v>
      </c>
      <c r="Y74" s="76" t="s">
        <v>5</v>
      </c>
      <c r="Z74" s="76">
        <v>28</v>
      </c>
      <c r="AA74" s="76" t="s">
        <v>3626</v>
      </c>
      <c r="AB74" s="264" t="s">
        <v>6760</v>
      </c>
      <c r="AD74" s="264" t="s">
        <v>2851</v>
      </c>
      <c r="AE74" s="25" t="s">
        <v>5042</v>
      </c>
      <c r="AF74" s="342">
        <v>0</v>
      </c>
      <c r="AG74" s="62">
        <v>2.9861111111111113E-2</v>
      </c>
      <c r="AH74" s="342">
        <v>0</v>
      </c>
      <c r="AI74" s="62">
        <v>4.027777777777778E-2</v>
      </c>
      <c r="AJ74" s="368"/>
    </row>
    <row r="75" spans="1:36" s="176" customFormat="1">
      <c r="A75" s="72"/>
      <c r="B75" s="12" t="s">
        <v>3605</v>
      </c>
      <c r="C75" s="29" t="s">
        <v>1691</v>
      </c>
      <c r="D75" s="15">
        <v>1000</v>
      </c>
      <c r="E75" s="12" t="s">
        <v>7</v>
      </c>
      <c r="F75" s="15">
        <v>100</v>
      </c>
      <c r="G75" s="74">
        <f>F75+Q75</f>
        <v>130</v>
      </c>
      <c r="H75" s="14">
        <v>44565</v>
      </c>
      <c r="I75" s="12" t="s">
        <v>3604</v>
      </c>
      <c r="J75" s="12" t="s">
        <v>3603</v>
      </c>
      <c r="K75" s="12" t="s">
        <v>2308</v>
      </c>
      <c r="L75" s="12" t="s">
        <v>3602</v>
      </c>
      <c r="M75" s="78">
        <v>43466</v>
      </c>
      <c r="N75" s="72" t="s">
        <v>3491</v>
      </c>
      <c r="O75" s="34" t="s">
        <v>3601</v>
      </c>
      <c r="P75" s="76" t="s">
        <v>5</v>
      </c>
      <c r="Q75" s="76">
        <v>30</v>
      </c>
      <c r="R75" s="76" t="s">
        <v>3600</v>
      </c>
      <c r="S75" s="76" t="s">
        <v>1</v>
      </c>
      <c r="T75" s="76" t="s">
        <v>1</v>
      </c>
      <c r="U75" s="76" t="s">
        <v>1</v>
      </c>
      <c r="V75" s="76" t="s">
        <v>1</v>
      </c>
      <c r="W75" s="76" t="s">
        <v>1</v>
      </c>
      <c r="X75" s="76" t="s">
        <v>1</v>
      </c>
      <c r="Y75" s="76" t="s">
        <v>1</v>
      </c>
      <c r="Z75" s="76" t="s">
        <v>1</v>
      </c>
      <c r="AA75" s="76" t="s">
        <v>1</v>
      </c>
      <c r="AB75" s="264" t="s">
        <v>6601</v>
      </c>
      <c r="AC75" s="72"/>
      <c r="AD75" s="264" t="s">
        <v>3599</v>
      </c>
      <c r="AE75" s="72" t="s">
        <v>8949</v>
      </c>
      <c r="AF75" s="352" t="s">
        <v>7145</v>
      </c>
      <c r="AG75" s="335" t="s">
        <v>7145</v>
      </c>
      <c r="AH75" s="342">
        <v>0</v>
      </c>
      <c r="AI75" s="341">
        <v>0.15555555555555556</v>
      </c>
      <c r="AJ75" s="368"/>
    </row>
    <row r="76" spans="1:36">
      <c r="B76" s="12" t="s">
        <v>1004</v>
      </c>
      <c r="C76" s="29" t="s">
        <v>1691</v>
      </c>
      <c r="D76" s="15">
        <v>1000</v>
      </c>
      <c r="E76" s="12" t="s">
        <v>5</v>
      </c>
      <c r="F76" s="15">
        <v>26</v>
      </c>
      <c r="G76" s="74">
        <f>+F76+Q76</f>
        <v>29.1</v>
      </c>
      <c r="H76" s="14">
        <v>45013</v>
      </c>
      <c r="I76" s="12" t="s">
        <v>3312</v>
      </c>
      <c r="J76" s="12" t="s">
        <v>3356</v>
      </c>
      <c r="K76" s="32" t="s">
        <v>2308</v>
      </c>
      <c r="L76" s="32" t="s">
        <v>2765</v>
      </c>
      <c r="M76" s="12">
        <v>2022</v>
      </c>
      <c r="N76" s="12" t="s">
        <v>1900</v>
      </c>
      <c r="O76" s="12" t="s">
        <v>3355</v>
      </c>
      <c r="P76" s="24" t="s">
        <v>4</v>
      </c>
      <c r="Q76" s="24">
        <v>3.1</v>
      </c>
      <c r="R76" s="24" t="s">
        <v>3354</v>
      </c>
      <c r="S76" s="24" t="s">
        <v>1</v>
      </c>
      <c r="T76" s="24" t="s">
        <v>1</v>
      </c>
      <c r="U76" s="24" t="s">
        <v>1</v>
      </c>
      <c r="V76" s="24" t="s">
        <v>1</v>
      </c>
      <c r="W76" s="24" t="s">
        <v>1</v>
      </c>
      <c r="X76" s="24" t="s">
        <v>1</v>
      </c>
      <c r="Y76" s="24" t="s">
        <v>1</v>
      </c>
      <c r="Z76" s="24" t="s">
        <v>1</v>
      </c>
      <c r="AA76" s="24" t="s">
        <v>1</v>
      </c>
      <c r="AB76" s="12" t="s">
        <v>6600</v>
      </c>
      <c r="AC76" s="12" t="s">
        <v>6603</v>
      </c>
      <c r="AD76" s="12" t="s">
        <v>2362</v>
      </c>
      <c r="AE76" s="25" t="s">
        <v>5094</v>
      </c>
      <c r="AF76" s="63">
        <v>21.07</v>
      </c>
      <c r="AG76" s="68">
        <v>0.33333333333333331</v>
      </c>
      <c r="AH76" s="63">
        <v>44.94</v>
      </c>
      <c r="AI76" s="68">
        <v>0.27152777777777776</v>
      </c>
      <c r="AJ76" s="368">
        <f>+AH76/AF76-1</f>
        <v>1.132890365448505</v>
      </c>
    </row>
    <row r="77" spans="1:36">
      <c r="B77" s="72" t="s">
        <v>64</v>
      </c>
      <c r="C77" s="73" t="s">
        <v>1691</v>
      </c>
      <c r="D77" s="74">
        <v>1000</v>
      </c>
      <c r="E77" s="72" t="s">
        <v>7</v>
      </c>
      <c r="F77" s="74">
        <f>1600/7</f>
        <v>228.57142857142858</v>
      </c>
      <c r="G77" s="74">
        <f>F77+Q77+T77</f>
        <v>350</v>
      </c>
      <c r="H77" s="77">
        <v>44550</v>
      </c>
      <c r="I77" s="72" t="s">
        <v>3638</v>
      </c>
      <c r="J77" s="72" t="s">
        <v>3637</v>
      </c>
      <c r="K77" s="72" t="s">
        <v>2100</v>
      </c>
      <c r="L77" s="72" t="s">
        <v>3636</v>
      </c>
      <c r="M77" s="72">
        <v>2018</v>
      </c>
      <c r="O77" s="72" t="s">
        <v>3635</v>
      </c>
      <c r="P77" s="76" t="s">
        <v>5</v>
      </c>
      <c r="Q77" s="81">
        <f>500/7</f>
        <v>71.428571428571431</v>
      </c>
      <c r="R77" s="76" t="s">
        <v>3634</v>
      </c>
      <c r="S77" s="76" t="s">
        <v>5</v>
      </c>
      <c r="T77" s="76">
        <v>50</v>
      </c>
      <c r="U77" s="76" t="s">
        <v>3633</v>
      </c>
      <c r="V77" s="76" t="s">
        <v>1</v>
      </c>
      <c r="W77" s="76" t="s">
        <v>1</v>
      </c>
      <c r="X77" s="76" t="s">
        <v>1</v>
      </c>
      <c r="Y77" s="76" t="s">
        <v>1</v>
      </c>
      <c r="Z77" s="76" t="s">
        <v>1</v>
      </c>
      <c r="AA77" s="76" t="s">
        <v>1</v>
      </c>
      <c r="AB77" s="264" t="s">
        <v>6601</v>
      </c>
      <c r="AD77" s="264" t="s">
        <v>3487</v>
      </c>
      <c r="AE77" s="25" t="s">
        <v>3632</v>
      </c>
      <c r="AF77" s="342">
        <v>1.5021E-2</v>
      </c>
      <c r="AG77" s="62">
        <v>0.25694444444444448</v>
      </c>
      <c r="AH77" s="342">
        <v>1.0156E-2</v>
      </c>
      <c r="AI77" s="62">
        <v>0.29583333333333334</v>
      </c>
      <c r="AJ77" s="368">
        <f t="shared" si="1"/>
        <v>-0.32387990147127355</v>
      </c>
    </row>
    <row r="78" spans="1:36" s="12" customFormat="1">
      <c r="B78" s="12" t="s">
        <v>2076</v>
      </c>
      <c r="C78" s="29" t="s">
        <v>1691</v>
      </c>
      <c r="D78" s="15">
        <v>900</v>
      </c>
      <c r="E78" s="12" t="s">
        <v>7</v>
      </c>
      <c r="F78" s="15">
        <v>100</v>
      </c>
      <c r="G78" s="15">
        <f>F78</f>
        <v>100</v>
      </c>
      <c r="H78" s="14">
        <v>44937</v>
      </c>
      <c r="I78" s="12" t="s">
        <v>5892</v>
      </c>
      <c r="J78" s="12" t="s">
        <v>5893</v>
      </c>
      <c r="K78" s="12" t="s">
        <v>2045</v>
      </c>
      <c r="L78" s="12" t="s">
        <v>2075</v>
      </c>
      <c r="M78" s="12">
        <v>2009</v>
      </c>
      <c r="O78" s="12" t="s">
        <v>5894</v>
      </c>
      <c r="P78" s="24" t="s">
        <v>5</v>
      </c>
      <c r="Q78" s="24" t="s">
        <v>1</v>
      </c>
      <c r="R78" s="24" t="s">
        <v>5895</v>
      </c>
      <c r="S78" s="24" t="s">
        <v>4</v>
      </c>
      <c r="T78" s="24" t="s">
        <v>1</v>
      </c>
      <c r="U78" s="24" t="s">
        <v>643</v>
      </c>
      <c r="V78" s="24" t="s">
        <v>5896</v>
      </c>
      <c r="W78" s="24" t="s">
        <v>1</v>
      </c>
      <c r="X78" s="24" t="s">
        <v>643</v>
      </c>
      <c r="Y78" s="24" t="s">
        <v>1</v>
      </c>
      <c r="Z78" s="24" t="s">
        <v>1</v>
      </c>
      <c r="AA78" s="24" t="s">
        <v>1</v>
      </c>
      <c r="AB78" s="12" t="s">
        <v>2074</v>
      </c>
      <c r="AE78" s="37" t="s">
        <v>2073</v>
      </c>
      <c r="AF78" s="370" t="s">
        <v>7145</v>
      </c>
      <c r="AG78" s="371" t="s">
        <v>7145</v>
      </c>
      <c r="AH78" s="372">
        <v>234.7</v>
      </c>
      <c r="AI78" s="364">
        <v>0.37638888888888888</v>
      </c>
      <c r="AJ78" s="373"/>
    </row>
    <row r="79" spans="1:36">
      <c r="B79" s="72" t="s">
        <v>599</v>
      </c>
      <c r="C79" s="73" t="s">
        <v>1691</v>
      </c>
      <c r="D79" s="74">
        <v>800</v>
      </c>
      <c r="E79" s="72" t="s">
        <v>18</v>
      </c>
      <c r="F79" s="74">
        <v>125</v>
      </c>
      <c r="G79" s="74">
        <f>F79+Q79+T79+W79+Z79</f>
        <v>239</v>
      </c>
      <c r="H79" s="77">
        <v>44663</v>
      </c>
      <c r="I79" s="72" t="s">
        <v>3577</v>
      </c>
      <c r="J79" s="72" t="s">
        <v>3576</v>
      </c>
      <c r="K79" s="72" t="s">
        <v>2045</v>
      </c>
      <c r="L79" s="72" t="s">
        <v>3575</v>
      </c>
      <c r="M79" s="72">
        <v>2017</v>
      </c>
      <c r="O79" s="72" t="s">
        <v>3574</v>
      </c>
      <c r="P79" s="76" t="s">
        <v>7</v>
      </c>
      <c r="Q79" s="76">
        <v>54</v>
      </c>
      <c r="R79" s="76" t="s">
        <v>3573</v>
      </c>
      <c r="S79" s="76" t="s">
        <v>5</v>
      </c>
      <c r="T79" s="76">
        <v>26</v>
      </c>
      <c r="U79" s="76" t="s">
        <v>3572</v>
      </c>
      <c r="V79" s="76" t="s">
        <v>5</v>
      </c>
      <c r="W79" s="76">
        <v>8</v>
      </c>
      <c r="X79" s="76" t="s">
        <v>3571</v>
      </c>
      <c r="Y79" s="76" t="s">
        <v>5</v>
      </c>
      <c r="Z79" s="76">
        <v>26</v>
      </c>
      <c r="AA79" s="76" t="s">
        <v>3570</v>
      </c>
      <c r="AB79" s="264" t="s">
        <v>6600</v>
      </c>
      <c r="AC79" s="264" t="s">
        <v>6603</v>
      </c>
      <c r="AD79" s="264" t="s">
        <v>2362</v>
      </c>
      <c r="AE79" s="25" t="s">
        <v>5051</v>
      </c>
      <c r="AF79" s="357">
        <v>3.8109999999999998E-2</v>
      </c>
      <c r="AG79" s="68">
        <v>6.8749999999999992E-2</v>
      </c>
      <c r="AH79" s="357">
        <v>3.5663E-2</v>
      </c>
      <c r="AI79" s="68">
        <v>6.0416666666666667E-2</v>
      </c>
      <c r="AJ79" s="368">
        <f t="shared" si="1"/>
        <v>-6.4208869063237972E-2</v>
      </c>
    </row>
    <row r="80" spans="1:36">
      <c r="B80" s="72" t="s">
        <v>258</v>
      </c>
      <c r="C80" s="73" t="s">
        <v>1691</v>
      </c>
      <c r="D80" s="74">
        <v>800</v>
      </c>
      <c r="E80" s="72" t="s">
        <v>8</v>
      </c>
      <c r="F80" s="74">
        <v>111</v>
      </c>
      <c r="G80" s="74">
        <f>F80+Q80+T80+W80+Z80</f>
        <v>199.5</v>
      </c>
      <c r="H80" s="77">
        <v>44782</v>
      </c>
      <c r="I80" s="72" t="s">
        <v>3569</v>
      </c>
      <c r="J80" s="72" t="s">
        <v>3568</v>
      </c>
      <c r="K80" s="72" t="s">
        <v>2045</v>
      </c>
      <c r="L80" s="72" t="s">
        <v>2169</v>
      </c>
      <c r="M80" s="72">
        <v>2017</v>
      </c>
      <c r="O80" s="72" t="s">
        <v>3567</v>
      </c>
      <c r="P80" s="76" t="s">
        <v>18</v>
      </c>
      <c r="Q80" s="76">
        <v>55</v>
      </c>
      <c r="R80" s="76" t="s">
        <v>3566</v>
      </c>
      <c r="S80" s="76" t="s">
        <v>7</v>
      </c>
      <c r="T80" s="76">
        <v>16</v>
      </c>
      <c r="U80" s="76" t="s">
        <v>3565</v>
      </c>
      <c r="V80" s="76" t="s">
        <v>5</v>
      </c>
      <c r="W80" s="76">
        <v>14</v>
      </c>
      <c r="X80" s="76" t="s">
        <v>3564</v>
      </c>
      <c r="Y80" s="76" t="s">
        <v>4</v>
      </c>
      <c r="Z80" s="76">
        <v>3.5</v>
      </c>
      <c r="AA80" s="76" t="s">
        <v>3563</v>
      </c>
      <c r="AB80" s="264" t="s">
        <v>6600</v>
      </c>
      <c r="AC80" s="264" t="s">
        <v>6603</v>
      </c>
      <c r="AD80" s="264" t="s">
        <v>2362</v>
      </c>
      <c r="AE80" s="25" t="s">
        <v>3562</v>
      </c>
      <c r="AF80" s="342">
        <v>9.5690999999999998E-2</v>
      </c>
      <c r="AG80" s="62">
        <v>8.4722222222222213E-2</v>
      </c>
      <c r="AH80" s="342">
        <v>8.5239999999999996E-2</v>
      </c>
      <c r="AI80" s="62">
        <v>0.14791666666666667</v>
      </c>
      <c r="AJ80" s="368">
        <f t="shared" si="1"/>
        <v>-0.10921612272836523</v>
      </c>
    </row>
    <row r="81" spans="1:36" s="176" customFormat="1">
      <c r="A81" s="72"/>
      <c r="B81" s="72" t="s">
        <v>15</v>
      </c>
      <c r="C81" s="73" t="s">
        <v>1691</v>
      </c>
      <c r="D81" s="74">
        <v>794</v>
      </c>
      <c r="E81" s="72" t="s">
        <v>8</v>
      </c>
      <c r="F81" s="74">
        <v>220</v>
      </c>
      <c r="G81" s="74">
        <f>F81+Q81+T81+W81+Z81</f>
        <v>538</v>
      </c>
      <c r="H81" s="77">
        <v>44502</v>
      </c>
      <c r="I81" s="72" t="s">
        <v>3561</v>
      </c>
      <c r="J81" s="72" t="s">
        <v>3560</v>
      </c>
      <c r="K81" s="72" t="s">
        <v>2045</v>
      </c>
      <c r="L81" s="72" t="s">
        <v>2332</v>
      </c>
      <c r="M81" s="72">
        <v>2013</v>
      </c>
      <c r="N81" s="72"/>
      <c r="O81" s="72" t="s">
        <v>3559</v>
      </c>
      <c r="P81" s="76" t="s">
        <v>8</v>
      </c>
      <c r="Q81" s="76">
        <v>220</v>
      </c>
      <c r="R81" s="76" t="s">
        <v>3558</v>
      </c>
      <c r="S81" s="76" t="s">
        <v>18</v>
      </c>
      <c r="T81" s="76">
        <v>60</v>
      </c>
      <c r="U81" s="76" t="s">
        <v>3557</v>
      </c>
      <c r="V81" s="76" t="s">
        <v>7</v>
      </c>
      <c r="W81" s="76">
        <v>28</v>
      </c>
      <c r="X81" s="76" t="s">
        <v>3556</v>
      </c>
      <c r="Y81" s="76" t="s">
        <v>5</v>
      </c>
      <c r="Z81" s="76">
        <v>10</v>
      </c>
      <c r="AA81" s="76" t="s">
        <v>3555</v>
      </c>
      <c r="AB81" s="264" t="s">
        <v>6624</v>
      </c>
      <c r="AC81" s="72"/>
      <c r="AD81" s="264" t="s">
        <v>2145</v>
      </c>
      <c r="AE81" s="25" t="s">
        <v>3554</v>
      </c>
      <c r="AF81" s="342">
        <v>5.6721000000000001E-2</v>
      </c>
      <c r="AG81" s="62">
        <v>0.14722222222222223</v>
      </c>
      <c r="AH81" s="342">
        <v>2.1055000000000001E-2</v>
      </c>
      <c r="AI81" s="62">
        <v>3.4027777777777775E-2</v>
      </c>
      <c r="AJ81" s="368">
        <f t="shared" si="1"/>
        <v>-0.62879709455051924</v>
      </c>
    </row>
    <row r="82" spans="1:36">
      <c r="B82" s="72" t="s">
        <v>2109</v>
      </c>
      <c r="C82" s="73" t="s">
        <v>1691</v>
      </c>
      <c r="D82" s="74">
        <v>790</v>
      </c>
      <c r="E82" s="72" t="s">
        <v>8</v>
      </c>
      <c r="F82" s="74">
        <v>110</v>
      </c>
      <c r="G82" s="74">
        <f>F82+Q82+T82+W82+Z82</f>
        <v>188.9</v>
      </c>
      <c r="H82" s="77">
        <v>44567</v>
      </c>
      <c r="I82" s="72" t="s">
        <v>5008</v>
      </c>
      <c r="J82" s="72" t="s">
        <v>5007</v>
      </c>
      <c r="K82" s="72" t="s">
        <v>2045</v>
      </c>
      <c r="L82" s="72" t="s">
        <v>2056</v>
      </c>
      <c r="M82" s="72">
        <v>2018</v>
      </c>
      <c r="O82" s="72" t="s">
        <v>5010</v>
      </c>
      <c r="P82" s="76" t="s">
        <v>18</v>
      </c>
      <c r="Q82" s="76">
        <v>40</v>
      </c>
      <c r="R82" s="76" t="s">
        <v>5028</v>
      </c>
      <c r="S82" s="76" t="s">
        <v>7</v>
      </c>
      <c r="T82" s="76">
        <v>25</v>
      </c>
      <c r="U82" s="76" t="s">
        <v>5029</v>
      </c>
      <c r="V82" s="76" t="s">
        <v>5</v>
      </c>
      <c r="W82" s="76">
        <v>10</v>
      </c>
      <c r="X82" s="76" t="s">
        <v>5030</v>
      </c>
      <c r="Y82" s="76" t="s">
        <v>4</v>
      </c>
      <c r="Z82" s="76">
        <v>3.9</v>
      </c>
      <c r="AA82" s="76" t="s">
        <v>5031</v>
      </c>
      <c r="AB82" s="264" t="s">
        <v>6600</v>
      </c>
      <c r="AC82" s="264" t="s">
        <v>6603</v>
      </c>
      <c r="AD82" s="264" t="s">
        <v>2362</v>
      </c>
      <c r="AE82" s="218" t="s">
        <v>2108</v>
      </c>
      <c r="AF82" s="358">
        <v>0.18307699999999999</v>
      </c>
      <c r="AG82" s="219">
        <v>0.33124999999999999</v>
      </c>
      <c r="AH82" s="358">
        <v>0.111431</v>
      </c>
      <c r="AI82" s="219">
        <v>0.20624999999999999</v>
      </c>
      <c r="AJ82" s="368">
        <f t="shared" si="1"/>
        <v>-0.39134353304893565</v>
      </c>
    </row>
    <row r="83" spans="1:36">
      <c r="B83" s="72" t="s">
        <v>32</v>
      </c>
      <c r="C83" s="73" t="s">
        <v>1691</v>
      </c>
      <c r="D83" s="74">
        <v>770</v>
      </c>
      <c r="E83" s="72" t="s">
        <v>18</v>
      </c>
      <c r="F83" s="74">
        <v>230</v>
      </c>
      <c r="G83" s="74">
        <f>F83+Q83+T83</f>
        <v>293</v>
      </c>
      <c r="H83" s="77">
        <v>43634</v>
      </c>
      <c r="I83" s="72" t="s">
        <v>2688</v>
      </c>
      <c r="J83" s="72" t="s">
        <v>3553</v>
      </c>
      <c r="K83" s="72" t="s">
        <v>2045</v>
      </c>
      <c r="L83" s="72" t="s">
        <v>3220</v>
      </c>
      <c r="M83" s="72">
        <v>2016</v>
      </c>
      <c r="O83" s="72" t="s">
        <v>3552</v>
      </c>
      <c r="P83" s="76" t="s">
        <v>7</v>
      </c>
      <c r="Q83" s="76">
        <v>45</v>
      </c>
      <c r="R83" s="76" t="s">
        <v>3551</v>
      </c>
      <c r="S83" s="76" t="s">
        <v>5</v>
      </c>
      <c r="T83" s="76">
        <v>18</v>
      </c>
      <c r="U83" s="76" t="s">
        <v>3550</v>
      </c>
      <c r="V83" s="76" t="s">
        <v>4</v>
      </c>
      <c r="W83" s="76" t="s">
        <v>1</v>
      </c>
      <c r="X83" s="76" t="s">
        <v>3549</v>
      </c>
      <c r="Y83" s="76" t="s">
        <v>278</v>
      </c>
      <c r="Z83" s="76">
        <v>0.5</v>
      </c>
      <c r="AA83" s="82">
        <v>42430</v>
      </c>
      <c r="AB83" s="264" t="s">
        <v>6624</v>
      </c>
      <c r="AD83" s="264" t="s">
        <v>2145</v>
      </c>
      <c r="AE83" s="25" t="s">
        <v>3548</v>
      </c>
      <c r="AF83" s="342">
        <v>3.2729000000000001E-2</v>
      </c>
      <c r="AG83" s="62">
        <v>2.5694444444444447E-2</v>
      </c>
      <c r="AH83" s="342">
        <v>4.5798999999999999E-2</v>
      </c>
      <c r="AI83" s="62">
        <v>3.2638888888888891E-2</v>
      </c>
      <c r="AJ83" s="368">
        <f t="shared" si="1"/>
        <v>0.39934003483149483</v>
      </c>
    </row>
    <row r="84" spans="1:36">
      <c r="B84" s="72" t="s">
        <v>1064</v>
      </c>
      <c r="C84" s="73" t="s">
        <v>1691</v>
      </c>
      <c r="D84" s="74">
        <v>750</v>
      </c>
      <c r="E84" s="72" t="s">
        <v>18</v>
      </c>
      <c r="F84" s="74">
        <v>85</v>
      </c>
      <c r="G84" s="74">
        <f>F84+Q84+T84+W84</f>
        <v>131.9</v>
      </c>
      <c r="H84" s="77">
        <v>44501</v>
      </c>
      <c r="I84" s="72" t="s">
        <v>2877</v>
      </c>
      <c r="J84" s="72" t="s">
        <v>3542</v>
      </c>
      <c r="K84" s="72" t="s">
        <v>2569</v>
      </c>
      <c r="L84" s="72" t="s">
        <v>2056</v>
      </c>
      <c r="M84" s="78">
        <v>43670</v>
      </c>
      <c r="N84" s="72" t="s">
        <v>3541</v>
      </c>
      <c r="O84" s="72" t="s">
        <v>3540</v>
      </c>
      <c r="P84" s="76" t="s">
        <v>7</v>
      </c>
      <c r="Q84" s="76">
        <v>28</v>
      </c>
      <c r="R84" s="76" t="s">
        <v>3539</v>
      </c>
      <c r="S84" s="76" t="s">
        <v>5</v>
      </c>
      <c r="T84" s="76">
        <v>15</v>
      </c>
      <c r="U84" s="76" t="s">
        <v>3538</v>
      </c>
      <c r="V84" s="76" t="s">
        <v>4</v>
      </c>
      <c r="W84" s="76">
        <v>3.9</v>
      </c>
      <c r="X84" s="76" t="s">
        <v>3537</v>
      </c>
      <c r="Y84" s="76" t="s">
        <v>1</v>
      </c>
      <c r="Z84" s="76" t="s">
        <v>1</v>
      </c>
      <c r="AA84" s="76" t="s">
        <v>1</v>
      </c>
      <c r="AB84" s="264" t="s">
        <v>6600</v>
      </c>
      <c r="AC84" s="264" t="s">
        <v>6602</v>
      </c>
      <c r="AD84" s="264" t="s">
        <v>2900</v>
      </c>
      <c r="AE84" s="25" t="s">
        <v>5055</v>
      </c>
      <c r="AF84" s="357">
        <v>3.8234999999999998E-2</v>
      </c>
      <c r="AG84" s="68">
        <v>2.4305555555555556E-2</v>
      </c>
      <c r="AH84" s="357">
        <v>1.6441000000000001E-2</v>
      </c>
      <c r="AI84" s="68">
        <v>6.6666666666666666E-2</v>
      </c>
      <c r="AJ84" s="368">
        <f t="shared" si="1"/>
        <v>-0.5700013077023669</v>
      </c>
    </row>
    <row r="85" spans="1:36">
      <c r="B85" s="274" t="s">
        <v>1086</v>
      </c>
      <c r="C85" s="275" t="s">
        <v>1691</v>
      </c>
      <c r="D85" s="325">
        <v>750</v>
      </c>
      <c r="E85" s="274" t="s">
        <v>7</v>
      </c>
      <c r="F85" s="325">
        <v>100</v>
      </c>
      <c r="G85" s="325">
        <f>F85+Q85+T85</f>
        <v>138</v>
      </c>
      <c r="H85" s="326">
        <v>45042</v>
      </c>
      <c r="I85" s="274" t="s">
        <v>3353</v>
      </c>
      <c r="J85" s="72" t="s">
        <v>3547</v>
      </c>
      <c r="K85" s="72" t="s">
        <v>2569</v>
      </c>
      <c r="L85" s="72" t="s">
        <v>3352</v>
      </c>
      <c r="M85" s="72">
        <v>2019</v>
      </c>
      <c r="N85" s="72" t="s">
        <v>3546</v>
      </c>
      <c r="O85" s="72" t="s">
        <v>3545</v>
      </c>
      <c r="P85" s="76" t="s">
        <v>5</v>
      </c>
      <c r="Q85" s="76">
        <v>28</v>
      </c>
      <c r="R85" s="76" t="s">
        <v>3544</v>
      </c>
      <c r="S85" s="76" t="s">
        <v>4</v>
      </c>
      <c r="T85" s="76">
        <v>10</v>
      </c>
      <c r="U85" s="76" t="s">
        <v>3543</v>
      </c>
      <c r="V85" s="76" t="s">
        <v>1</v>
      </c>
      <c r="W85" s="76" t="s">
        <v>1</v>
      </c>
      <c r="X85" s="76" t="s">
        <v>1</v>
      </c>
      <c r="Y85" s="76" t="s">
        <v>1</v>
      </c>
      <c r="Z85" s="76" t="s">
        <v>1</v>
      </c>
      <c r="AA85" s="76" t="s">
        <v>1</v>
      </c>
      <c r="AB85" s="264" t="s">
        <v>6600</v>
      </c>
      <c r="AC85" s="264" t="s">
        <v>6608</v>
      </c>
      <c r="AD85" s="264" t="s">
        <v>6608</v>
      </c>
      <c r="AE85" s="25" t="s">
        <v>5054</v>
      </c>
      <c r="AF85" s="357">
        <v>0.80319799999999997</v>
      </c>
      <c r="AG85" s="68">
        <v>0.17986111111111111</v>
      </c>
      <c r="AH85" s="357">
        <v>0.89120100000000002</v>
      </c>
      <c r="AI85" s="68">
        <v>0.15555555555555556</v>
      </c>
      <c r="AJ85" s="368">
        <f t="shared" si="1"/>
        <v>0.10956576087091863</v>
      </c>
    </row>
    <row r="86" spans="1:36">
      <c r="B86" s="72" t="s">
        <v>2118</v>
      </c>
      <c r="C86" s="73" t="s">
        <v>1691</v>
      </c>
      <c r="D86" s="74">
        <v>700</v>
      </c>
      <c r="E86" s="72" t="s">
        <v>18</v>
      </c>
      <c r="F86" s="74">
        <v>300</v>
      </c>
      <c r="G86" s="74">
        <f>F86+T86+W86</f>
        <v>362.6</v>
      </c>
      <c r="H86" s="77">
        <v>44300</v>
      </c>
      <c r="I86" s="72" t="s">
        <v>4839</v>
      </c>
      <c r="J86" s="72" t="s">
        <v>4837</v>
      </c>
      <c r="K86" s="72" t="s">
        <v>2045</v>
      </c>
      <c r="L86" s="72" t="s">
        <v>2100</v>
      </c>
      <c r="M86" s="72">
        <v>2016</v>
      </c>
      <c r="N86" s="72" t="s">
        <v>5056</v>
      </c>
      <c r="O86" s="274" t="s">
        <v>4840</v>
      </c>
      <c r="P86" s="76" t="s">
        <v>7</v>
      </c>
      <c r="Q86" s="76" t="s">
        <v>1</v>
      </c>
      <c r="R86" s="76" t="s">
        <v>4850</v>
      </c>
      <c r="S86" s="76" t="s">
        <v>5</v>
      </c>
      <c r="T86" s="76">
        <v>52.3</v>
      </c>
      <c r="U86" s="336" t="s">
        <v>4851</v>
      </c>
      <c r="V86" s="76" t="s">
        <v>4</v>
      </c>
      <c r="W86" s="76">
        <v>10.3</v>
      </c>
      <c r="X86" s="336" t="s">
        <v>4870</v>
      </c>
      <c r="Y86" s="76" t="s">
        <v>1</v>
      </c>
      <c r="Z86" s="76" t="s">
        <v>1</v>
      </c>
      <c r="AA86" s="76" t="s">
        <v>1</v>
      </c>
      <c r="AB86" s="264" t="s">
        <v>6600</v>
      </c>
      <c r="AC86" s="264" t="s">
        <v>6603</v>
      </c>
      <c r="AD86" s="264" t="s">
        <v>6611</v>
      </c>
      <c r="AE86" s="25" t="s">
        <v>2117</v>
      </c>
      <c r="AF86" s="342">
        <v>2.3448E-2</v>
      </c>
      <c r="AG86" s="62">
        <v>3.8194444444444441E-2</v>
      </c>
      <c r="AH86" s="342">
        <v>0.32202599999999998</v>
      </c>
      <c r="AI86" s="62">
        <v>0.15138888888888888</v>
      </c>
      <c r="AJ86" s="368">
        <f t="shared" si="1"/>
        <v>12.733623336745136</v>
      </c>
    </row>
    <row r="87" spans="1:36">
      <c r="B87" s="72" t="s">
        <v>3536</v>
      </c>
      <c r="C87" s="73" t="s">
        <v>1691</v>
      </c>
      <c r="D87" s="74">
        <v>615</v>
      </c>
      <c r="E87" s="72" t="s">
        <v>8</v>
      </c>
      <c r="F87" s="74">
        <v>135</v>
      </c>
      <c r="G87" s="74">
        <f>F87+Q87+T87</f>
        <v>240</v>
      </c>
      <c r="H87" s="77">
        <v>44880</v>
      </c>
      <c r="I87" s="72" t="s">
        <v>3535</v>
      </c>
      <c r="J87" s="72" t="s">
        <v>3534</v>
      </c>
      <c r="K87" s="72" t="s">
        <v>2045</v>
      </c>
      <c r="L87" s="72" t="s">
        <v>2056</v>
      </c>
      <c r="M87" s="72">
        <v>2013</v>
      </c>
      <c r="O87" s="72" t="s">
        <v>3533</v>
      </c>
      <c r="P87" s="76" t="s">
        <v>18</v>
      </c>
      <c r="Q87" s="76">
        <v>73</v>
      </c>
      <c r="R87" s="76" t="s">
        <v>3532</v>
      </c>
      <c r="S87" s="76" t="s">
        <v>7</v>
      </c>
      <c r="T87" s="76">
        <v>32</v>
      </c>
      <c r="U87" s="76" t="s">
        <v>3531</v>
      </c>
      <c r="V87" s="76" t="s">
        <v>1</v>
      </c>
      <c r="W87" s="76" t="s">
        <v>1</v>
      </c>
      <c r="X87" s="76" t="s">
        <v>1</v>
      </c>
      <c r="Y87" s="76" t="s">
        <v>1</v>
      </c>
      <c r="Z87" s="76" t="s">
        <v>1</v>
      </c>
      <c r="AA87" s="76" t="s">
        <v>1</v>
      </c>
      <c r="AB87" s="264" t="s">
        <v>6600</v>
      </c>
      <c r="AC87" s="264" t="s">
        <v>6603</v>
      </c>
      <c r="AD87" s="264" t="s">
        <v>7928</v>
      </c>
      <c r="AE87" s="25" t="s">
        <v>3530</v>
      </c>
      <c r="AF87" s="342">
        <v>5.7549999999999997E-2</v>
      </c>
      <c r="AG87" s="62">
        <v>8.1944444444444445E-2</v>
      </c>
      <c r="AH87" s="342">
        <v>4.7396000000000001E-2</v>
      </c>
      <c r="AI87" s="62">
        <v>5.5555555555555552E-2</v>
      </c>
      <c r="AJ87" s="368">
        <f t="shared" si="1"/>
        <v>-0.17643788010425709</v>
      </c>
    </row>
    <row r="88" spans="1:36">
      <c r="B88" s="72" t="s">
        <v>176</v>
      </c>
      <c r="C88" s="73" t="s">
        <v>1691</v>
      </c>
      <c r="D88" s="79">
        <v>600</v>
      </c>
      <c r="E88" s="72" t="s">
        <v>53</v>
      </c>
      <c r="F88" s="74">
        <v>475</v>
      </c>
      <c r="H88" s="77">
        <v>44278</v>
      </c>
      <c r="I88" s="72" t="s">
        <v>3824</v>
      </c>
      <c r="J88" s="72" t="s">
        <v>3823</v>
      </c>
      <c r="K88" s="72" t="s">
        <v>2045</v>
      </c>
      <c r="L88" s="72" t="s">
        <v>3822</v>
      </c>
      <c r="M88" s="72">
        <v>2009</v>
      </c>
      <c r="N88" s="204" t="s">
        <v>7129</v>
      </c>
      <c r="O88" s="72" t="s">
        <v>3821</v>
      </c>
      <c r="P88" s="76" t="s">
        <v>3820</v>
      </c>
      <c r="Q88" s="76">
        <v>392</v>
      </c>
      <c r="R88" s="76" t="s">
        <v>3819</v>
      </c>
      <c r="S88" s="76" t="s">
        <v>3818</v>
      </c>
      <c r="T88" s="76">
        <v>130</v>
      </c>
      <c r="U88" s="76" t="s">
        <v>3817</v>
      </c>
      <c r="V88" s="76" t="s">
        <v>18</v>
      </c>
      <c r="W88" s="76">
        <v>34</v>
      </c>
      <c r="X88" s="76" t="s">
        <v>3816</v>
      </c>
      <c r="Y88" s="76" t="s">
        <v>7</v>
      </c>
      <c r="Z88" s="76">
        <v>16.5</v>
      </c>
      <c r="AA88" s="76" t="s">
        <v>3815</v>
      </c>
      <c r="AB88" s="165" t="s">
        <v>6600</v>
      </c>
      <c r="AC88" s="165" t="s">
        <v>6608</v>
      </c>
      <c r="AD88" s="165" t="s">
        <v>6608</v>
      </c>
      <c r="AE88" s="25" t="s">
        <v>3814</v>
      </c>
      <c r="AF88" s="342">
        <v>8.6777999999999994E-2</v>
      </c>
      <c r="AG88" s="62">
        <v>0.11666666666666665</v>
      </c>
      <c r="AH88" s="342">
        <v>8.2516000000000006E-2</v>
      </c>
      <c r="AI88" s="341">
        <v>0.12083333333333333</v>
      </c>
      <c r="AJ88" s="368">
        <f t="shared" si="1"/>
        <v>-4.911383069441555E-2</v>
      </c>
    </row>
    <row r="89" spans="1:36">
      <c r="B89" s="72" t="s">
        <v>3522</v>
      </c>
      <c r="C89" s="73" t="s">
        <v>1691</v>
      </c>
      <c r="D89" s="74">
        <v>550</v>
      </c>
      <c r="E89" s="72" t="s">
        <v>18</v>
      </c>
      <c r="F89" s="74">
        <v>50</v>
      </c>
      <c r="G89" s="74">
        <f>F89+Q89+T89+W89</f>
        <v>100</v>
      </c>
      <c r="H89" s="77">
        <v>44861</v>
      </c>
      <c r="I89" s="72" t="s">
        <v>3521</v>
      </c>
      <c r="J89" s="72" t="s">
        <v>3520</v>
      </c>
      <c r="K89" s="72" t="s">
        <v>2308</v>
      </c>
      <c r="L89" s="72" t="s">
        <v>2302</v>
      </c>
      <c r="M89" s="72">
        <v>2017</v>
      </c>
      <c r="N89" s="72" t="s">
        <v>3519</v>
      </c>
      <c r="O89" s="72" t="s">
        <v>3518</v>
      </c>
      <c r="P89" s="76" t="s">
        <v>7</v>
      </c>
      <c r="Q89" s="76">
        <v>30</v>
      </c>
      <c r="R89" s="76" t="s">
        <v>3517</v>
      </c>
      <c r="S89" s="76" t="s">
        <v>5</v>
      </c>
      <c r="T89" s="76">
        <v>15</v>
      </c>
      <c r="U89" s="76" t="s">
        <v>3516</v>
      </c>
      <c r="V89" s="76" t="s">
        <v>4</v>
      </c>
      <c r="W89" s="76">
        <v>5</v>
      </c>
      <c r="X89" s="76" t="s">
        <v>1146</v>
      </c>
      <c r="Y89" s="76" t="s">
        <v>1</v>
      </c>
      <c r="Z89" s="76" t="s">
        <v>1</v>
      </c>
      <c r="AA89" s="76" t="s">
        <v>1</v>
      </c>
      <c r="AB89" s="264" t="s">
        <v>6600</v>
      </c>
      <c r="AC89" s="264" t="s">
        <v>6603</v>
      </c>
      <c r="AD89" s="264" t="s">
        <v>2362</v>
      </c>
      <c r="AE89" s="25" t="s">
        <v>5058</v>
      </c>
      <c r="AF89" s="357">
        <v>1.9610000000000001</v>
      </c>
      <c r="AG89" s="68">
        <v>0.1013888888888889</v>
      </c>
      <c r="AH89" s="357">
        <v>2.3519999999999999</v>
      </c>
      <c r="AI89" s="68">
        <v>0.10208333333333333</v>
      </c>
      <c r="AJ89" s="368">
        <f t="shared" si="1"/>
        <v>0.1993880673125954</v>
      </c>
    </row>
    <row r="90" spans="1:36">
      <c r="B90" s="72" t="s">
        <v>448</v>
      </c>
      <c r="C90" s="73" t="s">
        <v>1691</v>
      </c>
      <c r="D90" s="74">
        <v>500</v>
      </c>
      <c r="E90" s="72" t="s">
        <v>8</v>
      </c>
      <c r="F90" s="74">
        <v>90</v>
      </c>
      <c r="G90" s="74">
        <f>+F90+Q90+T90+W90</f>
        <v>164.5</v>
      </c>
      <c r="H90" s="77">
        <v>44776</v>
      </c>
      <c r="I90" s="72" t="s">
        <v>3498</v>
      </c>
      <c r="J90" s="72" t="s">
        <v>3497</v>
      </c>
      <c r="K90" s="72" t="s">
        <v>2045</v>
      </c>
      <c r="L90" s="72" t="s">
        <v>2089</v>
      </c>
      <c r="M90" s="72">
        <v>2017</v>
      </c>
      <c r="O90" s="72" t="s">
        <v>3496</v>
      </c>
      <c r="P90" s="76" t="s">
        <v>18</v>
      </c>
      <c r="Q90" s="76">
        <v>40</v>
      </c>
      <c r="R90" s="76" t="s">
        <v>3495</v>
      </c>
      <c r="S90" s="76" t="s">
        <v>7</v>
      </c>
      <c r="T90" s="76">
        <v>20</v>
      </c>
      <c r="U90" s="76" t="s">
        <v>3494</v>
      </c>
      <c r="V90" s="76" t="s">
        <v>7</v>
      </c>
      <c r="W90" s="76">
        <v>14.5</v>
      </c>
      <c r="X90" s="76" t="s">
        <v>1085</v>
      </c>
      <c r="Y90" s="76" t="s">
        <v>1</v>
      </c>
      <c r="Z90" s="76" t="s">
        <v>1</v>
      </c>
      <c r="AA90" s="76" t="s">
        <v>1</v>
      </c>
      <c r="AB90" s="264" t="s">
        <v>6600</v>
      </c>
      <c r="AC90" s="264" t="s">
        <v>6603</v>
      </c>
      <c r="AD90" s="264" t="s">
        <v>2362</v>
      </c>
      <c r="AE90" s="25" t="s">
        <v>5063</v>
      </c>
      <c r="AF90" s="357">
        <v>4.3948000000000001E-2</v>
      </c>
      <c r="AG90" s="68">
        <v>0.23333333333333331</v>
      </c>
      <c r="AH90" s="357">
        <v>6.2883999999999995E-2</v>
      </c>
      <c r="AI90" s="341">
        <v>3.9583333333333331E-2</v>
      </c>
      <c r="AJ90" s="368">
        <f t="shared" si="1"/>
        <v>0.43087284973150064</v>
      </c>
    </row>
    <row r="91" spans="1:36">
      <c r="B91" s="12" t="s">
        <v>3871</v>
      </c>
      <c r="C91" s="73" t="s">
        <v>1691</v>
      </c>
      <c r="D91" s="79">
        <v>500</v>
      </c>
      <c r="E91" s="72" t="s">
        <v>504</v>
      </c>
      <c r="F91" s="74">
        <v>250</v>
      </c>
      <c r="H91" s="77">
        <v>44376</v>
      </c>
      <c r="I91" s="72" t="s">
        <v>2877</v>
      </c>
      <c r="J91" s="72" t="s">
        <v>3870</v>
      </c>
      <c r="K91" s="72" t="s">
        <v>2045</v>
      </c>
      <c r="L91" s="72" t="s">
        <v>2056</v>
      </c>
      <c r="M91" s="72">
        <v>2012</v>
      </c>
      <c r="N91" s="204" t="s">
        <v>7123</v>
      </c>
      <c r="O91" s="204" t="s">
        <v>7122</v>
      </c>
      <c r="P91" s="76" t="s">
        <v>53</v>
      </c>
      <c r="Q91" s="76">
        <v>270</v>
      </c>
      <c r="R91" s="76" t="s">
        <v>3869</v>
      </c>
      <c r="S91" s="76" t="s">
        <v>9</v>
      </c>
      <c r="T91" s="76">
        <v>206</v>
      </c>
      <c r="U91" s="76" t="s">
        <v>3868</v>
      </c>
      <c r="V91" s="76" t="s">
        <v>8</v>
      </c>
      <c r="W91" s="76">
        <v>100</v>
      </c>
      <c r="X91" s="76" t="s">
        <v>3867</v>
      </c>
      <c r="Y91" s="76" t="s">
        <v>18</v>
      </c>
      <c r="Z91" s="76">
        <v>67.2</v>
      </c>
      <c r="AA91" s="76" t="s">
        <v>3866</v>
      </c>
      <c r="AB91" s="165" t="s">
        <v>6600</v>
      </c>
      <c r="AC91" s="165" t="s">
        <v>6607</v>
      </c>
      <c r="AD91" s="165" t="s">
        <v>2352</v>
      </c>
      <c r="AE91" s="25" t="s">
        <v>4344</v>
      </c>
      <c r="AF91" s="343">
        <v>0.221168</v>
      </c>
      <c r="AG91" s="62">
        <v>0.15</v>
      </c>
      <c r="AH91" s="343">
        <v>0.19269800000000001</v>
      </c>
      <c r="AI91" s="62">
        <v>0.18472222222222223</v>
      </c>
      <c r="AJ91" s="368">
        <f t="shared" si="1"/>
        <v>-0.12872567460030382</v>
      </c>
    </row>
    <row r="92" spans="1:36">
      <c r="B92" s="72" t="s">
        <v>4996</v>
      </c>
      <c r="C92" s="73" t="s">
        <v>1691</v>
      </c>
      <c r="D92" s="79">
        <v>500</v>
      </c>
      <c r="E92" s="72" t="s">
        <v>53</v>
      </c>
      <c r="F92" s="74">
        <v>100</v>
      </c>
      <c r="G92" s="74">
        <f>F92+Q92+T92+W92+Z92</f>
        <v>220.5</v>
      </c>
      <c r="H92" s="77">
        <v>44474</v>
      </c>
      <c r="I92" s="72" t="s">
        <v>4998</v>
      </c>
      <c r="J92" s="72" t="s">
        <v>4997</v>
      </c>
      <c r="K92" s="72" t="s">
        <v>2045</v>
      </c>
      <c r="L92" s="72" t="s">
        <v>2056</v>
      </c>
      <c r="M92" s="72">
        <v>2013</v>
      </c>
      <c r="N92" s="204" t="s">
        <v>7126</v>
      </c>
      <c r="O92" s="72" t="s">
        <v>4999</v>
      </c>
      <c r="P92" s="76" t="s">
        <v>9</v>
      </c>
      <c r="Q92" s="76">
        <v>43</v>
      </c>
      <c r="R92" s="76" t="s">
        <v>5002</v>
      </c>
      <c r="S92" s="76" t="s">
        <v>8</v>
      </c>
      <c r="T92" s="76">
        <v>40</v>
      </c>
      <c r="U92" s="76" t="s">
        <v>5003</v>
      </c>
      <c r="V92" s="76" t="s">
        <v>18</v>
      </c>
      <c r="W92" s="76">
        <v>27</v>
      </c>
      <c r="X92" s="76" t="s">
        <v>5004</v>
      </c>
      <c r="Y92" s="76" t="s">
        <v>7</v>
      </c>
      <c r="Z92" s="76">
        <v>10.5</v>
      </c>
      <c r="AA92" s="76" t="s">
        <v>1128</v>
      </c>
      <c r="AB92" s="165" t="s">
        <v>6600</v>
      </c>
      <c r="AC92" s="165" t="s">
        <v>6603</v>
      </c>
      <c r="AD92" s="165" t="s">
        <v>2362</v>
      </c>
      <c r="AE92" s="25" t="s">
        <v>2110</v>
      </c>
      <c r="AF92" s="343">
        <v>6.9675000000000001E-2</v>
      </c>
      <c r="AG92" s="62">
        <v>2.8472222222222222E-2</v>
      </c>
      <c r="AH92" s="343">
        <v>2.0892000000000001E-2</v>
      </c>
      <c r="AI92" s="62">
        <v>6.8750000000000006E-2</v>
      </c>
      <c r="AJ92" s="368">
        <f t="shared" si="1"/>
        <v>-0.70015069967707211</v>
      </c>
    </row>
    <row r="93" spans="1:36" s="176" customFormat="1">
      <c r="A93" s="72"/>
      <c r="B93" s="274" t="s">
        <v>2101</v>
      </c>
      <c r="C93" s="275" t="s">
        <v>1691</v>
      </c>
      <c r="D93" s="325">
        <v>500</v>
      </c>
      <c r="E93" s="274" t="s">
        <v>18</v>
      </c>
      <c r="F93" s="325">
        <v>100</v>
      </c>
      <c r="G93" s="325">
        <f>+F93+Q93+T93+W93</f>
        <v>171</v>
      </c>
      <c r="H93" s="326">
        <v>44397</v>
      </c>
      <c r="I93" s="274" t="s">
        <v>5219</v>
      </c>
      <c r="J93" s="274" t="s">
        <v>5218</v>
      </c>
      <c r="K93" s="72" t="s">
        <v>2100</v>
      </c>
      <c r="L93" s="72" t="s">
        <v>2099</v>
      </c>
      <c r="M93" s="72">
        <v>2014</v>
      </c>
      <c r="N93" s="72"/>
      <c r="O93" s="91" t="s">
        <v>5220</v>
      </c>
      <c r="P93" s="93" t="s">
        <v>7</v>
      </c>
      <c r="Q93" s="76">
        <v>56</v>
      </c>
      <c r="R93" s="93" t="s">
        <v>5221</v>
      </c>
      <c r="S93" s="93" t="s">
        <v>5</v>
      </c>
      <c r="T93" s="76">
        <v>12.5</v>
      </c>
      <c r="U93" s="93" t="s">
        <v>5224</v>
      </c>
      <c r="V93" s="93" t="s">
        <v>4</v>
      </c>
      <c r="W93" s="76">
        <v>2.5</v>
      </c>
      <c r="X93" s="93" t="s">
        <v>5226</v>
      </c>
      <c r="Y93" s="93" t="s">
        <v>1</v>
      </c>
      <c r="Z93" s="93" t="s">
        <v>1</v>
      </c>
      <c r="AA93" s="93" t="s">
        <v>1</v>
      </c>
      <c r="AB93" s="264" t="s">
        <v>6600</v>
      </c>
      <c r="AC93" s="264" t="s">
        <v>2889</v>
      </c>
      <c r="AD93" s="264" t="s">
        <v>7930</v>
      </c>
      <c r="AE93" s="25" t="s">
        <v>2097</v>
      </c>
      <c r="AF93" s="344" t="s">
        <v>7145</v>
      </c>
      <c r="AG93" s="353" t="s">
        <v>7145</v>
      </c>
      <c r="AH93" s="343">
        <v>6.1510000000000002E-3</v>
      </c>
      <c r="AI93" s="341">
        <v>0.10694444444444444</v>
      </c>
      <c r="AJ93" s="368"/>
    </row>
    <row r="94" spans="1:36" s="176" customFormat="1">
      <c r="A94" s="72"/>
      <c r="B94" s="274" t="s">
        <v>2096</v>
      </c>
      <c r="C94" s="275" t="s">
        <v>1691</v>
      </c>
      <c r="D94" s="325">
        <v>500</v>
      </c>
      <c r="E94" s="274" t="s">
        <v>18</v>
      </c>
      <c r="F94" s="325">
        <v>115</v>
      </c>
      <c r="G94" s="325">
        <f>+F94+Q94</f>
        <v>170</v>
      </c>
      <c r="H94" s="326">
        <v>44469</v>
      </c>
      <c r="I94" s="274" t="s">
        <v>5233</v>
      </c>
      <c r="J94" s="91" t="s">
        <v>5227</v>
      </c>
      <c r="K94" s="72" t="s">
        <v>2045</v>
      </c>
      <c r="L94" s="72" t="s">
        <v>2095</v>
      </c>
      <c r="M94" s="72">
        <v>2012</v>
      </c>
      <c r="N94" s="72"/>
      <c r="O94" s="91" t="s">
        <v>5229</v>
      </c>
      <c r="P94" s="93" t="s">
        <v>7</v>
      </c>
      <c r="Q94" s="76">
        <v>55</v>
      </c>
      <c r="R94" s="93" t="s">
        <v>1124</v>
      </c>
      <c r="S94" s="93" t="s">
        <v>5</v>
      </c>
      <c r="T94" s="93" t="s">
        <v>1</v>
      </c>
      <c r="U94" s="93" t="s">
        <v>1</v>
      </c>
      <c r="V94" s="93" t="s">
        <v>1</v>
      </c>
      <c r="W94" s="93" t="s">
        <v>1</v>
      </c>
      <c r="X94" s="93" t="s">
        <v>1</v>
      </c>
      <c r="Y94" s="93" t="s">
        <v>1</v>
      </c>
      <c r="Z94" s="93" t="s">
        <v>1</v>
      </c>
      <c r="AA94" s="93" t="s">
        <v>1</v>
      </c>
      <c r="AB94" s="264" t="s">
        <v>6625</v>
      </c>
      <c r="AC94" s="72"/>
      <c r="AD94" s="264" t="s">
        <v>2094</v>
      </c>
      <c r="AE94" s="25" t="s">
        <v>2093</v>
      </c>
      <c r="AF94" s="344" t="s">
        <v>7145</v>
      </c>
      <c r="AG94" s="353" t="s">
        <v>7145</v>
      </c>
      <c r="AH94" s="343">
        <v>9.1746999999999995E-2</v>
      </c>
      <c r="AI94" s="341">
        <v>0.28125</v>
      </c>
      <c r="AJ94" s="368"/>
    </row>
    <row r="95" spans="1:36">
      <c r="B95" s="72" t="s">
        <v>310</v>
      </c>
      <c r="C95" s="73" t="s">
        <v>1691</v>
      </c>
      <c r="D95" s="74">
        <v>500</v>
      </c>
      <c r="E95" s="72" t="s">
        <v>8</v>
      </c>
      <c r="F95" s="74">
        <v>69</v>
      </c>
      <c r="G95" s="74">
        <f>+F95+Q95+T95+W95</f>
        <v>233.7</v>
      </c>
      <c r="H95" s="77">
        <v>45091</v>
      </c>
      <c r="I95" s="72" t="s">
        <v>3476</v>
      </c>
      <c r="J95" s="72" t="s">
        <v>3475</v>
      </c>
      <c r="K95" s="72" t="s">
        <v>2045</v>
      </c>
      <c r="L95" s="72" t="s">
        <v>2400</v>
      </c>
      <c r="M95" s="72">
        <v>2015</v>
      </c>
      <c r="O95" s="72" t="s">
        <v>3474</v>
      </c>
      <c r="P95" s="76" t="s">
        <v>18</v>
      </c>
      <c r="Q95" s="76">
        <v>110</v>
      </c>
      <c r="R95" s="76" t="s">
        <v>3473</v>
      </c>
      <c r="S95" s="76" t="s">
        <v>7</v>
      </c>
      <c r="T95" s="76">
        <v>40</v>
      </c>
      <c r="U95" s="76" t="s">
        <v>3472</v>
      </c>
      <c r="V95" s="76" t="s">
        <v>5</v>
      </c>
      <c r="W95" s="76">
        <v>14.7</v>
      </c>
      <c r="X95" s="76" t="s">
        <v>3471</v>
      </c>
      <c r="Y95" s="76" t="s">
        <v>4</v>
      </c>
      <c r="Z95" s="76" t="s">
        <v>1</v>
      </c>
      <c r="AA95" s="76" t="s">
        <v>3470</v>
      </c>
      <c r="AB95" s="264" t="s">
        <v>6600</v>
      </c>
      <c r="AC95" s="264" t="s">
        <v>6603</v>
      </c>
      <c r="AD95" s="264" t="s">
        <v>2362</v>
      </c>
      <c r="AE95" s="25" t="s">
        <v>5069</v>
      </c>
      <c r="AF95" s="348">
        <v>9.9089999999999994E-3</v>
      </c>
      <c r="AG95" s="68">
        <v>0.11319444444444444</v>
      </c>
      <c r="AH95" s="343">
        <v>1.7673999999999999E-2</v>
      </c>
      <c r="AI95" s="359" t="s">
        <v>8913</v>
      </c>
      <c r="AJ95" s="368">
        <f t="shared" si="1"/>
        <v>0.7836310424866284</v>
      </c>
    </row>
    <row r="96" spans="1:36" s="176" customFormat="1">
      <c r="A96" s="72"/>
      <c r="B96" s="72" t="s">
        <v>2072</v>
      </c>
      <c r="C96" s="73" t="s">
        <v>1691</v>
      </c>
      <c r="D96" s="74">
        <v>500</v>
      </c>
      <c r="E96" s="72" t="s">
        <v>18</v>
      </c>
      <c r="F96" s="74">
        <v>65</v>
      </c>
      <c r="G96" s="74">
        <f>F96+Q96+T96</f>
        <v>97.5</v>
      </c>
      <c r="H96" s="77">
        <v>44644</v>
      </c>
      <c r="I96" s="91" t="s">
        <v>5900</v>
      </c>
      <c r="J96" s="91" t="s">
        <v>5897</v>
      </c>
      <c r="K96" s="72" t="s">
        <v>2045</v>
      </c>
      <c r="L96" s="72" t="s">
        <v>2071</v>
      </c>
      <c r="M96" s="72">
        <v>2018</v>
      </c>
      <c r="N96" s="72"/>
      <c r="O96" s="91" t="s">
        <v>5898</v>
      </c>
      <c r="P96" s="93" t="s">
        <v>7</v>
      </c>
      <c r="Q96" s="76">
        <v>22</v>
      </c>
      <c r="R96" s="93" t="s">
        <v>5901</v>
      </c>
      <c r="S96" s="93" t="s">
        <v>5</v>
      </c>
      <c r="T96" s="76">
        <v>10.5</v>
      </c>
      <c r="U96" s="93" t="s">
        <v>5902</v>
      </c>
      <c r="V96" s="93" t="s">
        <v>1</v>
      </c>
      <c r="W96" s="93" t="s">
        <v>1</v>
      </c>
      <c r="X96" s="93" t="s">
        <v>1</v>
      </c>
      <c r="Y96" s="93" t="s">
        <v>1</v>
      </c>
      <c r="Z96" s="93" t="s">
        <v>1</v>
      </c>
      <c r="AA96" s="93" t="s">
        <v>1</v>
      </c>
      <c r="AB96" s="264" t="s">
        <v>6600</v>
      </c>
      <c r="AC96" s="264" t="s">
        <v>6603</v>
      </c>
      <c r="AD96" s="264" t="s">
        <v>2362</v>
      </c>
      <c r="AE96" s="218" t="s">
        <v>2070</v>
      </c>
      <c r="AF96" s="344" t="s">
        <v>7145</v>
      </c>
      <c r="AG96" s="353" t="s">
        <v>7145</v>
      </c>
      <c r="AH96" s="343">
        <v>9.5230000000000002E-3</v>
      </c>
      <c r="AI96" s="360">
        <v>7.3611111111111113E-2</v>
      </c>
      <c r="AJ96" s="368"/>
    </row>
    <row r="97" spans="1:36">
      <c r="B97" s="72" t="s">
        <v>424</v>
      </c>
      <c r="C97" s="73" t="s">
        <v>1691</v>
      </c>
      <c r="D97" s="74">
        <v>500</v>
      </c>
      <c r="E97" s="72" t="s">
        <v>18</v>
      </c>
      <c r="F97" s="74">
        <v>75</v>
      </c>
      <c r="G97" s="74">
        <f>+F97+Q97+T97+W97+Z97</f>
        <v>222</v>
      </c>
      <c r="H97" s="77">
        <v>45020</v>
      </c>
      <c r="I97" s="72" t="s">
        <v>3483</v>
      </c>
      <c r="J97" s="72" t="s">
        <v>3482</v>
      </c>
      <c r="K97" s="72" t="s">
        <v>2045</v>
      </c>
      <c r="L97" s="72" t="s">
        <v>2349</v>
      </c>
      <c r="M97" s="72">
        <v>2017</v>
      </c>
      <c r="O97" s="72" t="s">
        <v>3481</v>
      </c>
      <c r="P97" s="76" t="s">
        <v>18</v>
      </c>
      <c r="Q97" s="76">
        <v>80</v>
      </c>
      <c r="R97" s="76" t="s">
        <v>3480</v>
      </c>
      <c r="S97" s="76" t="s">
        <v>7</v>
      </c>
      <c r="T97" s="76">
        <v>40</v>
      </c>
      <c r="U97" s="76" t="s">
        <v>3479</v>
      </c>
      <c r="V97" s="76" t="s">
        <v>5</v>
      </c>
      <c r="W97" s="76">
        <v>20</v>
      </c>
      <c r="X97" s="76" t="s">
        <v>3478</v>
      </c>
      <c r="Y97" s="76" t="s">
        <v>4</v>
      </c>
      <c r="Z97" s="76">
        <v>7</v>
      </c>
      <c r="AA97" s="76" t="s">
        <v>3477</v>
      </c>
      <c r="AB97" s="264" t="s">
        <v>6600</v>
      </c>
      <c r="AC97" s="264" t="s">
        <v>6603</v>
      </c>
      <c r="AD97" s="264" t="s">
        <v>7929</v>
      </c>
      <c r="AE97" s="25" t="s">
        <v>5068</v>
      </c>
      <c r="AF97" s="348">
        <v>7.8969999999999995E-3</v>
      </c>
      <c r="AG97" s="68">
        <v>2.7777777777777776E-2</v>
      </c>
      <c r="AH97" s="343">
        <v>1.3554E-2</v>
      </c>
      <c r="AI97" s="359" t="s">
        <v>8914</v>
      </c>
      <c r="AJ97" s="368">
        <f t="shared" si="1"/>
        <v>0.71634798024566293</v>
      </c>
    </row>
    <row r="98" spans="1:36" s="216" customFormat="1">
      <c r="B98" s="216" t="s">
        <v>1148</v>
      </c>
      <c r="C98" s="215" t="s">
        <v>1691</v>
      </c>
      <c r="D98" s="221">
        <v>500</v>
      </c>
      <c r="E98" s="216" t="s">
        <v>7</v>
      </c>
      <c r="F98" s="221">
        <v>140</v>
      </c>
      <c r="G98" s="221">
        <f>+F98+Q98</f>
        <v>190</v>
      </c>
      <c r="H98" s="222">
        <v>44393</v>
      </c>
      <c r="I98" s="216" t="s">
        <v>3515</v>
      </c>
      <c r="J98" s="216" t="s">
        <v>3514</v>
      </c>
      <c r="K98" s="216" t="s">
        <v>2045</v>
      </c>
      <c r="L98" s="216" t="s">
        <v>2056</v>
      </c>
      <c r="M98" s="216">
        <v>2019</v>
      </c>
      <c r="N98" s="216" t="s">
        <v>5060</v>
      </c>
      <c r="O98" s="216" t="s">
        <v>3513</v>
      </c>
      <c r="P98" s="217" t="s">
        <v>4</v>
      </c>
      <c r="Q98" s="217">
        <v>50</v>
      </c>
      <c r="R98" s="217" t="s">
        <v>1</v>
      </c>
      <c r="S98" s="217" t="s">
        <v>1</v>
      </c>
      <c r="T98" s="217" t="s">
        <v>1</v>
      </c>
      <c r="U98" s="217" t="s">
        <v>1</v>
      </c>
      <c r="V98" s="217" t="s">
        <v>1</v>
      </c>
      <c r="W98" s="217" t="s">
        <v>1</v>
      </c>
      <c r="X98" s="217" t="s">
        <v>1</v>
      </c>
      <c r="Y98" s="217" t="s">
        <v>1</v>
      </c>
      <c r="Z98" s="217" t="s">
        <v>1</v>
      </c>
      <c r="AA98" s="217" t="s">
        <v>1</v>
      </c>
      <c r="AB98" s="264" t="s">
        <v>6600</v>
      </c>
      <c r="AC98" s="264" t="s">
        <v>6603</v>
      </c>
      <c r="AD98" s="264" t="s">
        <v>6610</v>
      </c>
      <c r="AE98" s="25" t="s">
        <v>5059</v>
      </c>
      <c r="AF98" s="348">
        <v>0</v>
      </c>
      <c r="AG98" s="68">
        <v>1.3194444444444444E-2</v>
      </c>
      <c r="AH98" s="348">
        <v>9.1929999999999998E-3</v>
      </c>
      <c r="AI98" s="68">
        <v>6.805555555555555E-2</v>
      </c>
      <c r="AJ98" s="368"/>
    </row>
    <row r="99" spans="1:36">
      <c r="B99" s="72" t="s">
        <v>431</v>
      </c>
      <c r="C99" s="73" t="s">
        <v>1691</v>
      </c>
      <c r="D99" s="74">
        <v>500</v>
      </c>
      <c r="E99" s="72" t="s">
        <v>7</v>
      </c>
      <c r="F99" s="74">
        <v>93</v>
      </c>
      <c r="G99" s="74">
        <f>+F99+Q99</f>
        <v>108</v>
      </c>
      <c r="H99" s="27">
        <v>43018</v>
      </c>
      <c r="I99" s="72" t="s">
        <v>3512</v>
      </c>
      <c r="J99" s="72" t="s">
        <v>3511</v>
      </c>
      <c r="K99" s="72" t="s">
        <v>2045</v>
      </c>
      <c r="L99" s="72" t="s">
        <v>2142</v>
      </c>
      <c r="M99" s="72">
        <v>2016</v>
      </c>
      <c r="N99" s="72" t="s">
        <v>3510</v>
      </c>
      <c r="O99" s="72" t="s">
        <v>3509</v>
      </c>
      <c r="P99" s="76" t="s">
        <v>5</v>
      </c>
      <c r="Q99" s="76">
        <v>15</v>
      </c>
      <c r="R99" s="76" t="s">
        <v>3508</v>
      </c>
      <c r="S99" s="76" t="s">
        <v>1</v>
      </c>
      <c r="T99" s="76" t="s">
        <v>1</v>
      </c>
      <c r="U99" s="76" t="s">
        <v>1</v>
      </c>
      <c r="V99" s="76" t="s">
        <v>1</v>
      </c>
      <c r="W99" s="76" t="s">
        <v>1</v>
      </c>
      <c r="X99" s="76" t="s">
        <v>1</v>
      </c>
      <c r="Y99" s="76" t="s">
        <v>1</v>
      </c>
      <c r="Z99" s="76" t="s">
        <v>1</v>
      </c>
      <c r="AA99" s="76" t="s">
        <v>1</v>
      </c>
      <c r="AB99" s="72" t="s">
        <v>3507</v>
      </c>
      <c r="AE99" s="25" t="s">
        <v>5061</v>
      </c>
      <c r="AF99" s="348">
        <v>0</v>
      </c>
      <c r="AG99" s="68">
        <v>6.5277777777777782E-2</v>
      </c>
      <c r="AH99" s="348">
        <v>0</v>
      </c>
      <c r="AI99" s="68">
        <v>0.2298611111111111</v>
      </c>
      <c r="AJ99" s="368"/>
    </row>
    <row r="100" spans="1:36" s="12" customFormat="1">
      <c r="A100" s="72"/>
      <c r="B100" s="72" t="s">
        <v>3493</v>
      </c>
      <c r="C100" s="73" t="s">
        <v>1691</v>
      </c>
      <c r="D100" s="74">
        <v>500</v>
      </c>
      <c r="E100" s="72" t="s">
        <v>18</v>
      </c>
      <c r="F100" s="74">
        <v>80</v>
      </c>
      <c r="G100" s="74">
        <f>+F100+Q100+T100</f>
        <v>104</v>
      </c>
      <c r="H100" s="77">
        <v>44782</v>
      </c>
      <c r="I100" s="72"/>
      <c r="J100" s="72"/>
      <c r="K100" s="72" t="s">
        <v>2045</v>
      </c>
      <c r="L100" s="72" t="s">
        <v>3492</v>
      </c>
      <c r="M100" s="83">
        <v>43497</v>
      </c>
      <c r="N100" s="72" t="s">
        <v>3491</v>
      </c>
      <c r="O100" s="72" t="s">
        <v>3490</v>
      </c>
      <c r="P100" s="76" t="s">
        <v>4</v>
      </c>
      <c r="Q100" s="76">
        <v>14</v>
      </c>
      <c r="R100" s="76" t="s">
        <v>3489</v>
      </c>
      <c r="S100" s="76" t="s">
        <v>550</v>
      </c>
      <c r="T100" s="76">
        <v>10</v>
      </c>
      <c r="U100" s="76" t="s">
        <v>3488</v>
      </c>
      <c r="V100" s="76" t="s">
        <v>1</v>
      </c>
      <c r="W100" s="76" t="s">
        <v>1</v>
      </c>
      <c r="X100" s="76" t="s">
        <v>1</v>
      </c>
      <c r="Y100" s="76" t="s">
        <v>1</v>
      </c>
      <c r="Z100" s="76" t="s">
        <v>1</v>
      </c>
      <c r="AA100" s="76" t="s">
        <v>1</v>
      </c>
      <c r="AB100" s="264" t="s">
        <v>6601</v>
      </c>
      <c r="AC100" s="72"/>
      <c r="AD100" s="264" t="s">
        <v>3487</v>
      </c>
      <c r="AE100" s="25" t="s">
        <v>5066</v>
      </c>
      <c r="AF100" s="348">
        <v>0</v>
      </c>
      <c r="AG100" s="68">
        <v>5.0694444444444452E-2</v>
      </c>
      <c r="AH100" s="348">
        <v>0</v>
      </c>
      <c r="AI100" s="361" t="s">
        <v>8913</v>
      </c>
      <c r="AJ100" s="368"/>
    </row>
    <row r="101" spans="1:36">
      <c r="B101" s="72" t="s">
        <v>3486</v>
      </c>
      <c r="C101" s="73" t="s">
        <v>1691</v>
      </c>
      <c r="D101" s="74">
        <v>500</v>
      </c>
      <c r="E101" s="72" t="s">
        <v>7</v>
      </c>
      <c r="F101" s="74" t="s">
        <v>1</v>
      </c>
      <c r="G101" s="74" t="str">
        <f>+F101</f>
        <v>N/A</v>
      </c>
      <c r="H101" s="77">
        <v>44616</v>
      </c>
      <c r="I101" s="72" t="s">
        <v>3485</v>
      </c>
      <c r="K101" s="72" t="s">
        <v>2045</v>
      </c>
      <c r="L101" s="72" t="s">
        <v>2546</v>
      </c>
      <c r="M101" s="72">
        <v>2019</v>
      </c>
      <c r="N101" s="72" t="s">
        <v>3484</v>
      </c>
      <c r="O101" s="72" t="s">
        <v>246</v>
      </c>
      <c r="P101" s="76" t="s">
        <v>1</v>
      </c>
      <c r="Q101" s="76" t="s">
        <v>1</v>
      </c>
      <c r="R101" s="76" t="s">
        <v>1</v>
      </c>
      <c r="S101" s="76" t="s">
        <v>1</v>
      </c>
      <c r="T101" s="76" t="s">
        <v>1</v>
      </c>
      <c r="U101" s="76" t="s">
        <v>1</v>
      </c>
      <c r="V101" s="76" t="s">
        <v>1</v>
      </c>
      <c r="W101" s="76" t="s">
        <v>1</v>
      </c>
      <c r="X101" s="76" t="s">
        <v>1</v>
      </c>
      <c r="Y101" s="76" t="s">
        <v>1</v>
      </c>
      <c r="Z101" s="76" t="s">
        <v>1</v>
      </c>
      <c r="AA101" s="76" t="s">
        <v>1</v>
      </c>
      <c r="AB101" s="264" t="s">
        <v>6601</v>
      </c>
      <c r="AD101" s="264" t="s">
        <v>6616</v>
      </c>
      <c r="AE101" s="25" t="s">
        <v>5067</v>
      </c>
      <c r="AF101" s="348">
        <v>0</v>
      </c>
      <c r="AG101" s="68">
        <v>2.4999999999999998E-2</v>
      </c>
      <c r="AH101" s="348">
        <v>0</v>
      </c>
      <c r="AI101" s="361" t="s">
        <v>8915</v>
      </c>
      <c r="AJ101" s="368"/>
    </row>
    <row r="102" spans="1:36" s="152" customFormat="1">
      <c r="A102" s="72"/>
      <c r="B102" s="274" t="s">
        <v>318</v>
      </c>
      <c r="C102" s="275" t="s">
        <v>1691</v>
      </c>
      <c r="D102" s="325">
        <v>500</v>
      </c>
      <c r="E102" s="274" t="s">
        <v>18</v>
      </c>
      <c r="F102" s="325">
        <v>91</v>
      </c>
      <c r="G102" s="325">
        <f>+F102+Q102+T102+W102</f>
        <v>165.2</v>
      </c>
      <c r="H102" s="326">
        <v>44867</v>
      </c>
      <c r="I102" s="274" t="s">
        <v>3506</v>
      </c>
      <c r="J102" s="274" t="s">
        <v>3505</v>
      </c>
      <c r="K102" s="72" t="s">
        <v>2045</v>
      </c>
      <c r="L102" s="72" t="s">
        <v>3504</v>
      </c>
      <c r="M102" s="72">
        <v>2015</v>
      </c>
      <c r="N102" s="72"/>
      <c r="O102" s="72" t="s">
        <v>3503</v>
      </c>
      <c r="P102" s="76" t="s">
        <v>7</v>
      </c>
      <c r="Q102" s="76">
        <v>55</v>
      </c>
      <c r="R102" s="76" t="s">
        <v>3502</v>
      </c>
      <c r="S102" s="76" t="s">
        <v>5</v>
      </c>
      <c r="T102" s="76">
        <v>16</v>
      </c>
      <c r="U102" s="76" t="s">
        <v>3501</v>
      </c>
      <c r="V102" s="76" t="s">
        <v>4</v>
      </c>
      <c r="W102" s="76">
        <v>3.2</v>
      </c>
      <c r="X102" s="76" t="s">
        <v>3500</v>
      </c>
      <c r="Y102" s="76" t="s">
        <v>1</v>
      </c>
      <c r="Z102" s="76" t="s">
        <v>1</v>
      </c>
      <c r="AA102" s="76" t="s">
        <v>1</v>
      </c>
      <c r="AB102" s="72" t="s">
        <v>3499</v>
      </c>
      <c r="AC102" s="72"/>
      <c r="AD102" s="72"/>
      <c r="AE102" s="25" t="s">
        <v>5062</v>
      </c>
      <c r="AF102" s="348">
        <v>1.7176E-2</v>
      </c>
      <c r="AG102" s="68">
        <v>0.15833333333333333</v>
      </c>
      <c r="AH102" s="348">
        <v>0</v>
      </c>
      <c r="AI102" s="68">
        <v>0.10347222222222222</v>
      </c>
      <c r="AJ102" s="368"/>
    </row>
    <row r="103" spans="1:36">
      <c r="B103" s="72" t="s">
        <v>2112</v>
      </c>
      <c r="C103" s="73" t="s">
        <v>1691</v>
      </c>
      <c r="D103" s="79">
        <v>400</v>
      </c>
      <c r="E103" s="72" t="s">
        <v>9</v>
      </c>
      <c r="F103" s="74">
        <v>100</v>
      </c>
      <c r="G103" s="74">
        <f>F103+Q103+T103+W103+Z103</f>
        <v>246.4</v>
      </c>
      <c r="H103" s="77">
        <v>44507</v>
      </c>
      <c r="I103" s="72" t="s">
        <v>4976</v>
      </c>
      <c r="J103" s="72" t="s">
        <v>4974</v>
      </c>
      <c r="K103" s="72" t="s">
        <v>2045</v>
      </c>
      <c r="L103" s="72" t="s">
        <v>2056</v>
      </c>
      <c r="M103" s="72">
        <v>2012</v>
      </c>
      <c r="N103" s="204" t="s">
        <v>7128</v>
      </c>
      <c r="O103" s="204" t="s">
        <v>4977</v>
      </c>
      <c r="P103" s="76" t="s">
        <v>8</v>
      </c>
      <c r="Q103" s="76">
        <v>72.5</v>
      </c>
      <c r="R103" s="76" t="s">
        <v>4981</v>
      </c>
      <c r="S103" s="76" t="s">
        <v>18</v>
      </c>
      <c r="T103" s="76">
        <v>40</v>
      </c>
      <c r="U103" s="76" t="s">
        <v>4984</v>
      </c>
      <c r="V103" s="76" t="s">
        <v>7</v>
      </c>
      <c r="W103" s="76">
        <v>25</v>
      </c>
      <c r="X103" s="76" t="s">
        <v>4987</v>
      </c>
      <c r="Y103" s="76" t="s">
        <v>5</v>
      </c>
      <c r="Z103" s="76">
        <v>8.9</v>
      </c>
      <c r="AA103" s="76" t="s">
        <v>4988</v>
      </c>
      <c r="AB103" s="165" t="s">
        <v>6600</v>
      </c>
      <c r="AC103" s="165" t="s">
        <v>6603</v>
      </c>
      <c r="AD103" s="165" t="s">
        <v>6611</v>
      </c>
      <c r="AE103" s="25" t="s">
        <v>2111</v>
      </c>
      <c r="AF103" s="343">
        <v>0.50777300000000003</v>
      </c>
      <c r="AG103" s="62">
        <v>0.13333333333333333</v>
      </c>
      <c r="AH103" s="343">
        <v>0.23056699999999999</v>
      </c>
      <c r="AI103" s="62">
        <v>0.11319444444444444</v>
      </c>
      <c r="AJ103" s="368">
        <f t="shared" si="1"/>
        <v>-0.54592504918536444</v>
      </c>
    </row>
    <row r="104" spans="1:36">
      <c r="B104" s="274" t="s">
        <v>5071</v>
      </c>
      <c r="C104" s="275" t="s">
        <v>1691</v>
      </c>
      <c r="D104" s="325">
        <v>400</v>
      </c>
      <c r="E104" s="274" t="s">
        <v>5</v>
      </c>
      <c r="F104" s="325">
        <v>90</v>
      </c>
      <c r="G104" s="325">
        <f>+F104</f>
        <v>90</v>
      </c>
      <c r="H104" s="326">
        <v>45006</v>
      </c>
      <c r="I104" s="274" t="s">
        <v>3464</v>
      </c>
      <c r="J104" s="176" t="s">
        <v>3463</v>
      </c>
      <c r="K104" s="176" t="s">
        <v>2045</v>
      </c>
      <c r="L104" s="176" t="s">
        <v>2062</v>
      </c>
      <c r="M104" s="176">
        <v>2021</v>
      </c>
      <c r="N104" s="195" t="s">
        <v>4277</v>
      </c>
      <c r="O104" s="176" t="s">
        <v>3462</v>
      </c>
      <c r="P104" s="179" t="s">
        <v>1</v>
      </c>
      <c r="Q104" s="179" t="s">
        <v>1</v>
      </c>
      <c r="R104" s="179" t="s">
        <v>1</v>
      </c>
      <c r="S104" s="179" t="s">
        <v>1</v>
      </c>
      <c r="T104" s="179" t="s">
        <v>1</v>
      </c>
      <c r="U104" s="179" t="s">
        <v>1</v>
      </c>
      <c r="V104" s="179" t="s">
        <v>1</v>
      </c>
      <c r="W104" s="179" t="s">
        <v>1</v>
      </c>
      <c r="X104" s="179" t="s">
        <v>1</v>
      </c>
      <c r="Y104" s="179" t="s">
        <v>1</v>
      </c>
      <c r="Z104" s="179" t="s">
        <v>1</v>
      </c>
      <c r="AA104" s="179" t="s">
        <v>1</v>
      </c>
      <c r="AB104" s="176" t="s">
        <v>3036</v>
      </c>
      <c r="AC104" s="176"/>
      <c r="AD104" s="176"/>
      <c r="AE104" s="25" t="s">
        <v>5072</v>
      </c>
      <c r="AF104" s="348">
        <v>9.9749999999999995E-3</v>
      </c>
      <c r="AG104" s="68">
        <v>2.4305555555555556E-2</v>
      </c>
      <c r="AH104" s="348">
        <v>5.0000000000000001E-3</v>
      </c>
      <c r="AI104" s="68">
        <v>0.15972222222222221</v>
      </c>
      <c r="AJ104" s="368">
        <f t="shared" si="1"/>
        <v>-0.49874686716791972</v>
      </c>
    </row>
    <row r="105" spans="1:36">
      <c r="B105" s="274" t="s">
        <v>414</v>
      </c>
      <c r="C105" s="275" t="s">
        <v>1691</v>
      </c>
      <c r="D105" s="325">
        <v>400</v>
      </c>
      <c r="E105" s="274" t="s">
        <v>18</v>
      </c>
      <c r="F105" s="325">
        <v>65</v>
      </c>
      <c r="G105" s="325">
        <f>+F105+Q105+T105</f>
        <v>74.3</v>
      </c>
      <c r="H105" s="326">
        <v>43789</v>
      </c>
      <c r="I105" s="274" t="s">
        <v>3144</v>
      </c>
      <c r="J105" s="176" t="s">
        <v>3469</v>
      </c>
      <c r="K105" s="176" t="s">
        <v>2045</v>
      </c>
      <c r="L105" s="176" t="s">
        <v>3144</v>
      </c>
      <c r="M105" s="176">
        <v>2010</v>
      </c>
      <c r="N105" s="176"/>
      <c r="O105" s="176" t="s">
        <v>3468</v>
      </c>
      <c r="P105" s="179" t="s">
        <v>7</v>
      </c>
      <c r="Q105" s="179">
        <v>7.3</v>
      </c>
      <c r="R105" s="179" t="s">
        <v>3467</v>
      </c>
      <c r="S105" s="179" t="s">
        <v>5</v>
      </c>
      <c r="T105" s="179">
        <v>2</v>
      </c>
      <c r="U105" s="192" t="s">
        <v>3466</v>
      </c>
      <c r="V105" s="179" t="s">
        <v>1</v>
      </c>
      <c r="W105" s="179" t="s">
        <v>1</v>
      </c>
      <c r="X105" s="179" t="s">
        <v>1</v>
      </c>
      <c r="Y105" s="179" t="s">
        <v>1</v>
      </c>
      <c r="Z105" s="179" t="s">
        <v>1</v>
      </c>
      <c r="AA105" s="179" t="s">
        <v>1</v>
      </c>
      <c r="AB105" s="176" t="s">
        <v>3465</v>
      </c>
      <c r="AC105" s="176"/>
      <c r="AD105" s="176"/>
      <c r="AE105" s="25" t="s">
        <v>5070</v>
      </c>
      <c r="AF105" s="348">
        <v>5.3367999999999999E-2</v>
      </c>
      <c r="AG105" s="68">
        <v>8.2638888888888887E-2</v>
      </c>
      <c r="AH105" s="348">
        <v>5.7480999999999997E-2</v>
      </c>
      <c r="AI105" s="68">
        <v>7.7083333333333337E-2</v>
      </c>
      <c r="AJ105" s="368">
        <f t="shared" si="1"/>
        <v>7.7068655374006978E-2</v>
      </c>
    </row>
    <row r="106" spans="1:36" s="176" customFormat="1">
      <c r="A106" s="72"/>
      <c r="B106" s="274" t="s">
        <v>2020</v>
      </c>
      <c r="C106" s="275" t="s">
        <v>1691</v>
      </c>
      <c r="D106" s="325">
        <v>350</v>
      </c>
      <c r="E106" s="274" t="s">
        <v>5</v>
      </c>
      <c r="F106" s="325"/>
      <c r="G106" s="325"/>
      <c r="H106" s="326">
        <v>45091</v>
      </c>
      <c r="I106" s="274" t="s">
        <v>6753</v>
      </c>
      <c r="J106" s="176" t="s">
        <v>6756</v>
      </c>
      <c r="K106" s="176" t="s">
        <v>2045</v>
      </c>
      <c r="L106" s="176" t="s">
        <v>2739</v>
      </c>
      <c r="M106" s="176">
        <v>2020</v>
      </c>
      <c r="O106" s="176" t="s">
        <v>1137</v>
      </c>
      <c r="P106" s="179" t="s">
        <v>4</v>
      </c>
      <c r="Q106" s="179">
        <v>10</v>
      </c>
      <c r="R106" s="179" t="s">
        <v>6757</v>
      </c>
      <c r="S106" s="179" t="s">
        <v>1</v>
      </c>
      <c r="T106" s="179" t="s">
        <v>1</v>
      </c>
      <c r="U106" s="179" t="s">
        <v>1</v>
      </c>
      <c r="V106" s="179" t="s">
        <v>1</v>
      </c>
      <c r="W106" s="179" t="s">
        <v>1</v>
      </c>
      <c r="X106" s="179" t="s">
        <v>1</v>
      </c>
      <c r="Y106" s="179" t="s">
        <v>1</v>
      </c>
      <c r="Z106" s="179" t="s">
        <v>1</v>
      </c>
      <c r="AA106" s="179" t="s">
        <v>1</v>
      </c>
      <c r="AB106" s="176" t="s">
        <v>6600</v>
      </c>
      <c r="AC106" s="176" t="s">
        <v>6608</v>
      </c>
      <c r="AD106" s="176" t="s">
        <v>6608</v>
      </c>
      <c r="AE106" s="25" t="s">
        <v>6758</v>
      </c>
      <c r="AF106" s="350" t="s">
        <v>7145</v>
      </c>
      <c r="AG106" s="350" t="s">
        <v>7145</v>
      </c>
      <c r="AH106" s="348">
        <v>0.19853199999999999</v>
      </c>
      <c r="AI106" s="68">
        <v>0.20694444444444443</v>
      </c>
      <c r="AJ106" s="368"/>
    </row>
    <row r="107" spans="1:36">
      <c r="B107" s="274" t="s">
        <v>363</v>
      </c>
      <c r="C107" s="275" t="s">
        <v>1691</v>
      </c>
      <c r="D107" s="325">
        <v>300</v>
      </c>
      <c r="E107" s="274" t="s">
        <v>7</v>
      </c>
      <c r="F107" s="325">
        <v>120</v>
      </c>
      <c r="G107" s="325">
        <f>+F107+Q107+T107</f>
        <v>190</v>
      </c>
      <c r="H107" s="326">
        <v>44602</v>
      </c>
      <c r="I107" s="274" t="s">
        <v>3461</v>
      </c>
      <c r="J107" s="176" t="s">
        <v>3460</v>
      </c>
      <c r="K107" s="176" t="s">
        <v>2045</v>
      </c>
      <c r="L107" s="176" t="s">
        <v>3033</v>
      </c>
      <c r="M107" s="176">
        <v>2011</v>
      </c>
      <c r="N107" s="176"/>
      <c r="O107" s="176" t="s">
        <v>3459</v>
      </c>
      <c r="P107" s="179" t="s">
        <v>5</v>
      </c>
      <c r="Q107" s="179">
        <v>50</v>
      </c>
      <c r="R107" s="179" t="s">
        <v>3458</v>
      </c>
      <c r="S107" s="179" t="s">
        <v>4</v>
      </c>
      <c r="T107" s="179">
        <v>20</v>
      </c>
      <c r="U107" s="179" t="s">
        <v>1</v>
      </c>
      <c r="V107" s="179" t="s">
        <v>1</v>
      </c>
      <c r="W107" s="179" t="s">
        <v>1</v>
      </c>
      <c r="X107" s="179" t="s">
        <v>1</v>
      </c>
      <c r="Y107" s="179" t="s">
        <v>1</v>
      </c>
      <c r="Z107" s="179" t="s">
        <v>1</v>
      </c>
      <c r="AA107" s="179" t="s">
        <v>1</v>
      </c>
      <c r="AB107" s="176" t="s">
        <v>2081</v>
      </c>
      <c r="AC107" s="176"/>
      <c r="AD107" s="176"/>
      <c r="AE107" s="25" t="s">
        <v>5073</v>
      </c>
      <c r="AF107" s="348">
        <v>1.8180000000000001</v>
      </c>
      <c r="AG107" s="68">
        <v>3.4722222222222224E-2</v>
      </c>
      <c r="AH107" s="348">
        <v>1.91</v>
      </c>
      <c r="AI107" s="68">
        <v>2.2222222222222223E-2</v>
      </c>
      <c r="AJ107" s="368">
        <f t="shared" si="1"/>
        <v>5.0605060506050625E-2</v>
      </c>
    </row>
    <row r="108" spans="1:36" s="180" customFormat="1">
      <c r="A108" s="72"/>
      <c r="B108" s="274" t="s">
        <v>3321</v>
      </c>
      <c r="C108" s="275" t="s">
        <v>1691</v>
      </c>
      <c r="D108" s="325">
        <v>300</v>
      </c>
      <c r="E108" s="274" t="s">
        <v>7</v>
      </c>
      <c r="F108" s="325">
        <v>13</v>
      </c>
      <c r="G108" s="325">
        <f>+F108+Q108+T108+W108+Z108</f>
        <v>190</v>
      </c>
      <c r="H108" s="326">
        <v>45090</v>
      </c>
      <c r="I108" s="274" t="s">
        <v>3320</v>
      </c>
      <c r="J108" s="72" t="s">
        <v>3319</v>
      </c>
      <c r="K108" s="72" t="s">
        <v>2100</v>
      </c>
      <c r="L108" s="72" t="s">
        <v>2079</v>
      </c>
      <c r="M108" s="84">
        <v>43405</v>
      </c>
      <c r="N108" s="72"/>
      <c r="O108" s="72" t="s">
        <v>3318</v>
      </c>
      <c r="P108" s="76" t="s">
        <v>7</v>
      </c>
      <c r="Q108" s="76">
        <v>37</v>
      </c>
      <c r="R108" s="76" t="s">
        <v>3317</v>
      </c>
      <c r="S108" s="76" t="s">
        <v>7</v>
      </c>
      <c r="T108" s="76">
        <v>30</v>
      </c>
      <c r="U108" s="76" t="s">
        <v>3316</v>
      </c>
      <c r="V108" s="76" t="s">
        <v>7</v>
      </c>
      <c r="W108" s="76">
        <v>80</v>
      </c>
      <c r="X108" s="76" t="s">
        <v>3315</v>
      </c>
      <c r="Y108" s="76" t="s">
        <v>5</v>
      </c>
      <c r="Z108" s="76">
        <v>30</v>
      </c>
      <c r="AA108" s="76" t="s">
        <v>3314</v>
      </c>
      <c r="AB108" s="72" t="s">
        <v>2745</v>
      </c>
      <c r="AC108" s="72"/>
      <c r="AD108" s="72"/>
      <c r="AE108" s="25" t="s">
        <v>5102</v>
      </c>
      <c r="AF108" s="348">
        <v>9.1590000000000005E-3</v>
      </c>
      <c r="AG108" s="68">
        <v>8.819444444444445E-2</v>
      </c>
      <c r="AH108" s="348">
        <v>9.1929999999999998E-3</v>
      </c>
      <c r="AI108" s="68">
        <v>0.12083333333333333</v>
      </c>
      <c r="AJ108" s="368">
        <f t="shared" si="1"/>
        <v>3.71219565454739E-3</v>
      </c>
    </row>
    <row r="109" spans="1:36">
      <c r="B109" s="274" t="s">
        <v>2003</v>
      </c>
      <c r="C109" s="275" t="s">
        <v>1691</v>
      </c>
      <c r="D109" s="274">
        <v>300</v>
      </c>
      <c r="E109" s="274" t="s">
        <v>8040</v>
      </c>
      <c r="F109" s="400">
        <v>14.5</v>
      </c>
      <c r="G109" s="400">
        <f>F109+Q109</f>
        <v>22.5</v>
      </c>
      <c r="H109" s="327">
        <v>44977</v>
      </c>
      <c r="I109" s="274" t="s">
        <v>8041</v>
      </c>
      <c r="J109" s="274" t="s">
        <v>8038</v>
      </c>
      <c r="K109" s="274" t="s">
        <v>2308</v>
      </c>
      <c r="L109" s="274" t="s">
        <v>2524</v>
      </c>
      <c r="M109" s="72">
        <v>2014</v>
      </c>
      <c r="N109" s="274" t="s">
        <v>8039</v>
      </c>
      <c r="O109" s="274" t="s">
        <v>8042</v>
      </c>
      <c r="P109" s="274" t="s">
        <v>5</v>
      </c>
      <c r="Q109" s="72">
        <v>8</v>
      </c>
      <c r="R109" s="274" t="s">
        <v>8043</v>
      </c>
      <c r="S109" s="274" t="s">
        <v>1</v>
      </c>
      <c r="T109" s="274" t="s">
        <v>1</v>
      </c>
      <c r="U109" s="274" t="s">
        <v>1</v>
      </c>
      <c r="V109" s="274" t="s">
        <v>1</v>
      </c>
      <c r="W109" s="274" t="s">
        <v>1</v>
      </c>
      <c r="X109" s="274" t="s">
        <v>1</v>
      </c>
      <c r="Y109" s="274" t="s">
        <v>1</v>
      </c>
      <c r="Z109" s="274" t="s">
        <v>1</v>
      </c>
      <c r="AA109" s="274" t="s">
        <v>1</v>
      </c>
      <c r="AB109" s="274" t="s">
        <v>8036</v>
      </c>
      <c r="AC109" s="274" t="s">
        <v>1</v>
      </c>
      <c r="AD109" s="274" t="s">
        <v>8037</v>
      </c>
      <c r="AE109" s="25" t="s">
        <v>8035</v>
      </c>
      <c r="AF109" s="350" t="s">
        <v>7145</v>
      </c>
      <c r="AG109" s="350" t="s">
        <v>7145</v>
      </c>
      <c r="AH109" s="348">
        <v>3.274</v>
      </c>
      <c r="AI109" s="68">
        <v>0.11527777777777778</v>
      </c>
      <c r="AJ109" s="368"/>
    </row>
    <row r="110" spans="1:36">
      <c r="B110" s="274" t="s">
        <v>381</v>
      </c>
      <c r="C110" s="275" t="s">
        <v>1691</v>
      </c>
      <c r="D110" s="325">
        <v>300</v>
      </c>
      <c r="E110" s="274" t="s">
        <v>5</v>
      </c>
      <c r="F110" s="325">
        <f>72*1.2</f>
        <v>86.399999999999991</v>
      </c>
      <c r="G110" s="325">
        <f>+F110+Q110+T110</f>
        <v>95.649999999999991</v>
      </c>
      <c r="H110" s="326">
        <v>44488</v>
      </c>
      <c r="I110" s="274" t="s">
        <v>3451</v>
      </c>
      <c r="J110" s="72" t="s">
        <v>3450</v>
      </c>
      <c r="K110" s="72" t="s">
        <v>2045</v>
      </c>
      <c r="L110" s="72" t="s">
        <v>2521</v>
      </c>
      <c r="M110" s="72">
        <v>2017</v>
      </c>
      <c r="N110" s="72" t="s">
        <v>3449</v>
      </c>
      <c r="O110" s="72" t="s">
        <v>3448</v>
      </c>
      <c r="P110" s="76" t="s">
        <v>4</v>
      </c>
      <c r="Q110" s="76">
        <v>8.5</v>
      </c>
      <c r="R110" s="76" t="s">
        <v>3447</v>
      </c>
      <c r="S110" s="76" t="s">
        <v>4</v>
      </c>
      <c r="T110" s="76">
        <v>0.75</v>
      </c>
      <c r="U110" s="76" t="s">
        <v>3446</v>
      </c>
      <c r="V110" s="76" t="s">
        <v>1</v>
      </c>
      <c r="W110" s="76" t="s">
        <v>1</v>
      </c>
      <c r="X110" s="76" t="s">
        <v>1</v>
      </c>
      <c r="Y110" s="76" t="s">
        <v>1</v>
      </c>
      <c r="Z110" s="76" t="s">
        <v>1</v>
      </c>
      <c r="AA110" s="76" t="s">
        <v>1</v>
      </c>
      <c r="AB110" s="72" t="s">
        <v>2094</v>
      </c>
      <c r="AE110" s="25" t="s">
        <v>5075</v>
      </c>
      <c r="AF110" s="348">
        <v>0.11515400000000001</v>
      </c>
      <c r="AG110" s="68">
        <v>0.13263888888888889</v>
      </c>
      <c r="AH110" s="348">
        <v>5.8902999999999997E-2</v>
      </c>
      <c r="AI110" s="341">
        <v>0.12777777777777777</v>
      </c>
      <c r="AJ110" s="368">
        <f t="shared" si="1"/>
        <v>-0.48848498532400098</v>
      </c>
    </row>
    <row r="111" spans="1:36">
      <c r="B111" s="274" t="s">
        <v>3457</v>
      </c>
      <c r="C111" s="275" t="s">
        <v>1691</v>
      </c>
      <c r="D111" s="325">
        <v>300</v>
      </c>
      <c r="E111" s="274" t="s">
        <v>5</v>
      </c>
      <c r="F111" s="325">
        <v>100</v>
      </c>
      <c r="G111" s="325">
        <f>+F111</f>
        <v>100</v>
      </c>
      <c r="H111" s="27">
        <v>44349</v>
      </c>
      <c r="I111" s="274" t="s">
        <v>3456</v>
      </c>
      <c r="J111" s="72" t="s">
        <v>3455</v>
      </c>
      <c r="K111" s="72" t="s">
        <v>2045</v>
      </c>
      <c r="L111" s="72" t="s">
        <v>3454</v>
      </c>
      <c r="M111" s="72">
        <v>2020</v>
      </c>
      <c r="O111" s="72" t="s">
        <v>3453</v>
      </c>
      <c r="P111" s="76" t="s">
        <v>1</v>
      </c>
      <c r="Q111" s="76" t="s">
        <v>1</v>
      </c>
      <c r="R111" s="76" t="s">
        <v>1</v>
      </c>
      <c r="S111" s="76" t="s">
        <v>1</v>
      </c>
      <c r="T111" s="76" t="s">
        <v>1</v>
      </c>
      <c r="U111" s="76" t="s">
        <v>1</v>
      </c>
      <c r="V111" s="76" t="s">
        <v>1</v>
      </c>
      <c r="W111" s="76" t="s">
        <v>1</v>
      </c>
      <c r="X111" s="76" t="s">
        <v>1</v>
      </c>
      <c r="Y111" s="76" t="s">
        <v>1</v>
      </c>
      <c r="Z111" s="76" t="s">
        <v>1</v>
      </c>
      <c r="AA111" s="76" t="s">
        <v>1</v>
      </c>
      <c r="AB111" s="72" t="s">
        <v>3452</v>
      </c>
      <c r="AE111" s="25" t="s">
        <v>5074</v>
      </c>
      <c r="AF111" s="348">
        <v>0</v>
      </c>
      <c r="AG111" s="68">
        <v>8.3333333333333332E-3</v>
      </c>
      <c r="AH111" s="348">
        <v>0</v>
      </c>
      <c r="AI111" s="68">
        <v>0.13750000000000001</v>
      </c>
      <c r="AJ111" s="368"/>
    </row>
    <row r="112" spans="1:36" s="176" customFormat="1">
      <c r="A112" s="72"/>
      <c r="B112" s="274" t="s">
        <v>5649</v>
      </c>
      <c r="C112" s="275" t="s">
        <v>1691</v>
      </c>
      <c r="D112" s="325">
        <v>300</v>
      </c>
      <c r="E112" s="274" t="s">
        <v>18</v>
      </c>
      <c r="F112" s="325">
        <v>75</v>
      </c>
      <c r="G112" s="325">
        <f>F112+Q112+T112+W112</f>
        <v>118</v>
      </c>
      <c r="H112" s="326">
        <v>44627</v>
      </c>
      <c r="I112" s="274" t="s">
        <v>5652</v>
      </c>
      <c r="J112" s="176" t="s">
        <v>5650</v>
      </c>
      <c r="K112" s="176" t="s">
        <v>2045</v>
      </c>
      <c r="L112" s="176" t="s">
        <v>2079</v>
      </c>
      <c r="M112" s="176">
        <v>2018</v>
      </c>
      <c r="O112" s="176" t="s">
        <v>5651</v>
      </c>
      <c r="P112" s="179" t="s">
        <v>7</v>
      </c>
      <c r="Q112" s="179">
        <v>30</v>
      </c>
      <c r="R112" s="179" t="s">
        <v>5655</v>
      </c>
      <c r="S112" s="179" t="s">
        <v>5</v>
      </c>
      <c r="T112" s="179">
        <v>10</v>
      </c>
      <c r="U112" s="179" t="s">
        <v>5656</v>
      </c>
      <c r="V112" s="179" t="s">
        <v>4</v>
      </c>
      <c r="W112" s="179">
        <v>3</v>
      </c>
      <c r="X112" s="179" t="s">
        <v>1037</v>
      </c>
      <c r="Y112" s="179" t="s">
        <v>1</v>
      </c>
      <c r="Z112" s="179" t="s">
        <v>1</v>
      </c>
      <c r="AA112" s="179" t="s">
        <v>1</v>
      </c>
      <c r="AB112" s="176" t="s">
        <v>2078</v>
      </c>
      <c r="AE112" s="25" t="s">
        <v>2077</v>
      </c>
      <c r="AF112" s="350" t="s">
        <v>7145</v>
      </c>
      <c r="AG112" s="350" t="s">
        <v>7145</v>
      </c>
      <c r="AH112" s="348">
        <v>0.17402899999999999</v>
      </c>
      <c r="AI112" s="362">
        <v>3.8194444444444448E-2</v>
      </c>
      <c r="AJ112" s="368"/>
    </row>
    <row r="113" spans="1:36" s="176" customFormat="1">
      <c r="A113" s="72"/>
      <c r="B113" s="274" t="s">
        <v>2087</v>
      </c>
      <c r="C113" s="275" t="s">
        <v>1691</v>
      </c>
      <c r="D113" s="325">
        <v>300</v>
      </c>
      <c r="E113" s="274" t="s">
        <v>7</v>
      </c>
      <c r="F113" s="325">
        <v>75</v>
      </c>
      <c r="G113" s="325">
        <f>F113+Q113</f>
        <v>115</v>
      </c>
      <c r="H113" s="326">
        <v>44677</v>
      </c>
      <c r="I113" s="274" t="s">
        <v>5438</v>
      </c>
      <c r="J113" s="91" t="s">
        <v>5437</v>
      </c>
      <c r="K113" s="72" t="s">
        <v>2045</v>
      </c>
      <c r="L113" s="72" t="s">
        <v>2086</v>
      </c>
      <c r="M113" s="72">
        <v>2017</v>
      </c>
      <c r="N113" s="72"/>
      <c r="O113" s="91" t="s">
        <v>5439</v>
      </c>
      <c r="P113" s="93" t="s">
        <v>5</v>
      </c>
      <c r="Q113" s="76">
        <v>40</v>
      </c>
      <c r="R113" s="93" t="s">
        <v>1065</v>
      </c>
      <c r="S113" s="93" t="s">
        <v>1</v>
      </c>
      <c r="T113" s="93" t="s">
        <v>1</v>
      </c>
      <c r="U113" s="93" t="s">
        <v>1</v>
      </c>
      <c r="V113" s="93" t="s">
        <v>1</v>
      </c>
      <c r="W113" s="93" t="s">
        <v>1</v>
      </c>
      <c r="X113" s="93" t="s">
        <v>1</v>
      </c>
      <c r="Y113" s="93" t="s">
        <v>1</v>
      </c>
      <c r="Z113" s="93" t="s">
        <v>1</v>
      </c>
      <c r="AA113" s="93" t="s">
        <v>1</v>
      </c>
      <c r="AB113" s="72" t="s">
        <v>2085</v>
      </c>
      <c r="AC113" s="72"/>
      <c r="AD113" s="72"/>
      <c r="AE113" s="25" t="s">
        <v>2084</v>
      </c>
      <c r="AF113" s="350" t="s">
        <v>7145</v>
      </c>
      <c r="AG113" s="350" t="s">
        <v>7145</v>
      </c>
      <c r="AH113" s="348">
        <v>7.7530000000000003E-3</v>
      </c>
      <c r="AI113" s="341">
        <v>0.11458333333333333</v>
      </c>
      <c r="AJ113" s="368"/>
    </row>
    <row r="114" spans="1:36" s="176" customFormat="1">
      <c r="A114" s="72"/>
      <c r="B114" s="274" t="s">
        <v>2090</v>
      </c>
      <c r="C114" s="275" t="s">
        <v>1691</v>
      </c>
      <c r="D114" s="328">
        <v>300</v>
      </c>
      <c r="E114" s="274" t="s">
        <v>18</v>
      </c>
      <c r="F114" s="325">
        <v>80</v>
      </c>
      <c r="G114" s="325">
        <f>F114+Q114+T114+W114</f>
        <v>151</v>
      </c>
      <c r="H114" s="326">
        <v>44637</v>
      </c>
      <c r="I114" s="274" t="s">
        <v>5417</v>
      </c>
      <c r="J114" s="91" t="s">
        <v>5418</v>
      </c>
      <c r="K114" s="72" t="s">
        <v>2045</v>
      </c>
      <c r="L114" s="72" t="s">
        <v>2089</v>
      </c>
      <c r="M114" s="72">
        <v>2017</v>
      </c>
      <c r="N114" s="204" t="s">
        <v>7127</v>
      </c>
      <c r="O114" s="91" t="s">
        <v>5419</v>
      </c>
      <c r="P114" s="93" t="s">
        <v>7</v>
      </c>
      <c r="Q114" s="76">
        <v>50</v>
      </c>
      <c r="R114" s="93" t="s">
        <v>5426</v>
      </c>
      <c r="S114" s="93" t="s">
        <v>5</v>
      </c>
      <c r="T114" s="76">
        <v>15</v>
      </c>
      <c r="U114" s="98" t="s">
        <v>5429</v>
      </c>
      <c r="V114" s="93" t="s">
        <v>4</v>
      </c>
      <c r="W114" s="76">
        <v>6</v>
      </c>
      <c r="X114" s="93" t="s">
        <v>1146</v>
      </c>
      <c r="Y114" s="93" t="s">
        <v>1</v>
      </c>
      <c r="Z114" s="93" t="s">
        <v>1</v>
      </c>
      <c r="AA114" s="93" t="s">
        <v>1</v>
      </c>
      <c r="AB114" s="165" t="s">
        <v>6600</v>
      </c>
      <c r="AC114" s="165" t="s">
        <v>6603</v>
      </c>
      <c r="AD114" s="165" t="s">
        <v>2362</v>
      </c>
      <c r="AE114" s="25" t="s">
        <v>2088</v>
      </c>
      <c r="AF114" s="350" t="s">
        <v>7145</v>
      </c>
      <c r="AG114" s="350" t="s">
        <v>7145</v>
      </c>
      <c r="AH114" s="348">
        <v>5.4454000000000002E-2</v>
      </c>
      <c r="AI114" s="341">
        <v>8.1250000000000003E-2</v>
      </c>
      <c r="AJ114" s="368"/>
    </row>
    <row r="115" spans="1:36" s="176" customFormat="1">
      <c r="A115" s="72"/>
      <c r="B115" s="274" t="s">
        <v>2083</v>
      </c>
      <c r="C115" s="275" t="s">
        <v>1691</v>
      </c>
      <c r="D115" s="325">
        <v>300</v>
      </c>
      <c r="E115" s="274" t="s">
        <v>5</v>
      </c>
      <c r="F115" s="325">
        <v>110</v>
      </c>
      <c r="G115" s="325">
        <f>F115</f>
        <v>110</v>
      </c>
      <c r="H115" s="326">
        <v>44509</v>
      </c>
      <c r="I115" s="274" t="s">
        <v>5643</v>
      </c>
      <c r="J115" s="72"/>
      <c r="K115" s="72" t="s">
        <v>2045</v>
      </c>
      <c r="L115" s="72" t="s">
        <v>2082</v>
      </c>
      <c r="M115" s="72">
        <v>2021</v>
      </c>
      <c r="N115" s="91" t="s">
        <v>5644</v>
      </c>
      <c r="O115" s="91" t="s">
        <v>5642</v>
      </c>
      <c r="P115" s="93" t="s">
        <v>1</v>
      </c>
      <c r="Q115" s="93" t="s">
        <v>1</v>
      </c>
      <c r="R115" s="93" t="s">
        <v>1</v>
      </c>
      <c r="S115" s="93" t="s">
        <v>1</v>
      </c>
      <c r="T115" s="93" t="s">
        <v>1</v>
      </c>
      <c r="U115" s="93" t="s">
        <v>1</v>
      </c>
      <c r="V115" s="93" t="s">
        <v>1</v>
      </c>
      <c r="W115" s="93" t="s">
        <v>1</v>
      </c>
      <c r="X115" s="93" t="s">
        <v>1</v>
      </c>
      <c r="Y115" s="93" t="s">
        <v>1</v>
      </c>
      <c r="Z115" s="93" t="s">
        <v>1</v>
      </c>
      <c r="AA115" s="93" t="s">
        <v>1</v>
      </c>
      <c r="AB115" s="72" t="s">
        <v>2081</v>
      </c>
      <c r="AC115" s="72"/>
      <c r="AD115" s="72"/>
      <c r="AE115" s="25" t="s">
        <v>2080</v>
      </c>
      <c r="AF115" s="350" t="s">
        <v>7145</v>
      </c>
      <c r="AG115" s="350" t="s">
        <v>7145</v>
      </c>
      <c r="AH115" s="348">
        <v>3.5462E-2</v>
      </c>
      <c r="AI115" s="341">
        <v>3.6805555555555557E-2</v>
      </c>
      <c r="AJ115" s="368"/>
    </row>
    <row r="116" spans="1:36" s="176" customFormat="1">
      <c r="A116" s="72"/>
      <c r="B116" s="274" t="s">
        <v>2069</v>
      </c>
      <c r="C116" s="275" t="s">
        <v>1691</v>
      </c>
      <c r="D116" s="325">
        <v>300</v>
      </c>
      <c r="E116" s="274" t="s">
        <v>7</v>
      </c>
      <c r="F116" s="325">
        <v>60</v>
      </c>
      <c r="G116" s="325">
        <f>F116+Q116+T116</f>
        <v>85</v>
      </c>
      <c r="H116" s="326">
        <v>44278</v>
      </c>
      <c r="I116" s="274" t="s">
        <v>5904</v>
      </c>
      <c r="J116" s="91" t="s">
        <v>5905</v>
      </c>
      <c r="K116" s="72" t="s">
        <v>2062</v>
      </c>
      <c r="L116" s="72" t="s">
        <v>2068</v>
      </c>
      <c r="M116" s="72">
        <v>2018</v>
      </c>
      <c r="N116" s="72"/>
      <c r="O116" s="91" t="s">
        <v>5906</v>
      </c>
      <c r="P116" s="93" t="s">
        <v>5</v>
      </c>
      <c r="Q116" s="76">
        <v>20</v>
      </c>
      <c r="R116" s="93" t="s">
        <v>5908</v>
      </c>
      <c r="S116" s="93" t="s">
        <v>4</v>
      </c>
      <c r="T116" s="76">
        <v>5</v>
      </c>
      <c r="U116" s="93" t="s">
        <v>5909</v>
      </c>
      <c r="V116" s="93" t="s">
        <v>1</v>
      </c>
      <c r="W116" s="93" t="s">
        <v>1</v>
      </c>
      <c r="X116" s="93" t="s">
        <v>1</v>
      </c>
      <c r="Y116" s="93" t="s">
        <v>1</v>
      </c>
      <c r="Z116" s="93" t="s">
        <v>1</v>
      </c>
      <c r="AA116" s="93" t="s">
        <v>1</v>
      </c>
      <c r="AB116" s="72" t="s">
        <v>2048</v>
      </c>
      <c r="AC116" s="72"/>
      <c r="AD116" s="72"/>
      <c r="AE116" s="25" t="s">
        <v>2067</v>
      </c>
      <c r="AF116" s="350" t="s">
        <v>7145</v>
      </c>
      <c r="AG116" s="350" t="s">
        <v>7145</v>
      </c>
      <c r="AH116" s="348">
        <v>1.5831000000000001E-2</v>
      </c>
      <c r="AI116" s="341">
        <v>3.6111111111111108E-2</v>
      </c>
      <c r="AJ116" s="368"/>
    </row>
    <row r="117" spans="1:36">
      <c r="B117" s="274" t="s">
        <v>542</v>
      </c>
      <c r="C117" s="275" t="s">
        <v>1691</v>
      </c>
      <c r="D117" s="325">
        <v>260</v>
      </c>
      <c r="E117" s="274" t="s">
        <v>5</v>
      </c>
      <c r="F117" s="325">
        <v>40</v>
      </c>
      <c r="G117" s="325">
        <f>+F117+Q117+T117</f>
        <v>66</v>
      </c>
      <c r="H117" s="326">
        <v>44811</v>
      </c>
      <c r="I117" s="274" t="s">
        <v>2630</v>
      </c>
      <c r="K117" s="72" t="s">
        <v>2045</v>
      </c>
      <c r="L117" s="72" t="s">
        <v>2630</v>
      </c>
      <c r="M117" s="72">
        <v>2017</v>
      </c>
      <c r="N117" s="274" t="s">
        <v>8051</v>
      </c>
      <c r="O117" s="72" t="s">
        <v>3445</v>
      </c>
      <c r="P117" s="76" t="s">
        <v>5</v>
      </c>
      <c r="Q117" s="76">
        <v>14</v>
      </c>
      <c r="R117" s="76" t="s">
        <v>3444</v>
      </c>
      <c r="S117" s="76" t="s">
        <v>5</v>
      </c>
      <c r="T117" s="76">
        <v>12</v>
      </c>
      <c r="U117" s="76" t="s">
        <v>3443</v>
      </c>
      <c r="V117" s="76" t="s">
        <v>4</v>
      </c>
      <c r="W117" s="76" t="s">
        <v>1</v>
      </c>
      <c r="X117" s="76" t="s">
        <v>544</v>
      </c>
      <c r="Y117" s="76" t="s">
        <v>1</v>
      </c>
      <c r="Z117" s="76" t="s">
        <v>1</v>
      </c>
      <c r="AA117" s="76" t="s">
        <v>1</v>
      </c>
      <c r="AB117" s="72" t="s">
        <v>2163</v>
      </c>
      <c r="AE117" s="25" t="s">
        <v>5076</v>
      </c>
      <c r="AF117" s="348">
        <v>3.8922999999999999E-2</v>
      </c>
      <c r="AG117" s="68">
        <v>5.4166666666666669E-2</v>
      </c>
      <c r="AH117" s="348">
        <v>0.17289199999999999</v>
      </c>
      <c r="AI117" s="341">
        <v>2.6388888888888889E-2</v>
      </c>
      <c r="AJ117" s="368">
        <f t="shared" si="1"/>
        <v>3.4418981065179972</v>
      </c>
    </row>
    <row r="118" spans="1:36">
      <c r="B118" s="274" t="s">
        <v>1011</v>
      </c>
      <c r="C118" s="275" t="s">
        <v>1691</v>
      </c>
      <c r="D118" s="325">
        <v>257</v>
      </c>
      <c r="E118" s="274" t="s">
        <v>7</v>
      </c>
      <c r="F118" s="325">
        <v>43</v>
      </c>
      <c r="G118" s="325">
        <f>+F118+Q118</f>
        <v>69</v>
      </c>
      <c r="H118" s="326">
        <v>44978</v>
      </c>
      <c r="I118" s="274" t="s">
        <v>3442</v>
      </c>
      <c r="K118" s="72" t="s">
        <v>2045</v>
      </c>
      <c r="L118" s="72" t="s">
        <v>2698</v>
      </c>
      <c r="M118" s="84" t="s">
        <v>3129</v>
      </c>
      <c r="O118" s="72" t="s">
        <v>3441</v>
      </c>
      <c r="P118" s="76" t="s">
        <v>5</v>
      </c>
      <c r="Q118" s="76">
        <v>26</v>
      </c>
      <c r="R118" s="76" t="s">
        <v>3440</v>
      </c>
      <c r="S118" s="76" t="s">
        <v>4</v>
      </c>
      <c r="T118" s="76" t="s">
        <v>1</v>
      </c>
      <c r="U118" s="76" t="s">
        <v>3439</v>
      </c>
      <c r="V118" s="76" t="s">
        <v>1</v>
      </c>
      <c r="W118" s="76" t="s">
        <v>1</v>
      </c>
      <c r="X118" s="76" t="s">
        <v>1</v>
      </c>
      <c r="Y118" s="76" t="s">
        <v>1</v>
      </c>
      <c r="Z118" s="76" t="s">
        <v>1</v>
      </c>
      <c r="AA118" s="76" t="s">
        <v>1</v>
      </c>
      <c r="AB118" s="72" t="s">
        <v>2362</v>
      </c>
      <c r="AE118" s="25" t="s">
        <v>4316</v>
      </c>
      <c r="AF118" s="343">
        <v>13.41</v>
      </c>
      <c r="AG118" s="62">
        <v>0.16458333333333333</v>
      </c>
      <c r="AH118" s="348">
        <v>2.8450000000000002</v>
      </c>
      <c r="AI118" s="341">
        <v>0.20208333333333334</v>
      </c>
      <c r="AJ118" s="368">
        <f t="shared" si="1"/>
        <v>-0.78784489187173756</v>
      </c>
    </row>
    <row r="119" spans="1:36">
      <c r="B119" s="274" t="s">
        <v>798</v>
      </c>
      <c r="C119" s="275" t="s">
        <v>1691</v>
      </c>
      <c r="D119" s="325">
        <v>250</v>
      </c>
      <c r="E119" s="274" t="s">
        <v>18</v>
      </c>
      <c r="F119" s="325">
        <v>50</v>
      </c>
      <c r="G119" s="325">
        <f>+F119+Q119+T119+W119</f>
        <v>90.3</v>
      </c>
      <c r="H119" s="27">
        <v>44496</v>
      </c>
      <c r="I119" s="274" t="s">
        <v>3433</v>
      </c>
      <c r="J119" s="72" t="s">
        <v>3432</v>
      </c>
      <c r="K119" s="72" t="s">
        <v>2569</v>
      </c>
      <c r="L119" s="72" t="s">
        <v>2056</v>
      </c>
      <c r="M119" s="83">
        <v>43556</v>
      </c>
      <c r="O119" s="72" t="s">
        <v>3431</v>
      </c>
      <c r="P119" s="76" t="s">
        <v>7</v>
      </c>
      <c r="Q119" s="76">
        <v>22</v>
      </c>
      <c r="R119" s="76" t="s">
        <v>3430</v>
      </c>
      <c r="S119" s="76" t="s">
        <v>3429</v>
      </c>
      <c r="T119" s="76">
        <v>13</v>
      </c>
      <c r="U119" s="76" t="s">
        <v>3428</v>
      </c>
      <c r="V119" s="76" t="s">
        <v>3427</v>
      </c>
      <c r="W119" s="76">
        <v>5.3</v>
      </c>
      <c r="X119" s="76" t="s">
        <v>3426</v>
      </c>
      <c r="Y119" s="76" t="s">
        <v>1</v>
      </c>
      <c r="Z119" s="76" t="s">
        <v>1</v>
      </c>
      <c r="AA119" s="76" t="s">
        <v>1</v>
      </c>
      <c r="AB119" s="72" t="s">
        <v>2362</v>
      </c>
      <c r="AE119" s="25" t="s">
        <v>5080</v>
      </c>
      <c r="AF119" s="348">
        <v>8.3259E-2</v>
      </c>
      <c r="AG119" s="68">
        <v>1.4583333333333332E-2</v>
      </c>
      <c r="AH119" s="348">
        <v>8.5851999999999998E-2</v>
      </c>
      <c r="AI119" s="341">
        <v>4.8611111111111112E-2</v>
      </c>
      <c r="AJ119" s="368">
        <f t="shared" si="1"/>
        <v>3.1143780251984721E-2</v>
      </c>
    </row>
    <row r="120" spans="1:36" s="176" customFormat="1">
      <c r="A120" s="72"/>
      <c r="B120" s="274" t="s">
        <v>2066</v>
      </c>
      <c r="C120" s="275" t="s">
        <v>1691</v>
      </c>
      <c r="D120" s="325">
        <v>250</v>
      </c>
      <c r="E120" s="274" t="s">
        <v>18</v>
      </c>
      <c r="F120" s="325">
        <v>15</v>
      </c>
      <c r="G120" s="325">
        <f>F120+Z120+W120+T120+Q120</f>
        <v>84.2</v>
      </c>
      <c r="H120" s="326">
        <v>45006</v>
      </c>
      <c r="I120" s="274" t="s">
        <v>5998</v>
      </c>
      <c r="J120" s="91" t="s">
        <v>5986</v>
      </c>
      <c r="K120" s="72" t="s">
        <v>2062</v>
      </c>
      <c r="L120" s="72" t="s">
        <v>2065</v>
      </c>
      <c r="M120" s="72">
        <v>2017</v>
      </c>
      <c r="N120" s="72"/>
      <c r="O120" s="91" t="s">
        <v>5987</v>
      </c>
      <c r="P120" s="93" t="s">
        <v>7</v>
      </c>
      <c r="Q120" s="76">
        <v>50</v>
      </c>
      <c r="R120" s="93" t="s">
        <v>5991</v>
      </c>
      <c r="S120" s="93" t="s">
        <v>5</v>
      </c>
      <c r="T120" s="76">
        <v>3</v>
      </c>
      <c r="U120" s="93" t="s">
        <v>5992</v>
      </c>
      <c r="V120" s="93" t="s">
        <v>5</v>
      </c>
      <c r="W120" s="76">
        <v>12</v>
      </c>
      <c r="X120" s="93" t="s">
        <v>5996</v>
      </c>
      <c r="Y120" s="93" t="s">
        <v>4</v>
      </c>
      <c r="Z120" s="76">
        <v>4.2</v>
      </c>
      <c r="AA120" s="93" t="s">
        <v>5997</v>
      </c>
      <c r="AB120" s="72" t="s">
        <v>2048</v>
      </c>
      <c r="AC120" s="72"/>
      <c r="AD120" s="72"/>
      <c r="AE120" s="25" t="s">
        <v>2064</v>
      </c>
      <c r="AF120" s="350" t="s">
        <v>7145</v>
      </c>
      <c r="AG120" s="350" t="s">
        <v>7145</v>
      </c>
      <c r="AH120" s="348">
        <v>1.6872000000000002E-2</v>
      </c>
      <c r="AI120" s="341">
        <v>6.3194444444444442E-2</v>
      </c>
      <c r="AJ120" s="368"/>
    </row>
    <row r="121" spans="1:36" s="12" customFormat="1">
      <c r="B121" s="12" t="s">
        <v>1069</v>
      </c>
      <c r="C121" s="29" t="s">
        <v>1691</v>
      </c>
      <c r="D121" s="15">
        <v>250</v>
      </c>
      <c r="E121" s="12" t="s">
        <v>5</v>
      </c>
      <c r="F121" s="15">
        <v>12.5</v>
      </c>
      <c r="G121" s="15">
        <f>+F121</f>
        <v>12.5</v>
      </c>
      <c r="H121" s="14">
        <v>44978</v>
      </c>
      <c r="I121" s="12" t="s">
        <v>2844</v>
      </c>
      <c r="J121" s="12" t="s">
        <v>2843</v>
      </c>
      <c r="K121" s="12" t="s">
        <v>2045</v>
      </c>
      <c r="L121" s="12" t="s">
        <v>2056</v>
      </c>
      <c r="M121" s="12">
        <v>2019</v>
      </c>
      <c r="N121" s="12" t="s">
        <v>1900</v>
      </c>
      <c r="O121" s="12" t="s">
        <v>2842</v>
      </c>
      <c r="P121" s="24" t="s">
        <v>4</v>
      </c>
      <c r="Q121" s="24" t="s">
        <v>1</v>
      </c>
      <c r="R121" s="24" t="s">
        <v>1068</v>
      </c>
      <c r="S121" s="24" t="s">
        <v>1</v>
      </c>
      <c r="T121" s="24" t="s">
        <v>1</v>
      </c>
      <c r="U121" s="24" t="s">
        <v>1</v>
      </c>
      <c r="V121" s="24" t="s">
        <v>1</v>
      </c>
      <c r="W121" s="24" t="s">
        <v>1</v>
      </c>
      <c r="X121" s="24" t="s">
        <v>1</v>
      </c>
      <c r="Y121" s="24" t="s">
        <v>1</v>
      </c>
      <c r="Z121" s="24" t="s">
        <v>1</v>
      </c>
      <c r="AA121" s="24" t="s">
        <v>1</v>
      </c>
      <c r="AB121" s="12" t="s">
        <v>2362</v>
      </c>
      <c r="AE121" s="37" t="s">
        <v>8998</v>
      </c>
      <c r="AF121" s="370" t="s">
        <v>7145</v>
      </c>
      <c r="AG121" s="370" t="s">
        <v>7145</v>
      </c>
      <c r="AH121" s="376">
        <v>4.4889999999999999</v>
      </c>
      <c r="AI121" s="364">
        <v>0.20833333333333334</v>
      </c>
      <c r="AJ121" s="373"/>
    </row>
    <row r="122" spans="1:36">
      <c r="B122" s="274" t="s">
        <v>3425</v>
      </c>
      <c r="C122" s="275" t="s">
        <v>1691</v>
      </c>
      <c r="D122" s="325">
        <v>250</v>
      </c>
      <c r="E122" s="274" t="s">
        <v>5</v>
      </c>
      <c r="F122" s="325">
        <v>40</v>
      </c>
      <c r="G122" s="325">
        <f>+F122+Q122+T122</f>
        <v>60</v>
      </c>
      <c r="H122" s="326">
        <v>45014</v>
      </c>
      <c r="I122" s="274" t="s">
        <v>3424</v>
      </c>
      <c r="J122" s="72" t="s">
        <v>3423</v>
      </c>
      <c r="K122" s="72" t="s">
        <v>2308</v>
      </c>
      <c r="L122" s="72" t="s">
        <v>3422</v>
      </c>
      <c r="M122" s="72">
        <v>2017</v>
      </c>
      <c r="N122" s="72" t="s">
        <v>3421</v>
      </c>
      <c r="O122" s="72" t="s">
        <v>3420</v>
      </c>
      <c r="P122" s="76" t="s">
        <v>4</v>
      </c>
      <c r="Q122" s="76">
        <v>5</v>
      </c>
      <c r="R122" s="76" t="s">
        <v>3419</v>
      </c>
      <c r="S122" s="76" t="s">
        <v>4</v>
      </c>
      <c r="T122" s="76">
        <v>15</v>
      </c>
      <c r="U122" s="76" t="s">
        <v>3418</v>
      </c>
      <c r="V122" s="76" t="s">
        <v>1</v>
      </c>
      <c r="W122" s="76" t="s">
        <v>1</v>
      </c>
      <c r="X122" s="76" t="s">
        <v>1</v>
      </c>
      <c r="Y122" s="76" t="s">
        <v>1</v>
      </c>
      <c r="Z122" s="76" t="s">
        <v>1</v>
      </c>
      <c r="AA122" s="76" t="s">
        <v>1</v>
      </c>
      <c r="AB122" s="72" t="s">
        <v>2059</v>
      </c>
      <c r="AE122" s="25" t="s">
        <v>5081</v>
      </c>
      <c r="AF122" s="348">
        <v>4.2204999999999999E-2</v>
      </c>
      <c r="AG122" s="68">
        <v>0.16458333333333333</v>
      </c>
      <c r="AH122" s="348">
        <v>0.114028</v>
      </c>
      <c r="AI122" s="341">
        <v>0.11736111111111111</v>
      </c>
      <c r="AJ122" s="368">
        <f t="shared" si="1"/>
        <v>1.7017651936974292</v>
      </c>
    </row>
    <row r="123" spans="1:36">
      <c r="B123" s="274" t="s">
        <v>3438</v>
      </c>
      <c r="C123" s="275" t="s">
        <v>1691</v>
      </c>
      <c r="D123" s="325">
        <v>250</v>
      </c>
      <c r="E123" s="274" t="s">
        <v>5</v>
      </c>
      <c r="F123" s="325">
        <v>50</v>
      </c>
      <c r="G123" s="325">
        <f>+F123+Q123</f>
        <v>56</v>
      </c>
      <c r="H123" s="326">
        <v>44655</v>
      </c>
      <c r="I123" s="274"/>
      <c r="K123" s="34" t="s">
        <v>2045</v>
      </c>
      <c r="L123" s="34" t="s">
        <v>3437</v>
      </c>
      <c r="M123" s="83">
        <v>44075</v>
      </c>
      <c r="N123" s="72" t="s">
        <v>5078</v>
      </c>
      <c r="O123" s="72" t="s">
        <v>3436</v>
      </c>
      <c r="P123" s="76" t="s">
        <v>4</v>
      </c>
      <c r="Q123" s="76">
        <v>6</v>
      </c>
      <c r="R123" s="76" t="s">
        <v>3435</v>
      </c>
      <c r="S123" s="76" t="s">
        <v>1</v>
      </c>
      <c r="T123" s="76" t="s">
        <v>1</v>
      </c>
      <c r="U123" s="76" t="s">
        <v>1</v>
      </c>
      <c r="V123" s="76" t="s">
        <v>1</v>
      </c>
      <c r="W123" s="76" t="s">
        <v>1</v>
      </c>
      <c r="X123" s="76" t="s">
        <v>1</v>
      </c>
      <c r="Y123" s="76" t="s">
        <v>1</v>
      </c>
      <c r="Z123" s="76" t="s">
        <v>1</v>
      </c>
      <c r="AA123" s="76" t="s">
        <v>1</v>
      </c>
      <c r="AB123" s="72" t="s">
        <v>3434</v>
      </c>
      <c r="AE123" s="25" t="s">
        <v>5079</v>
      </c>
      <c r="AF123" s="348">
        <v>8.0569999999999999E-3</v>
      </c>
      <c r="AG123" s="68">
        <v>3.4722222222222224E-2</v>
      </c>
      <c r="AH123" s="348">
        <v>1.8710999999999998E-2</v>
      </c>
      <c r="AI123" s="341">
        <v>2.8472222222222222E-2</v>
      </c>
      <c r="AJ123" s="368">
        <f t="shared" si="1"/>
        <v>1.3223284100781929</v>
      </c>
    </row>
    <row r="124" spans="1:36">
      <c r="B124" s="72" t="s">
        <v>3417</v>
      </c>
      <c r="C124" s="73" t="s">
        <v>1691</v>
      </c>
      <c r="D124" s="74">
        <v>245</v>
      </c>
      <c r="E124" s="72" t="s">
        <v>7</v>
      </c>
      <c r="F124" s="74">
        <v>30</v>
      </c>
      <c r="G124" s="74">
        <f>+F124+Q124</f>
        <v>51.4</v>
      </c>
      <c r="H124" s="27">
        <v>44510</v>
      </c>
      <c r="I124" s="72" t="s">
        <v>3416</v>
      </c>
      <c r="K124" s="72" t="s">
        <v>2045</v>
      </c>
      <c r="L124" s="32" t="s">
        <v>2062</v>
      </c>
      <c r="M124" s="38">
        <v>43497</v>
      </c>
      <c r="N124" s="34" t="s">
        <v>2062</v>
      </c>
      <c r="O124" s="72" t="s">
        <v>3415</v>
      </c>
      <c r="P124" s="76" t="s">
        <v>5</v>
      </c>
      <c r="Q124" s="76">
        <v>21.4</v>
      </c>
      <c r="R124" s="76" t="s">
        <v>3414</v>
      </c>
      <c r="S124" s="76" t="s">
        <v>3413</v>
      </c>
      <c r="T124" s="76" t="s">
        <v>1</v>
      </c>
      <c r="U124" s="76" t="s">
        <v>990</v>
      </c>
      <c r="V124" s="76" t="s">
        <v>1</v>
      </c>
      <c r="W124" s="76" t="s">
        <v>1</v>
      </c>
      <c r="X124" s="76" t="s">
        <v>1</v>
      </c>
      <c r="Y124" s="76" t="s">
        <v>1</v>
      </c>
      <c r="Z124" s="76" t="s">
        <v>1</v>
      </c>
      <c r="AA124" s="76" t="s">
        <v>1</v>
      </c>
      <c r="AB124" s="72" t="s">
        <v>2362</v>
      </c>
      <c r="AE124" s="25" t="s">
        <v>5082</v>
      </c>
      <c r="AF124" s="348">
        <v>8.9449999999999998E-3</v>
      </c>
      <c r="AG124" s="68">
        <v>2.9166666666666664E-2</v>
      </c>
      <c r="AH124" s="348">
        <v>5.0000000000000001E-3</v>
      </c>
      <c r="AI124" s="341">
        <v>4.791666666666667E-2</v>
      </c>
      <c r="AJ124" s="368">
        <f t="shared" si="1"/>
        <v>-0.44102850754611511</v>
      </c>
    </row>
    <row r="125" spans="1:36">
      <c r="B125" s="72" t="s">
        <v>705</v>
      </c>
      <c r="C125" s="73" t="s">
        <v>1691</v>
      </c>
      <c r="D125" s="74">
        <v>240</v>
      </c>
      <c r="E125" s="72" t="s">
        <v>4</v>
      </c>
      <c r="F125" s="74">
        <v>120</v>
      </c>
      <c r="G125" s="74">
        <f>+F125</f>
        <v>120</v>
      </c>
      <c r="H125" s="77">
        <v>45090</v>
      </c>
      <c r="I125" s="72" t="s">
        <v>2546</v>
      </c>
      <c r="J125" s="72" t="s">
        <v>3412</v>
      </c>
      <c r="K125" s="72" t="s">
        <v>2569</v>
      </c>
      <c r="L125" s="72" t="s">
        <v>3169</v>
      </c>
      <c r="M125" s="85" t="s">
        <v>3411</v>
      </c>
      <c r="N125" s="72" t="s">
        <v>3410</v>
      </c>
      <c r="O125" s="72" t="s">
        <v>3409</v>
      </c>
      <c r="P125" s="76" t="s">
        <v>1</v>
      </c>
      <c r="Q125" s="76" t="s">
        <v>1</v>
      </c>
      <c r="R125" s="76" t="s">
        <v>1</v>
      </c>
      <c r="S125" s="76" t="s">
        <v>1</v>
      </c>
      <c r="T125" s="76" t="s">
        <v>1</v>
      </c>
      <c r="U125" s="76" t="s">
        <v>1</v>
      </c>
      <c r="V125" s="76" t="s">
        <v>1</v>
      </c>
      <c r="W125" s="76" t="s">
        <v>1</v>
      </c>
      <c r="X125" s="76" t="s">
        <v>1</v>
      </c>
      <c r="Y125" s="76" t="s">
        <v>1</v>
      </c>
      <c r="Z125" s="76" t="s">
        <v>1</v>
      </c>
      <c r="AA125" s="76" t="s">
        <v>1</v>
      </c>
      <c r="AB125" s="72" t="s">
        <v>2145</v>
      </c>
      <c r="AE125" s="25" t="s">
        <v>5083</v>
      </c>
      <c r="AF125" s="348">
        <v>0.36059000000000002</v>
      </c>
      <c r="AG125" s="68">
        <v>7.6388888888888886E-3</v>
      </c>
      <c r="AH125" s="348">
        <v>1.141</v>
      </c>
      <c r="AI125" s="341">
        <v>0.11736111111111111</v>
      </c>
      <c r="AJ125" s="368">
        <f t="shared" si="1"/>
        <v>2.1642585762223021</v>
      </c>
    </row>
    <row r="126" spans="1:36">
      <c r="B126" s="72" t="s">
        <v>665</v>
      </c>
      <c r="C126" s="73" t="s">
        <v>1691</v>
      </c>
      <c r="D126" s="74">
        <v>200</v>
      </c>
      <c r="E126" s="72" t="s">
        <v>4</v>
      </c>
      <c r="F126" s="74">
        <v>100</v>
      </c>
      <c r="G126" s="74">
        <f>+F126</f>
        <v>100</v>
      </c>
      <c r="H126" s="77">
        <v>44663</v>
      </c>
      <c r="I126" s="72" t="s">
        <v>3404</v>
      </c>
      <c r="K126" s="72" t="s">
        <v>2045</v>
      </c>
      <c r="L126" s="72" t="s">
        <v>2062</v>
      </c>
      <c r="M126" s="72">
        <v>2022</v>
      </c>
      <c r="O126" s="72" t="s">
        <v>3403</v>
      </c>
      <c r="P126" s="76" t="s">
        <v>1</v>
      </c>
      <c r="Q126" s="76" t="s">
        <v>1</v>
      </c>
      <c r="R126" s="76" t="s">
        <v>1</v>
      </c>
      <c r="S126" s="76" t="s">
        <v>1</v>
      </c>
      <c r="T126" s="76" t="s">
        <v>1</v>
      </c>
      <c r="U126" s="76" t="s">
        <v>1</v>
      </c>
      <c r="V126" s="76" t="s">
        <v>1</v>
      </c>
      <c r="W126" s="76" t="s">
        <v>1</v>
      </c>
      <c r="X126" s="76" t="s">
        <v>1</v>
      </c>
      <c r="Y126" s="76" t="s">
        <v>1</v>
      </c>
      <c r="Z126" s="76" t="s">
        <v>1</v>
      </c>
      <c r="AA126" s="76" t="s">
        <v>1</v>
      </c>
      <c r="AB126" s="72" t="s">
        <v>2055</v>
      </c>
      <c r="AE126" s="25" t="s">
        <v>5085</v>
      </c>
      <c r="AF126" s="357">
        <v>0</v>
      </c>
      <c r="AG126" s="68">
        <v>2.7777777777777779E-3</v>
      </c>
      <c r="AH126" s="348">
        <v>5.0000000000000001E-3</v>
      </c>
      <c r="AI126" s="341">
        <v>0</v>
      </c>
      <c r="AJ126" s="368"/>
    </row>
    <row r="127" spans="1:36" s="176" customFormat="1">
      <c r="A127" s="72"/>
      <c r="B127" s="72" t="s">
        <v>281</v>
      </c>
      <c r="C127" s="73" t="s">
        <v>1691</v>
      </c>
      <c r="D127" s="74">
        <v>200</v>
      </c>
      <c r="E127" s="72" t="s">
        <v>5</v>
      </c>
      <c r="F127" s="74">
        <v>32</v>
      </c>
      <c r="G127" s="74">
        <f>+F127+Q127+T127</f>
        <v>64.2</v>
      </c>
      <c r="H127" s="77">
        <v>44851</v>
      </c>
      <c r="I127" s="72" t="s">
        <v>3379</v>
      </c>
      <c r="J127" s="72" t="s">
        <v>3378</v>
      </c>
      <c r="K127" s="72" t="s">
        <v>2100</v>
      </c>
      <c r="L127" s="72" t="s">
        <v>2349</v>
      </c>
      <c r="M127" s="72">
        <v>2018</v>
      </c>
      <c r="N127" s="72"/>
      <c r="O127" s="72" t="s">
        <v>3377</v>
      </c>
      <c r="P127" s="76" t="s">
        <v>5</v>
      </c>
      <c r="Q127" s="76">
        <v>26</v>
      </c>
      <c r="R127" s="76" t="s">
        <v>3376</v>
      </c>
      <c r="S127" s="76" t="s">
        <v>4</v>
      </c>
      <c r="T127" s="76">
        <v>6.2</v>
      </c>
      <c r="U127" s="76" t="s">
        <v>3375</v>
      </c>
      <c r="V127" s="76" t="s">
        <v>278</v>
      </c>
      <c r="W127" s="76" t="s">
        <v>1</v>
      </c>
      <c r="X127" s="76" t="s">
        <v>3374</v>
      </c>
      <c r="Y127" s="76" t="s">
        <v>1</v>
      </c>
      <c r="Z127" s="76" t="s">
        <v>1</v>
      </c>
      <c r="AA127" s="76" t="s">
        <v>1</v>
      </c>
      <c r="AB127" s="72" t="s">
        <v>2085</v>
      </c>
      <c r="AC127" s="72"/>
      <c r="AD127" s="72"/>
      <c r="AE127" s="25" t="s">
        <v>5053</v>
      </c>
      <c r="AF127" s="342">
        <v>0</v>
      </c>
      <c r="AG127" s="62">
        <v>0.10277777777777779</v>
      </c>
      <c r="AH127" s="348">
        <v>5.0000000000000001E-3</v>
      </c>
      <c r="AI127" s="341">
        <v>2.1527777777777778E-2</v>
      </c>
      <c r="AJ127" s="368"/>
    </row>
    <row r="128" spans="1:36" s="176" customFormat="1">
      <c r="A128" s="72"/>
      <c r="B128" s="72" t="s">
        <v>2053</v>
      </c>
      <c r="C128" s="73" t="s">
        <v>1691</v>
      </c>
      <c r="D128" s="74">
        <v>200</v>
      </c>
      <c r="E128" s="134" t="s">
        <v>7</v>
      </c>
      <c r="F128" s="74">
        <v>52.2</v>
      </c>
      <c r="G128" s="74"/>
      <c r="H128" s="77">
        <v>44476</v>
      </c>
      <c r="I128" s="134" t="s">
        <v>2052</v>
      </c>
      <c r="J128" s="134" t="s">
        <v>6268</v>
      </c>
      <c r="K128" s="72" t="s">
        <v>2045</v>
      </c>
      <c r="L128" s="72" t="s">
        <v>2052</v>
      </c>
      <c r="M128" s="72">
        <v>2020</v>
      </c>
      <c r="N128" s="72"/>
      <c r="O128" s="134" t="s">
        <v>6269</v>
      </c>
      <c r="P128" s="139" t="s">
        <v>5</v>
      </c>
      <c r="Q128" s="76">
        <v>12</v>
      </c>
      <c r="R128" s="139" t="s">
        <v>6273</v>
      </c>
      <c r="S128" s="139" t="s">
        <v>4</v>
      </c>
      <c r="T128" s="139" t="s">
        <v>1</v>
      </c>
      <c r="U128" s="139" t="s">
        <v>6274</v>
      </c>
      <c r="V128" s="139" t="s">
        <v>4</v>
      </c>
      <c r="W128" s="76">
        <v>3.5</v>
      </c>
      <c r="X128" s="139" t="s">
        <v>6275</v>
      </c>
      <c r="Y128" s="139" t="s">
        <v>1</v>
      </c>
      <c r="Z128" s="139" t="s">
        <v>1</v>
      </c>
      <c r="AA128" s="139" t="s">
        <v>1</v>
      </c>
      <c r="AB128" s="72" t="s">
        <v>2051</v>
      </c>
      <c r="AC128" s="72"/>
      <c r="AD128" s="72"/>
      <c r="AE128" s="25" t="s">
        <v>2050</v>
      </c>
      <c r="AF128" s="344" t="s">
        <v>7145</v>
      </c>
      <c r="AG128" s="344" t="s">
        <v>7145</v>
      </c>
      <c r="AH128" s="348">
        <v>9.7642000000000007E-2</v>
      </c>
      <c r="AI128" s="341">
        <v>3.888888888888889E-2</v>
      </c>
      <c r="AJ128" s="368"/>
    </row>
    <row r="129" spans="1:36" s="176" customFormat="1">
      <c r="A129" s="72"/>
      <c r="B129" s="216" t="s">
        <v>2057</v>
      </c>
      <c r="C129" s="73" t="s">
        <v>1691</v>
      </c>
      <c r="D129" s="74">
        <v>200</v>
      </c>
      <c r="E129" s="72" t="s">
        <v>7</v>
      </c>
      <c r="F129" s="74">
        <v>50</v>
      </c>
      <c r="G129" s="74">
        <f>F129+Q129+T129+W129</f>
        <v>69.8</v>
      </c>
      <c r="H129" s="77">
        <v>44518</v>
      </c>
      <c r="I129" s="134" t="s">
        <v>2877</v>
      </c>
      <c r="J129" s="134" t="s">
        <v>6199</v>
      </c>
      <c r="K129" s="72" t="s">
        <v>2045</v>
      </c>
      <c r="L129" s="72" t="s">
        <v>2056</v>
      </c>
      <c r="M129" s="72">
        <v>2017</v>
      </c>
      <c r="N129" s="72"/>
      <c r="O129" s="134" t="s">
        <v>6201</v>
      </c>
      <c r="P129" s="139" t="s">
        <v>5</v>
      </c>
      <c r="Q129" s="76">
        <v>13</v>
      </c>
      <c r="R129" s="139" t="s">
        <v>6204</v>
      </c>
      <c r="S129" s="139" t="s">
        <v>4</v>
      </c>
      <c r="T129" s="139">
        <v>4.5</v>
      </c>
      <c r="U129" s="139" t="s">
        <v>6205</v>
      </c>
      <c r="V129" s="139" t="s">
        <v>4</v>
      </c>
      <c r="W129" s="76">
        <v>2.2999999999999998</v>
      </c>
      <c r="X129" s="139" t="s">
        <v>6207</v>
      </c>
      <c r="Y129" s="139" t="s">
        <v>278</v>
      </c>
      <c r="Z129" s="139" t="s">
        <v>1</v>
      </c>
      <c r="AA129" s="139" t="s">
        <v>6209</v>
      </c>
      <c r="AB129" s="72" t="s">
        <v>2055</v>
      </c>
      <c r="AC129" s="72"/>
      <c r="AD129" s="72"/>
      <c r="AE129" s="25" t="s">
        <v>2054</v>
      </c>
      <c r="AF129" s="344" t="s">
        <v>7145</v>
      </c>
      <c r="AG129" s="344" t="s">
        <v>7145</v>
      </c>
      <c r="AH129" s="348">
        <v>0.26666899999999999</v>
      </c>
      <c r="AI129" s="341">
        <v>0.38472222222222224</v>
      </c>
      <c r="AJ129" s="368"/>
    </row>
    <row r="130" spans="1:36">
      <c r="B130" s="72" t="s">
        <v>3389</v>
      </c>
      <c r="C130" s="73" t="s">
        <v>1691</v>
      </c>
      <c r="D130" s="74">
        <v>200</v>
      </c>
      <c r="E130" s="72" t="s">
        <v>5</v>
      </c>
      <c r="F130" s="74">
        <v>40.799999999999997</v>
      </c>
      <c r="G130" s="74">
        <f>+F130</f>
        <v>40.799999999999997</v>
      </c>
      <c r="H130" s="77">
        <v>45112</v>
      </c>
      <c r="J130" s="72" t="s">
        <v>3388</v>
      </c>
      <c r="K130" s="72" t="s">
        <v>2045</v>
      </c>
      <c r="L130" s="72" t="s">
        <v>3387</v>
      </c>
      <c r="N130" s="72" t="s">
        <v>2696</v>
      </c>
      <c r="O130" s="72" t="s">
        <v>3386</v>
      </c>
      <c r="P130" s="76" t="s">
        <v>1</v>
      </c>
      <c r="Q130" s="76" t="s">
        <v>1</v>
      </c>
      <c r="R130" s="76" t="s">
        <v>1</v>
      </c>
      <c r="S130" s="76" t="s">
        <v>1</v>
      </c>
      <c r="T130" s="76" t="s">
        <v>1</v>
      </c>
      <c r="U130" s="76" t="s">
        <v>1</v>
      </c>
      <c r="V130" s="76" t="s">
        <v>1</v>
      </c>
      <c r="W130" s="76" t="s">
        <v>1</v>
      </c>
      <c r="X130" s="76" t="s">
        <v>1</v>
      </c>
      <c r="Y130" s="76" t="s">
        <v>1</v>
      </c>
      <c r="Z130" s="76" t="s">
        <v>1</v>
      </c>
      <c r="AA130" s="76" t="s">
        <v>1</v>
      </c>
      <c r="AE130" s="25" t="s">
        <v>5088</v>
      </c>
      <c r="AF130" s="63">
        <v>7.4489999999999998</v>
      </c>
      <c r="AG130" s="68">
        <v>0.3527777777777778</v>
      </c>
      <c r="AH130" s="63">
        <v>6.1559999999999997</v>
      </c>
      <c r="AI130" s="341">
        <v>0.21249999999999999</v>
      </c>
      <c r="AJ130" s="368">
        <f t="shared" si="1"/>
        <v>-0.17358034635521546</v>
      </c>
    </row>
    <row r="131" spans="1:36">
      <c r="B131" s="72" t="s">
        <v>3361</v>
      </c>
      <c r="C131" s="73" t="s">
        <v>1691</v>
      </c>
      <c r="D131" s="74">
        <v>200</v>
      </c>
      <c r="E131" s="72" t="s">
        <v>4</v>
      </c>
      <c r="F131" s="74">
        <v>10</v>
      </c>
      <c r="G131" s="74">
        <f>+F131</f>
        <v>10</v>
      </c>
      <c r="H131" s="77">
        <v>45005</v>
      </c>
      <c r="I131" s="72" t="s">
        <v>3360</v>
      </c>
      <c r="J131" s="72" t="s">
        <v>3359</v>
      </c>
      <c r="K131" s="72" t="s">
        <v>2569</v>
      </c>
      <c r="L131" s="72" t="s">
        <v>3358</v>
      </c>
      <c r="M131" s="78">
        <v>41275</v>
      </c>
      <c r="N131" s="72" t="s">
        <v>3357</v>
      </c>
      <c r="O131" s="216" t="s">
        <v>75</v>
      </c>
      <c r="P131" s="76" t="s">
        <v>1</v>
      </c>
      <c r="Q131" s="76" t="s">
        <v>1</v>
      </c>
      <c r="R131" s="76" t="s">
        <v>1</v>
      </c>
      <c r="S131" s="76" t="s">
        <v>1</v>
      </c>
      <c r="T131" s="76" t="s">
        <v>1</v>
      </c>
      <c r="U131" s="76" t="s">
        <v>1</v>
      </c>
      <c r="V131" s="76" t="s">
        <v>1</v>
      </c>
      <c r="W131" s="76" t="s">
        <v>1</v>
      </c>
      <c r="X131" s="76" t="s">
        <v>1</v>
      </c>
      <c r="Y131" s="76" t="s">
        <v>1</v>
      </c>
      <c r="Z131" s="76" t="s">
        <v>1</v>
      </c>
      <c r="AA131" s="76" t="s">
        <v>1</v>
      </c>
      <c r="AB131" s="72" t="s">
        <v>2362</v>
      </c>
      <c r="AE131" s="25" t="s">
        <v>5093</v>
      </c>
      <c r="AF131" s="63">
        <v>3.855</v>
      </c>
      <c r="AG131" s="68">
        <v>0.26458333333333334</v>
      </c>
      <c r="AH131" s="63">
        <v>2.819</v>
      </c>
      <c r="AI131" s="341">
        <v>0.28125</v>
      </c>
      <c r="AJ131" s="368">
        <f t="shared" si="1"/>
        <v>-0.26874189364461742</v>
      </c>
    </row>
    <row r="132" spans="1:36">
      <c r="A132" s="176"/>
      <c r="B132" s="176" t="s">
        <v>2532</v>
      </c>
      <c r="C132" s="184" t="s">
        <v>1691</v>
      </c>
      <c r="D132" s="178">
        <v>200</v>
      </c>
      <c r="E132" s="189" t="s">
        <v>1</v>
      </c>
      <c r="F132" s="178" t="s">
        <v>1</v>
      </c>
      <c r="G132" s="178">
        <v>0</v>
      </c>
      <c r="H132" s="178" t="s">
        <v>1</v>
      </c>
      <c r="I132" s="176" t="s">
        <v>2467</v>
      </c>
      <c r="J132" s="176"/>
      <c r="K132" s="176" t="s">
        <v>2308</v>
      </c>
      <c r="L132" s="176" t="s">
        <v>2531</v>
      </c>
      <c r="M132" s="178" t="s">
        <v>1</v>
      </c>
      <c r="N132" s="176" t="s">
        <v>4466</v>
      </c>
      <c r="O132" s="189" t="s">
        <v>1</v>
      </c>
      <c r="P132" s="189" t="s">
        <v>1</v>
      </c>
      <c r="Q132" s="189" t="s">
        <v>1</v>
      </c>
      <c r="R132" s="189" t="s">
        <v>1</v>
      </c>
      <c r="S132" s="189" t="s">
        <v>1</v>
      </c>
      <c r="T132" s="189" t="s">
        <v>1</v>
      </c>
      <c r="U132" s="189" t="s">
        <v>1</v>
      </c>
      <c r="V132" s="189" t="s">
        <v>1</v>
      </c>
      <c r="W132" s="189" t="s">
        <v>1</v>
      </c>
      <c r="X132" s="189" t="s">
        <v>1</v>
      </c>
      <c r="Y132" s="189" t="s">
        <v>1</v>
      </c>
      <c r="Z132" s="189" t="s">
        <v>1</v>
      </c>
      <c r="AA132" s="189" t="s">
        <v>1</v>
      </c>
      <c r="AB132" s="189" t="s">
        <v>6600</v>
      </c>
      <c r="AC132" s="189" t="s">
        <v>6603</v>
      </c>
      <c r="AD132" s="189" t="s">
        <v>2362</v>
      </c>
      <c r="AE132" s="25" t="s">
        <v>4467</v>
      </c>
      <c r="AF132" s="64">
        <v>19.43</v>
      </c>
      <c r="AG132" s="69" t="s">
        <v>5025</v>
      </c>
      <c r="AH132" s="63">
        <v>26.81</v>
      </c>
      <c r="AI132" s="362">
        <v>0.81180555555555556</v>
      </c>
      <c r="AJ132" s="368">
        <f t="shared" si="1"/>
        <v>0.3798250128667009</v>
      </c>
    </row>
    <row r="133" spans="1:36">
      <c r="B133" s="12" t="s">
        <v>3373</v>
      </c>
      <c r="C133" s="29" t="s">
        <v>1691</v>
      </c>
      <c r="D133" s="15">
        <v>200</v>
      </c>
      <c r="E133" s="12" t="s">
        <v>7</v>
      </c>
      <c r="F133" s="15">
        <v>25</v>
      </c>
      <c r="G133" s="74">
        <f>+F133+Q133+T133+W133</f>
        <v>47.8</v>
      </c>
      <c r="H133" s="14">
        <v>44642</v>
      </c>
      <c r="I133" s="12" t="s">
        <v>2303</v>
      </c>
      <c r="J133" s="12" t="s">
        <v>3372</v>
      </c>
      <c r="K133" s="12" t="s">
        <v>2045</v>
      </c>
      <c r="L133" s="12" t="s">
        <v>2467</v>
      </c>
      <c r="M133" s="12">
        <v>2017</v>
      </c>
      <c r="N133" s="12" t="s">
        <v>3371</v>
      </c>
      <c r="O133" s="12" t="s">
        <v>3370</v>
      </c>
      <c r="P133" s="24" t="s">
        <v>5</v>
      </c>
      <c r="Q133" s="24">
        <v>13.5</v>
      </c>
      <c r="R133" s="24" t="s">
        <v>3369</v>
      </c>
      <c r="S133" s="24" t="s">
        <v>4</v>
      </c>
      <c r="T133" s="24">
        <v>5.3</v>
      </c>
      <c r="U133" s="24" t="s">
        <v>3368</v>
      </c>
      <c r="V133" s="24" t="s">
        <v>4</v>
      </c>
      <c r="W133" s="24">
        <v>4</v>
      </c>
      <c r="X133" s="24" t="s">
        <v>3367</v>
      </c>
      <c r="Y133" s="24" t="s">
        <v>1</v>
      </c>
      <c r="Z133" s="24" t="s">
        <v>1</v>
      </c>
      <c r="AA133" s="24" t="s">
        <v>1</v>
      </c>
      <c r="AB133" s="12" t="s">
        <v>2078</v>
      </c>
      <c r="AC133" s="12"/>
      <c r="AD133" s="12"/>
      <c r="AE133" s="37" t="s">
        <v>3366</v>
      </c>
      <c r="AF133" s="66">
        <v>7.0490000000000004</v>
      </c>
      <c r="AG133" s="71">
        <v>0.36944444444444446</v>
      </c>
      <c r="AH133" s="65">
        <v>2.1070000000000002</v>
      </c>
      <c r="AI133" s="364">
        <v>0.27083333333333331</v>
      </c>
      <c r="AJ133" s="368">
        <f t="shared" si="1"/>
        <v>-0.70109235352532273</v>
      </c>
    </row>
    <row r="134" spans="1:36">
      <c r="B134" s="72" t="s">
        <v>3402</v>
      </c>
      <c r="C134" s="73" t="s">
        <v>1691</v>
      </c>
      <c r="D134" s="74">
        <v>200</v>
      </c>
      <c r="E134" s="72" t="s">
        <v>5</v>
      </c>
      <c r="F134" s="74">
        <v>58</v>
      </c>
      <c r="G134" s="74">
        <f>+F134</f>
        <v>58</v>
      </c>
      <c r="H134" s="77">
        <v>45104</v>
      </c>
      <c r="I134" s="72" t="s">
        <v>3401</v>
      </c>
      <c r="K134" s="72" t="s">
        <v>2045</v>
      </c>
      <c r="L134" s="72" t="s">
        <v>3169</v>
      </c>
      <c r="M134" s="75" t="s">
        <v>3400</v>
      </c>
      <c r="O134" s="72" t="s">
        <v>3399</v>
      </c>
      <c r="P134" s="76" t="s">
        <v>1</v>
      </c>
      <c r="Q134" s="76" t="s">
        <v>1</v>
      </c>
      <c r="R134" s="76" t="s">
        <v>1</v>
      </c>
      <c r="S134" s="76" t="s">
        <v>1</v>
      </c>
      <c r="T134" s="76" t="s">
        <v>1</v>
      </c>
      <c r="U134" s="76" t="s">
        <v>1</v>
      </c>
      <c r="V134" s="76" t="s">
        <v>1</v>
      </c>
      <c r="W134" s="76" t="s">
        <v>1</v>
      </c>
      <c r="X134" s="76" t="s">
        <v>1</v>
      </c>
      <c r="Y134" s="76" t="s">
        <v>1</v>
      </c>
      <c r="Z134" s="76" t="s">
        <v>1</v>
      </c>
      <c r="AA134" s="76" t="s">
        <v>1</v>
      </c>
      <c r="AB134" s="72" t="s">
        <v>2191</v>
      </c>
      <c r="AE134" s="25" t="s">
        <v>5086</v>
      </c>
      <c r="AF134" s="357">
        <v>7.7016000000000001E-2</v>
      </c>
      <c r="AG134" s="68">
        <v>4.5833333333333337E-2</v>
      </c>
      <c r="AH134" s="357">
        <v>6.0995000000000001E-2</v>
      </c>
      <c r="AI134" s="341">
        <v>0.19930555555555557</v>
      </c>
      <c r="AJ134" s="368">
        <f t="shared" si="1"/>
        <v>-0.20802170977459233</v>
      </c>
    </row>
    <row r="135" spans="1:36">
      <c r="B135" s="12" t="s">
        <v>475</v>
      </c>
      <c r="C135" s="29" t="s">
        <v>1691</v>
      </c>
      <c r="D135" s="15">
        <v>200</v>
      </c>
      <c r="E135" s="12" t="s">
        <v>7</v>
      </c>
      <c r="F135" s="15">
        <v>90</v>
      </c>
      <c r="G135" s="74">
        <f>+F135</f>
        <v>90</v>
      </c>
      <c r="H135" s="14">
        <v>44398</v>
      </c>
      <c r="I135" s="12" t="s">
        <v>2589</v>
      </c>
      <c r="J135" s="12" t="s">
        <v>3408</v>
      </c>
      <c r="K135" s="12" t="s">
        <v>2308</v>
      </c>
      <c r="L135" s="12" t="s">
        <v>2062</v>
      </c>
      <c r="M135" s="12">
        <v>2017</v>
      </c>
      <c r="N135" s="12"/>
      <c r="O135" s="12" t="s">
        <v>3407</v>
      </c>
      <c r="P135" s="24" t="s">
        <v>2225</v>
      </c>
      <c r="Q135" s="24">
        <v>9.5</v>
      </c>
      <c r="R135" s="24" t="s">
        <v>3406</v>
      </c>
      <c r="S135" s="24" t="s">
        <v>5</v>
      </c>
      <c r="T135" s="24">
        <v>22.8</v>
      </c>
      <c r="U135" s="24" t="s">
        <v>3405</v>
      </c>
      <c r="V135" s="24" t="s">
        <v>1</v>
      </c>
      <c r="W135" s="24" t="s">
        <v>1</v>
      </c>
      <c r="X135" s="24" t="s">
        <v>1</v>
      </c>
      <c r="Y135" s="24" t="s">
        <v>1</v>
      </c>
      <c r="Z135" s="24" t="s">
        <v>1</v>
      </c>
      <c r="AA135" s="24" t="s">
        <v>1</v>
      </c>
      <c r="AB135" s="12" t="s">
        <v>2048</v>
      </c>
      <c r="AC135" s="12"/>
      <c r="AD135" s="12"/>
      <c r="AE135" s="25" t="s">
        <v>5084</v>
      </c>
      <c r="AF135" s="363">
        <v>6.1334E-2</v>
      </c>
      <c r="AG135" s="70">
        <v>6.6666666666666666E-2</v>
      </c>
      <c r="AH135" s="363">
        <v>5.6905999999999998E-2</v>
      </c>
      <c r="AI135" s="364">
        <v>0.18888888888888888</v>
      </c>
      <c r="AJ135" s="368">
        <f t="shared" ref="AJ135:AJ199" si="2">+AH135/AF135-1</f>
        <v>-7.2194867447093025E-2</v>
      </c>
    </row>
    <row r="136" spans="1:36">
      <c r="B136" s="72" t="s">
        <v>1056</v>
      </c>
      <c r="C136" s="73" t="s">
        <v>1691</v>
      </c>
      <c r="D136" s="74">
        <v>200</v>
      </c>
      <c r="E136" s="72" t="s">
        <v>18</v>
      </c>
      <c r="F136" s="74">
        <v>40</v>
      </c>
      <c r="G136" s="74">
        <f>+F136+Q136+T136+V136</f>
        <v>82</v>
      </c>
      <c r="H136" s="75">
        <v>2016</v>
      </c>
      <c r="I136" s="72" t="s">
        <v>3385</v>
      </c>
      <c r="J136" s="72" t="s">
        <v>3384</v>
      </c>
      <c r="K136" s="72" t="s">
        <v>2045</v>
      </c>
      <c r="L136" s="72" t="s">
        <v>2062</v>
      </c>
      <c r="M136" s="72">
        <v>2016</v>
      </c>
      <c r="N136" s="72" t="s">
        <v>2164</v>
      </c>
      <c r="O136" s="72" t="s">
        <v>3383</v>
      </c>
      <c r="P136" s="76" t="s">
        <v>7</v>
      </c>
      <c r="Q136" s="76">
        <v>28</v>
      </c>
      <c r="R136" s="76" t="s">
        <v>3382</v>
      </c>
      <c r="S136" s="76" t="s">
        <v>5</v>
      </c>
      <c r="T136" s="76">
        <v>9.6999999999999993</v>
      </c>
      <c r="U136" s="76" t="s">
        <v>4</v>
      </c>
      <c r="V136" s="76">
        <v>4.3</v>
      </c>
      <c r="W136" s="76" t="s">
        <v>3381</v>
      </c>
      <c r="X136" s="76" t="s">
        <v>1</v>
      </c>
      <c r="Y136" s="76" t="s">
        <v>1</v>
      </c>
      <c r="Z136" s="76" t="s">
        <v>1</v>
      </c>
      <c r="AA136" s="76" t="s">
        <v>1</v>
      </c>
      <c r="AB136" s="72" t="s">
        <v>2191</v>
      </c>
      <c r="AE136" s="25" t="s">
        <v>3380</v>
      </c>
      <c r="AF136" s="342">
        <v>1.6847000000000001E-2</v>
      </c>
      <c r="AG136" s="62">
        <v>1.3888888888888889E-3</v>
      </c>
      <c r="AH136" s="357">
        <v>9.1430000000000001E-3</v>
      </c>
      <c r="AI136" s="341">
        <v>3.472222222222222E-3</v>
      </c>
      <c r="AJ136" s="368">
        <f t="shared" si="2"/>
        <v>-0.45729209948358762</v>
      </c>
    </row>
    <row r="137" spans="1:36">
      <c r="B137" s="72" t="s">
        <v>707</v>
      </c>
      <c r="C137" s="73" t="s">
        <v>1691</v>
      </c>
      <c r="D137" s="39">
        <v>250</v>
      </c>
      <c r="E137" s="72" t="s">
        <v>9</v>
      </c>
      <c r="F137" s="74">
        <v>222</v>
      </c>
      <c r="G137" s="74">
        <f>F137+Q137+T137+W137+Z137</f>
        <v>652</v>
      </c>
      <c r="H137" s="77">
        <v>44194</v>
      </c>
      <c r="I137" s="72" t="s">
        <v>3768</v>
      </c>
      <c r="J137" s="72" t="s">
        <v>3769</v>
      </c>
      <c r="K137" s="72" t="s">
        <v>2100</v>
      </c>
      <c r="L137" s="72" t="s">
        <v>3768</v>
      </c>
      <c r="M137" s="72">
        <v>2016</v>
      </c>
      <c r="N137" s="72" t="s">
        <v>3767</v>
      </c>
      <c r="O137" s="72" t="s">
        <v>3766</v>
      </c>
      <c r="P137" s="76" t="s">
        <v>8</v>
      </c>
      <c r="Q137" s="76">
        <v>150</v>
      </c>
      <c r="R137" s="76" t="s">
        <v>3765</v>
      </c>
      <c r="S137" s="76" t="s">
        <v>8</v>
      </c>
      <c r="T137" s="76">
        <v>200</v>
      </c>
      <c r="U137" s="76" t="s">
        <v>3764</v>
      </c>
      <c r="V137" s="76" t="s">
        <v>18</v>
      </c>
      <c r="W137" s="76">
        <v>50</v>
      </c>
      <c r="X137" s="76" t="s">
        <v>3763</v>
      </c>
      <c r="Y137" s="76" t="s">
        <v>5</v>
      </c>
      <c r="Z137" s="76">
        <v>30</v>
      </c>
      <c r="AA137" s="76" t="s">
        <v>3762</v>
      </c>
      <c r="AB137" s="165" t="s">
        <v>6625</v>
      </c>
      <c r="AD137" s="165" t="s">
        <v>6621</v>
      </c>
      <c r="AE137" s="25" t="s">
        <v>3761</v>
      </c>
      <c r="AF137" s="342">
        <v>3.8457999999999999E-2</v>
      </c>
      <c r="AG137" s="62">
        <v>0.11388888888888889</v>
      </c>
      <c r="AH137" s="342">
        <v>3.2417000000000001E-2</v>
      </c>
      <c r="AI137" s="62">
        <v>4.6527777777777779E-2</v>
      </c>
      <c r="AJ137" s="368">
        <f t="shared" si="2"/>
        <v>-0.15708045140152893</v>
      </c>
    </row>
    <row r="138" spans="1:36" s="12" customFormat="1">
      <c r="A138" s="72"/>
      <c r="B138" s="72" t="s">
        <v>3398</v>
      </c>
      <c r="C138" s="73" t="s">
        <v>1691</v>
      </c>
      <c r="D138" s="74">
        <v>200</v>
      </c>
      <c r="E138" s="72" t="s">
        <v>18</v>
      </c>
      <c r="F138" s="74">
        <v>45</v>
      </c>
      <c r="G138" s="74">
        <f>+F138</f>
        <v>45</v>
      </c>
      <c r="H138" s="27">
        <v>44159</v>
      </c>
      <c r="I138" s="72" t="s">
        <v>3397</v>
      </c>
      <c r="J138" s="72" t="s">
        <v>3396</v>
      </c>
      <c r="K138" s="72" t="s">
        <v>2045</v>
      </c>
      <c r="L138" s="72" t="s">
        <v>2062</v>
      </c>
      <c r="M138" s="72">
        <v>2015</v>
      </c>
      <c r="N138" s="72"/>
      <c r="O138" s="72" t="s">
        <v>3395</v>
      </c>
      <c r="P138" s="76" t="s">
        <v>7</v>
      </c>
      <c r="Q138" s="76" t="s">
        <v>1</v>
      </c>
      <c r="R138" s="76" t="s">
        <v>3394</v>
      </c>
      <c r="S138" s="76" t="s">
        <v>5</v>
      </c>
      <c r="T138" s="76" t="s">
        <v>1</v>
      </c>
      <c r="U138" s="76" t="s">
        <v>3393</v>
      </c>
      <c r="V138" s="76" t="s">
        <v>4</v>
      </c>
      <c r="W138" s="76" t="s">
        <v>1</v>
      </c>
      <c r="X138" s="76" t="s">
        <v>3392</v>
      </c>
      <c r="Y138" s="76" t="s">
        <v>4</v>
      </c>
      <c r="Z138" s="76" t="s">
        <v>1</v>
      </c>
      <c r="AA138" s="76" t="s">
        <v>3391</v>
      </c>
      <c r="AB138" s="72" t="s">
        <v>3390</v>
      </c>
      <c r="AC138" s="72"/>
      <c r="AD138" s="72"/>
      <c r="AE138" s="25" t="s">
        <v>5087</v>
      </c>
      <c r="AF138" s="357">
        <v>2.3637999999999999E-2</v>
      </c>
      <c r="AG138" s="68">
        <v>6.3194444444444442E-2</v>
      </c>
      <c r="AH138" s="357">
        <v>6.319E-3</v>
      </c>
      <c r="AI138" s="68">
        <v>2.2916666666666665E-2</v>
      </c>
      <c r="AJ138" s="368">
        <f t="shared" si="2"/>
        <v>-0.73267619934004569</v>
      </c>
    </row>
    <row r="139" spans="1:36">
      <c r="B139" s="72" t="s">
        <v>891</v>
      </c>
      <c r="C139" s="73" t="s">
        <v>1691</v>
      </c>
      <c r="D139" s="74">
        <v>150</v>
      </c>
      <c r="E139" s="72" t="s">
        <v>7</v>
      </c>
      <c r="F139" s="74">
        <v>40</v>
      </c>
      <c r="G139" s="74">
        <f>+F139+Q139</f>
        <v>54</v>
      </c>
      <c r="H139" s="77">
        <v>44650</v>
      </c>
      <c r="K139" s="72" t="s">
        <v>2045</v>
      </c>
      <c r="L139" s="72" t="s">
        <v>2230</v>
      </c>
      <c r="M139" s="84">
        <v>43361</v>
      </c>
      <c r="O139" s="72" t="s">
        <v>3323</v>
      </c>
      <c r="P139" s="76" t="s">
        <v>5</v>
      </c>
      <c r="Q139" s="76">
        <v>14</v>
      </c>
      <c r="R139" s="76" t="s">
        <v>3322</v>
      </c>
      <c r="S139" s="76" t="s">
        <v>1</v>
      </c>
      <c r="T139" s="76" t="s">
        <v>1</v>
      </c>
      <c r="U139" s="76" t="s">
        <v>1</v>
      </c>
      <c r="V139" s="76" t="s">
        <v>1</v>
      </c>
      <c r="W139" s="76" t="s">
        <v>1</v>
      </c>
      <c r="X139" s="76" t="s">
        <v>1</v>
      </c>
      <c r="Y139" s="76" t="s">
        <v>1</v>
      </c>
      <c r="Z139" s="76" t="s">
        <v>1</v>
      </c>
      <c r="AA139" s="76" t="s">
        <v>1</v>
      </c>
      <c r="AB139" s="72" t="s">
        <v>2362</v>
      </c>
      <c r="AE139" s="25" t="s">
        <v>5101</v>
      </c>
      <c r="AF139" s="357">
        <v>5.2790999999999998E-2</v>
      </c>
      <c r="AG139" s="68">
        <v>0.14861111111111111</v>
      </c>
      <c r="AH139" s="357">
        <v>8.0129999999999993E-3</v>
      </c>
      <c r="AI139" s="341">
        <v>5.1388888888888887E-2</v>
      </c>
      <c r="AJ139" s="368">
        <f t="shared" si="2"/>
        <v>-0.84821276353923969</v>
      </c>
    </row>
    <row r="140" spans="1:36" s="176" customFormat="1">
      <c r="A140" s="72"/>
      <c r="B140" s="72" t="s">
        <v>3343</v>
      </c>
      <c r="C140" s="73" t="s">
        <v>1691</v>
      </c>
      <c r="D140" s="221">
        <v>150</v>
      </c>
      <c r="E140" s="72" t="s">
        <v>5</v>
      </c>
      <c r="F140" s="74">
        <v>21</v>
      </c>
      <c r="G140" s="74">
        <f>+F140+Q140</f>
        <v>26</v>
      </c>
      <c r="H140" s="77">
        <v>45027</v>
      </c>
      <c r="I140" s="72" t="s">
        <v>3342</v>
      </c>
      <c r="J140" s="72" t="s">
        <v>3341</v>
      </c>
      <c r="K140" s="34" t="s">
        <v>2045</v>
      </c>
      <c r="L140" s="34" t="s">
        <v>2456</v>
      </c>
      <c r="M140" s="83">
        <v>44562</v>
      </c>
      <c r="N140" s="72" t="s">
        <v>3340</v>
      </c>
      <c r="O140" s="72" t="s">
        <v>3339</v>
      </c>
      <c r="P140" s="76" t="s">
        <v>4</v>
      </c>
      <c r="Q140" s="76">
        <v>5</v>
      </c>
      <c r="R140" s="76" t="s">
        <v>3338</v>
      </c>
      <c r="S140" s="76" t="s">
        <v>1</v>
      </c>
      <c r="T140" s="76" t="s">
        <v>1</v>
      </c>
      <c r="U140" s="76" t="s">
        <v>1</v>
      </c>
      <c r="V140" s="76" t="s">
        <v>1</v>
      </c>
      <c r="W140" s="76" t="s">
        <v>1</v>
      </c>
      <c r="X140" s="76" t="s">
        <v>1</v>
      </c>
      <c r="Y140" s="76" t="s">
        <v>1</v>
      </c>
      <c r="Z140" s="76" t="s">
        <v>1</v>
      </c>
      <c r="AA140" s="76" t="s">
        <v>1</v>
      </c>
      <c r="AB140" s="72" t="s">
        <v>2362</v>
      </c>
      <c r="AC140" s="72"/>
      <c r="AD140" s="72"/>
      <c r="AE140" s="25" t="s">
        <v>5097</v>
      </c>
      <c r="AF140" s="357">
        <v>5.7058999999999999E-2</v>
      </c>
      <c r="AG140" s="68">
        <v>5.9722222222222225E-2</v>
      </c>
      <c r="AH140" s="357">
        <v>0.14016100000000001</v>
      </c>
      <c r="AI140" s="341">
        <v>0.15694444444444444</v>
      </c>
      <c r="AJ140" s="368">
        <f t="shared" si="2"/>
        <v>1.4564222997248466</v>
      </c>
    </row>
    <row r="141" spans="1:36">
      <c r="B141" s="72" t="s">
        <v>796</v>
      </c>
      <c r="C141" s="73" t="s">
        <v>1691</v>
      </c>
      <c r="D141" s="74">
        <v>150</v>
      </c>
      <c r="E141" s="72" t="s">
        <v>7</v>
      </c>
      <c r="F141" s="74">
        <v>60</v>
      </c>
      <c r="G141" s="74">
        <f>+F141+Q141+T141</f>
        <v>77.7</v>
      </c>
      <c r="H141" s="77">
        <v>45036</v>
      </c>
      <c r="I141" s="72" t="s">
        <v>3353</v>
      </c>
      <c r="K141" s="72" t="s">
        <v>2569</v>
      </c>
      <c r="L141" s="72" t="s">
        <v>3352</v>
      </c>
      <c r="M141" s="84" t="s">
        <v>2982</v>
      </c>
      <c r="O141" s="72" t="s">
        <v>3351</v>
      </c>
      <c r="P141" s="76" t="s">
        <v>5</v>
      </c>
      <c r="Q141" s="76">
        <v>16.5</v>
      </c>
      <c r="R141" s="76" t="s">
        <v>3350</v>
      </c>
      <c r="S141" s="76" t="s">
        <v>4</v>
      </c>
      <c r="T141" s="76">
        <v>1.2</v>
      </c>
      <c r="U141" s="76" t="s">
        <v>3349</v>
      </c>
      <c r="V141" s="76" t="s">
        <v>1</v>
      </c>
      <c r="W141" s="76" t="s">
        <v>1</v>
      </c>
      <c r="X141" s="76" t="s">
        <v>1</v>
      </c>
      <c r="Y141" s="76" t="s">
        <v>1</v>
      </c>
      <c r="Z141" s="76" t="s">
        <v>1</v>
      </c>
      <c r="AA141" s="76" t="s">
        <v>1</v>
      </c>
      <c r="AB141" s="72" t="s">
        <v>3348</v>
      </c>
      <c r="AE141" s="25" t="s">
        <v>5095</v>
      </c>
      <c r="AF141" s="357">
        <v>0.20650399999999999</v>
      </c>
      <c r="AG141" s="68">
        <v>0.22708333333333333</v>
      </c>
      <c r="AH141" s="357">
        <v>0.51268999999999998</v>
      </c>
      <c r="AI141" s="341">
        <v>0.1111111111111111</v>
      </c>
      <c r="AJ141" s="368">
        <f t="shared" si="2"/>
        <v>1.4827121992794328</v>
      </c>
    </row>
    <row r="142" spans="1:36">
      <c r="B142" s="72" t="s">
        <v>313</v>
      </c>
      <c r="C142" s="73" t="s">
        <v>1691</v>
      </c>
      <c r="D142" s="74">
        <v>150</v>
      </c>
      <c r="E142" s="72" t="s">
        <v>5</v>
      </c>
      <c r="F142" s="74">
        <v>57</v>
      </c>
      <c r="G142" s="74">
        <f>+F142</f>
        <v>57</v>
      </c>
      <c r="H142" s="77">
        <v>44508</v>
      </c>
      <c r="I142" s="72" t="s">
        <v>3310</v>
      </c>
      <c r="J142" s="72" t="s">
        <v>3309</v>
      </c>
      <c r="K142" s="72" t="s">
        <v>2045</v>
      </c>
      <c r="L142" s="72" t="s">
        <v>2626</v>
      </c>
      <c r="M142" s="72">
        <v>2017</v>
      </c>
      <c r="O142" s="72" t="s">
        <v>3308</v>
      </c>
      <c r="P142" s="76" t="s">
        <v>4</v>
      </c>
      <c r="Q142" s="76" t="s">
        <v>1</v>
      </c>
      <c r="R142" s="76" t="s">
        <v>3307</v>
      </c>
      <c r="S142" s="76" t="s">
        <v>1</v>
      </c>
      <c r="T142" s="76" t="s">
        <v>1</v>
      </c>
      <c r="U142" s="76" t="s">
        <v>1</v>
      </c>
      <c r="V142" s="76" t="s">
        <v>1</v>
      </c>
      <c r="W142" s="76" t="s">
        <v>1</v>
      </c>
      <c r="X142" s="76" t="s">
        <v>1</v>
      </c>
      <c r="Y142" s="76" t="s">
        <v>1</v>
      </c>
      <c r="Z142" s="76" t="s">
        <v>1</v>
      </c>
      <c r="AA142" s="76" t="s">
        <v>1</v>
      </c>
      <c r="AB142" s="72" t="s">
        <v>2152</v>
      </c>
      <c r="AE142" s="25" t="s">
        <v>5104</v>
      </c>
      <c r="AF142" s="357">
        <v>4.4072E-2</v>
      </c>
      <c r="AG142" s="68">
        <v>0.21875</v>
      </c>
      <c r="AH142" s="357">
        <v>1.9029999999999998E-2</v>
      </c>
      <c r="AI142" s="341">
        <v>7.6388888888888895E-2</v>
      </c>
      <c r="AJ142" s="368">
        <f t="shared" si="2"/>
        <v>-0.56820657106552919</v>
      </c>
    </row>
    <row r="143" spans="1:36" s="12" customFormat="1">
      <c r="B143" s="12" t="s">
        <v>446</v>
      </c>
      <c r="C143" s="29" t="s">
        <v>1691</v>
      </c>
      <c r="D143" s="15">
        <v>150</v>
      </c>
      <c r="E143" s="12" t="s">
        <v>7</v>
      </c>
      <c r="F143" s="15">
        <v>30</v>
      </c>
      <c r="G143" s="15">
        <f>+F143+Q143+T143+W143</f>
        <v>63.12</v>
      </c>
      <c r="H143" s="14">
        <v>44756</v>
      </c>
      <c r="I143" s="12" t="s">
        <v>3333</v>
      </c>
      <c r="J143" s="12" t="s">
        <v>3332</v>
      </c>
      <c r="K143" s="12" t="s">
        <v>2045</v>
      </c>
      <c r="L143" s="12" t="s">
        <v>3331</v>
      </c>
      <c r="M143" s="12">
        <v>2017</v>
      </c>
      <c r="O143" s="12" t="s">
        <v>3330</v>
      </c>
      <c r="P143" s="24" t="s">
        <v>5</v>
      </c>
      <c r="Q143" s="24">
        <v>28</v>
      </c>
      <c r="R143" s="24" t="s">
        <v>3329</v>
      </c>
      <c r="S143" s="24" t="s">
        <v>4</v>
      </c>
      <c r="T143" s="24">
        <v>5</v>
      </c>
      <c r="U143" s="24" t="s">
        <v>3328</v>
      </c>
      <c r="V143" s="24" t="s">
        <v>4</v>
      </c>
      <c r="W143" s="24">
        <v>0.12</v>
      </c>
      <c r="X143" s="24" t="s">
        <v>1068</v>
      </c>
      <c r="Y143" s="24" t="s">
        <v>1</v>
      </c>
      <c r="Z143" s="24" t="s">
        <v>1</v>
      </c>
      <c r="AA143" s="24" t="s">
        <v>1</v>
      </c>
      <c r="AB143" s="12" t="s">
        <v>2048</v>
      </c>
      <c r="AE143" s="37" t="s">
        <v>5099</v>
      </c>
      <c r="AF143" s="363">
        <v>0.72334200000000004</v>
      </c>
      <c r="AG143" s="70">
        <v>0.14722222222222223</v>
      </c>
      <c r="AH143" s="363">
        <v>0.562357</v>
      </c>
      <c r="AI143" s="364">
        <v>0.16527777777777777</v>
      </c>
      <c r="AJ143" s="368">
        <f t="shared" si="2"/>
        <v>-0.22255724124964404</v>
      </c>
    </row>
    <row r="144" spans="1:36">
      <c r="B144" s="72" t="s">
        <v>894</v>
      </c>
      <c r="C144" s="73" t="s">
        <v>1691</v>
      </c>
      <c r="D144" s="74">
        <v>150</v>
      </c>
      <c r="E144" s="72" t="s">
        <v>7</v>
      </c>
      <c r="F144" s="74">
        <v>40</v>
      </c>
      <c r="G144" s="74">
        <f>+F144+Q144</f>
        <v>58.6</v>
      </c>
      <c r="H144" s="77">
        <v>44728</v>
      </c>
      <c r="I144" s="72" t="s">
        <v>3327</v>
      </c>
      <c r="K144" s="72" t="s">
        <v>2569</v>
      </c>
      <c r="L144" s="72" t="s">
        <v>2056</v>
      </c>
      <c r="M144" s="84" t="s">
        <v>2982</v>
      </c>
      <c r="O144" s="72" t="s">
        <v>3326</v>
      </c>
      <c r="P144" s="76" t="s">
        <v>5</v>
      </c>
      <c r="Q144" s="76">
        <v>18.600000000000001</v>
      </c>
      <c r="R144" s="76" t="s">
        <v>3325</v>
      </c>
      <c r="S144" s="76" t="s">
        <v>4</v>
      </c>
      <c r="T144" s="76" t="s">
        <v>1</v>
      </c>
      <c r="U144" s="76" t="s">
        <v>3324</v>
      </c>
      <c r="V144" s="76" t="s">
        <v>1</v>
      </c>
      <c r="W144" s="76" t="s">
        <v>1</v>
      </c>
      <c r="X144" s="76" t="s">
        <v>1</v>
      </c>
      <c r="Y144" s="72" t="s">
        <v>1</v>
      </c>
      <c r="Z144" s="76" t="s">
        <v>1</v>
      </c>
      <c r="AA144" s="76" t="s">
        <v>1</v>
      </c>
      <c r="AB144" s="72" t="s">
        <v>2055</v>
      </c>
      <c r="AE144" s="25" t="s">
        <v>5100</v>
      </c>
      <c r="AF144" s="357">
        <v>0.522698</v>
      </c>
      <c r="AG144" s="68">
        <v>0.17500000000000002</v>
      </c>
      <c r="AH144" s="363">
        <v>0.68173899999999998</v>
      </c>
      <c r="AI144" s="341">
        <v>0.17916666666666667</v>
      </c>
      <c r="AJ144" s="368">
        <f t="shared" si="2"/>
        <v>0.30426938691175409</v>
      </c>
    </row>
    <row r="145" spans="1:36">
      <c r="B145" s="72" t="s">
        <v>864</v>
      </c>
      <c r="C145" s="73" t="s">
        <v>1691</v>
      </c>
      <c r="D145" s="74">
        <v>150</v>
      </c>
      <c r="E145" s="72" t="s">
        <v>7</v>
      </c>
      <c r="F145" s="74">
        <v>50</v>
      </c>
      <c r="G145" s="74">
        <f>+F145+Q145</f>
        <v>60</v>
      </c>
      <c r="H145" s="77">
        <v>44628</v>
      </c>
      <c r="I145" s="72" t="s">
        <v>3347</v>
      </c>
      <c r="K145" s="72" t="s">
        <v>2569</v>
      </c>
      <c r="L145" s="72" t="s">
        <v>2165</v>
      </c>
      <c r="M145" s="84">
        <v>43647</v>
      </c>
      <c r="O145" s="72" t="s">
        <v>3346</v>
      </c>
      <c r="P145" s="76" t="s">
        <v>5</v>
      </c>
      <c r="Q145" s="76">
        <v>10</v>
      </c>
      <c r="R145" s="76" t="s">
        <v>3345</v>
      </c>
      <c r="S145" s="76" t="s">
        <v>4</v>
      </c>
      <c r="T145" s="76" t="s">
        <v>1</v>
      </c>
      <c r="U145" s="76" t="s">
        <v>3344</v>
      </c>
      <c r="V145" s="76" t="s">
        <v>1</v>
      </c>
      <c r="W145" s="76" t="s">
        <v>1</v>
      </c>
      <c r="X145" s="76" t="s">
        <v>1</v>
      </c>
      <c r="Y145" s="76" t="s">
        <v>1</v>
      </c>
      <c r="Z145" s="76" t="s">
        <v>1</v>
      </c>
      <c r="AA145" s="76" t="s">
        <v>1</v>
      </c>
      <c r="AB145" s="72" t="s">
        <v>2435</v>
      </c>
      <c r="AE145" s="25" t="s">
        <v>5096</v>
      </c>
      <c r="AF145" s="357">
        <v>0</v>
      </c>
      <c r="AG145" s="68">
        <v>0.16597222222222222</v>
      </c>
      <c r="AH145" s="357">
        <v>5.0000000000000001E-3</v>
      </c>
      <c r="AI145" s="68">
        <v>0.11527777777777778</v>
      </c>
      <c r="AJ145" s="368"/>
    </row>
    <row r="146" spans="1:36" s="176" customFormat="1">
      <c r="A146" s="72"/>
      <c r="B146" s="152" t="s">
        <v>2046</v>
      </c>
      <c r="C146" s="157" t="s">
        <v>1691</v>
      </c>
      <c r="D146" s="154">
        <v>150</v>
      </c>
      <c r="E146" s="152" t="s">
        <v>7</v>
      </c>
      <c r="F146" s="154">
        <v>50</v>
      </c>
      <c r="G146" s="154">
        <f>F146+Q146+T146</f>
        <v>63</v>
      </c>
      <c r="H146" s="155">
        <v>44252</v>
      </c>
      <c r="I146" s="152" t="s">
        <v>6363</v>
      </c>
      <c r="J146" s="152" t="s">
        <v>6356</v>
      </c>
      <c r="K146" s="152" t="s">
        <v>2045</v>
      </c>
      <c r="L146" s="152" t="s">
        <v>2044</v>
      </c>
      <c r="M146" s="158">
        <v>42401</v>
      </c>
      <c r="N146" s="152"/>
      <c r="O146" s="152" t="s">
        <v>6358</v>
      </c>
      <c r="P146" s="156" t="s">
        <v>5</v>
      </c>
      <c r="Q146" s="156">
        <v>10</v>
      </c>
      <c r="R146" s="156" t="s">
        <v>6364</v>
      </c>
      <c r="S146" s="156" t="s">
        <v>4</v>
      </c>
      <c r="T146" s="156">
        <v>3</v>
      </c>
      <c r="U146" s="156" t="s">
        <v>6366</v>
      </c>
      <c r="V146" s="156" t="s">
        <v>1</v>
      </c>
      <c r="W146" s="156" t="s">
        <v>1</v>
      </c>
      <c r="X146" s="156" t="s">
        <v>1</v>
      </c>
      <c r="Y146" s="156" t="s">
        <v>1</v>
      </c>
      <c r="Z146" s="156" t="s">
        <v>1</v>
      </c>
      <c r="AA146" s="156" t="s">
        <v>1</v>
      </c>
      <c r="AB146" s="152" t="s">
        <v>2043</v>
      </c>
      <c r="AC146" s="152"/>
      <c r="AD146" s="152"/>
      <c r="AE146" s="25" t="s">
        <v>2042</v>
      </c>
      <c r="AF146" s="344" t="s">
        <v>7145</v>
      </c>
      <c r="AG146" s="344" t="s">
        <v>7145</v>
      </c>
      <c r="AH146" s="363">
        <v>4.8419999999999996</v>
      </c>
      <c r="AI146" s="365">
        <v>0.22430555555555556</v>
      </c>
      <c r="AJ146" s="368"/>
    </row>
    <row r="147" spans="1:36" s="176" customFormat="1">
      <c r="A147" s="72"/>
      <c r="B147" s="152" t="s">
        <v>2041</v>
      </c>
      <c r="C147" s="157" t="s">
        <v>1691</v>
      </c>
      <c r="D147" s="154">
        <v>150</v>
      </c>
      <c r="E147" s="152" t="s">
        <v>7</v>
      </c>
      <c r="F147" s="154">
        <v>42</v>
      </c>
      <c r="G147" s="154">
        <f>F147+Q147+T147</f>
        <v>60.3</v>
      </c>
      <c r="H147" s="155">
        <v>44831</v>
      </c>
      <c r="I147" s="152" t="s">
        <v>6371</v>
      </c>
      <c r="J147" s="152" t="s">
        <v>6370</v>
      </c>
      <c r="K147" s="152" t="s">
        <v>2045</v>
      </c>
      <c r="L147" s="152" t="s">
        <v>2056</v>
      </c>
      <c r="M147" s="152">
        <v>2018</v>
      </c>
      <c r="N147" s="152"/>
      <c r="O147" s="152" t="s">
        <v>6372</v>
      </c>
      <c r="P147" s="156" t="s">
        <v>5</v>
      </c>
      <c r="Q147" s="156">
        <v>15</v>
      </c>
      <c r="R147" s="156" t="s">
        <v>6376</v>
      </c>
      <c r="S147" s="156" t="s">
        <v>4</v>
      </c>
      <c r="T147" s="156">
        <v>3.3</v>
      </c>
      <c r="U147" s="156" t="s">
        <v>6378</v>
      </c>
      <c r="V147" s="156" t="s">
        <v>1</v>
      </c>
      <c r="W147" s="156" t="s">
        <v>1</v>
      </c>
      <c r="X147" s="156" t="s">
        <v>1</v>
      </c>
      <c r="Y147" s="156" t="s">
        <v>1</v>
      </c>
      <c r="Z147" s="156" t="s">
        <v>1</v>
      </c>
      <c r="AA147" s="156" t="s">
        <v>1</v>
      </c>
      <c r="AB147" s="152" t="s">
        <v>2055</v>
      </c>
      <c r="AC147" s="152"/>
      <c r="AD147" s="152"/>
      <c r="AE147" s="25" t="s">
        <v>6369</v>
      </c>
      <c r="AF147" s="344" t="s">
        <v>7145</v>
      </c>
      <c r="AG147" s="344" t="s">
        <v>7145</v>
      </c>
      <c r="AH147" s="357">
        <v>1.2252000000000001E-2</v>
      </c>
      <c r="AI147" s="365">
        <v>5.5555555555555552E-2</v>
      </c>
      <c r="AJ147" s="368"/>
    </row>
    <row r="148" spans="1:36">
      <c r="B148" s="72" t="s">
        <v>1070</v>
      </c>
      <c r="C148" s="73" t="s">
        <v>1691</v>
      </c>
      <c r="D148" s="74">
        <v>150</v>
      </c>
      <c r="E148" s="72" t="s">
        <v>7</v>
      </c>
      <c r="F148" s="74">
        <v>18</v>
      </c>
      <c r="G148" s="74">
        <f>+F148+Q148</f>
        <v>36.5</v>
      </c>
      <c r="H148" s="77">
        <v>44831</v>
      </c>
      <c r="I148" s="72" t="s">
        <v>3337</v>
      </c>
      <c r="J148" s="72" t="s">
        <v>3336</v>
      </c>
      <c r="K148" s="72" t="s">
        <v>2045</v>
      </c>
      <c r="L148" s="72" t="s">
        <v>2230</v>
      </c>
      <c r="M148" s="72">
        <v>2021</v>
      </c>
      <c r="O148" s="72" t="s">
        <v>3335</v>
      </c>
      <c r="P148" s="76" t="s">
        <v>5</v>
      </c>
      <c r="Q148" s="76">
        <v>18.5</v>
      </c>
      <c r="R148" s="76" t="s">
        <v>3334</v>
      </c>
      <c r="S148" s="76" t="s">
        <v>1</v>
      </c>
      <c r="T148" s="76" t="s">
        <v>1</v>
      </c>
      <c r="U148" s="76" t="s">
        <v>1</v>
      </c>
      <c r="V148" s="76" t="s">
        <v>1</v>
      </c>
      <c r="W148" s="76" t="s">
        <v>1</v>
      </c>
      <c r="X148" s="76" t="s">
        <v>1</v>
      </c>
      <c r="Y148" s="76" t="s">
        <v>1</v>
      </c>
      <c r="Z148" s="76" t="s">
        <v>1</v>
      </c>
      <c r="AA148" s="76" t="s">
        <v>1</v>
      </c>
      <c r="AB148" s="72" t="s">
        <v>2043</v>
      </c>
      <c r="AE148" s="25" t="s">
        <v>5098</v>
      </c>
      <c r="AF148" s="357">
        <v>1.3032E-2</v>
      </c>
      <c r="AG148" s="68">
        <v>6.458333333333334E-2</v>
      </c>
      <c r="AH148" s="357">
        <v>1.0926999999999999E-2</v>
      </c>
      <c r="AI148" s="341">
        <v>6.6666666666666666E-2</v>
      </c>
      <c r="AJ148" s="368">
        <f t="shared" si="2"/>
        <v>-0.16152547575199516</v>
      </c>
    </row>
    <row r="149" spans="1:36">
      <c r="B149" s="72" t="s">
        <v>525</v>
      </c>
      <c r="C149" s="73" t="s">
        <v>1691</v>
      </c>
      <c r="D149" s="74">
        <v>125</v>
      </c>
      <c r="E149" s="72" t="s">
        <v>7</v>
      </c>
      <c r="F149" s="74">
        <v>32</v>
      </c>
      <c r="G149" s="74">
        <f>+F149+Q149+T149</f>
        <v>45.2</v>
      </c>
      <c r="H149" s="27">
        <v>44364</v>
      </c>
      <c r="I149" s="72" t="s">
        <v>2737</v>
      </c>
      <c r="J149" s="72" t="s">
        <v>3301</v>
      </c>
      <c r="K149" s="72" t="s">
        <v>2045</v>
      </c>
      <c r="L149" s="72" t="s">
        <v>2056</v>
      </c>
      <c r="M149" s="72">
        <v>2018</v>
      </c>
      <c r="O149" s="72" t="s">
        <v>3300</v>
      </c>
      <c r="P149" s="76" t="s">
        <v>5</v>
      </c>
      <c r="Q149" s="76">
        <v>10.199999999999999</v>
      </c>
      <c r="R149" s="76" t="s">
        <v>3299</v>
      </c>
      <c r="S149" s="76" t="s">
        <v>4</v>
      </c>
      <c r="T149" s="76">
        <v>3</v>
      </c>
      <c r="U149" s="76" t="s">
        <v>3298</v>
      </c>
      <c r="V149" s="76" t="s">
        <v>1</v>
      </c>
      <c r="W149" s="76" t="s">
        <v>1</v>
      </c>
      <c r="X149" s="76" t="s">
        <v>1</v>
      </c>
      <c r="Y149" s="76" t="s">
        <v>1</v>
      </c>
      <c r="Z149" s="76" t="s">
        <v>1</v>
      </c>
      <c r="AA149" s="76" t="s">
        <v>1</v>
      </c>
      <c r="AB149" s="72" t="s">
        <v>2152</v>
      </c>
      <c r="AE149" s="25" t="s">
        <v>5106</v>
      </c>
      <c r="AF149" s="357">
        <v>2.0410999999999999E-2</v>
      </c>
      <c r="AG149" s="68">
        <v>5.5555555555555552E-2</v>
      </c>
      <c r="AH149" s="357">
        <v>2.3671999999999999E-2</v>
      </c>
      <c r="AI149" s="341">
        <v>5.0694444444444445E-2</v>
      </c>
      <c r="AJ149" s="368">
        <f t="shared" si="2"/>
        <v>0.15976679241585412</v>
      </c>
    </row>
    <row r="150" spans="1:36" s="176" customFormat="1">
      <c r="A150" s="72"/>
      <c r="B150" s="72" t="s">
        <v>843</v>
      </c>
      <c r="C150" s="73" t="s">
        <v>1691</v>
      </c>
      <c r="D150" s="74">
        <v>125</v>
      </c>
      <c r="E150" s="72" t="s">
        <v>5</v>
      </c>
      <c r="F150" s="74">
        <v>44</v>
      </c>
      <c r="G150" s="74">
        <f>+F150</f>
        <v>44</v>
      </c>
      <c r="H150" s="77">
        <v>44671</v>
      </c>
      <c r="I150" s="72" t="s">
        <v>3305</v>
      </c>
      <c r="J150" s="72" t="s">
        <v>3306</v>
      </c>
      <c r="K150" s="72" t="s">
        <v>2569</v>
      </c>
      <c r="L150" s="72" t="s">
        <v>2079</v>
      </c>
      <c r="M150" s="84" t="s">
        <v>2982</v>
      </c>
      <c r="N150" s="72" t="s">
        <v>3305</v>
      </c>
      <c r="O150" s="72" t="s">
        <v>3304</v>
      </c>
      <c r="P150" s="76" t="s">
        <v>3303</v>
      </c>
      <c r="Q150" s="72" t="s">
        <v>1</v>
      </c>
      <c r="R150" s="76" t="s">
        <v>3302</v>
      </c>
      <c r="S150" s="72" t="s">
        <v>1</v>
      </c>
      <c r="T150" s="72" t="s">
        <v>1</v>
      </c>
      <c r="U150" s="76" t="s">
        <v>1</v>
      </c>
      <c r="V150" s="76" t="s">
        <v>1</v>
      </c>
      <c r="W150" s="76" t="s">
        <v>1</v>
      </c>
      <c r="X150" s="76" t="s">
        <v>1</v>
      </c>
      <c r="Y150" s="72" t="s">
        <v>1</v>
      </c>
      <c r="Z150" s="76" t="s">
        <v>1</v>
      </c>
      <c r="AA150" s="76" t="s">
        <v>1</v>
      </c>
      <c r="AB150" s="72" t="s">
        <v>2362</v>
      </c>
      <c r="AC150" s="72"/>
      <c r="AD150" s="72"/>
      <c r="AE150" s="25" t="s">
        <v>5105</v>
      </c>
      <c r="AF150" s="357">
        <v>0</v>
      </c>
      <c r="AG150" s="68">
        <v>0.1451388888888889</v>
      </c>
      <c r="AH150" s="357">
        <v>1.2688E-2</v>
      </c>
      <c r="AI150" s="341">
        <v>7.2916666666666671E-2</v>
      </c>
      <c r="AJ150" s="368"/>
    </row>
    <row r="151" spans="1:36">
      <c r="B151" s="72" t="s">
        <v>3313</v>
      </c>
      <c r="C151" s="73" t="s">
        <v>1691</v>
      </c>
      <c r="D151" s="74">
        <v>125</v>
      </c>
      <c r="E151" s="72" t="s">
        <v>5</v>
      </c>
      <c r="F151" s="74">
        <v>65</v>
      </c>
      <c r="G151" s="74">
        <f>+F151</f>
        <v>65</v>
      </c>
      <c r="H151" s="27">
        <v>44287</v>
      </c>
      <c r="I151" s="72" t="s">
        <v>3312</v>
      </c>
      <c r="J151" s="72" t="s">
        <v>3311</v>
      </c>
      <c r="K151" s="72" t="s">
        <v>2308</v>
      </c>
      <c r="L151" s="72" t="s">
        <v>2765</v>
      </c>
      <c r="M151" s="83">
        <v>44228</v>
      </c>
      <c r="O151" s="72" t="s">
        <v>1</v>
      </c>
      <c r="P151" s="72" t="s">
        <v>1</v>
      </c>
      <c r="Q151" s="72" t="s">
        <v>1</v>
      </c>
      <c r="R151" s="72" t="s">
        <v>1</v>
      </c>
      <c r="S151" s="72" t="s">
        <v>1</v>
      </c>
      <c r="T151" s="72" t="s">
        <v>1</v>
      </c>
      <c r="U151" s="76" t="s">
        <v>1</v>
      </c>
      <c r="V151" s="76" t="s">
        <v>1</v>
      </c>
      <c r="W151" s="76" t="s">
        <v>1</v>
      </c>
      <c r="X151" s="76" t="s">
        <v>1</v>
      </c>
      <c r="Y151" s="72" t="s">
        <v>1</v>
      </c>
      <c r="Z151" s="76" t="s">
        <v>1</v>
      </c>
      <c r="AA151" s="76" t="s">
        <v>1</v>
      </c>
      <c r="AB151" s="72" t="s">
        <v>3041</v>
      </c>
      <c r="AE151" s="25" t="s">
        <v>5103</v>
      </c>
      <c r="AF151" s="357">
        <v>0.121147</v>
      </c>
      <c r="AG151" s="68">
        <v>0.34652777777777777</v>
      </c>
      <c r="AH151" s="357">
        <v>2.0806999999999999E-2</v>
      </c>
      <c r="AI151" s="341">
        <v>0.11458333333333333</v>
      </c>
      <c r="AJ151" s="368">
        <f t="shared" si="2"/>
        <v>-0.82824997730030459</v>
      </c>
    </row>
    <row r="152" spans="1:36" s="12" customFormat="1">
      <c r="A152" s="72"/>
      <c r="B152" s="12" t="s">
        <v>3297</v>
      </c>
      <c r="C152" s="29" t="s">
        <v>1691</v>
      </c>
      <c r="D152" s="15">
        <v>125</v>
      </c>
      <c r="E152" s="12" t="s">
        <v>5</v>
      </c>
      <c r="F152" s="15">
        <v>20</v>
      </c>
      <c r="G152" s="74">
        <f>+F152</f>
        <v>20</v>
      </c>
      <c r="H152" s="14">
        <v>44854</v>
      </c>
      <c r="I152" s="12" t="s">
        <v>3296</v>
      </c>
      <c r="J152" s="12" t="s">
        <v>3295</v>
      </c>
      <c r="K152" s="12" t="s">
        <v>2315</v>
      </c>
      <c r="L152" s="12" t="s">
        <v>3176</v>
      </c>
      <c r="M152" s="12">
        <v>2021</v>
      </c>
      <c r="O152" s="12" t="s">
        <v>3294</v>
      </c>
      <c r="P152" s="24" t="s">
        <v>4</v>
      </c>
      <c r="Q152" s="24" t="s">
        <v>1</v>
      </c>
      <c r="R152" s="24" t="s">
        <v>2696</v>
      </c>
      <c r="S152" s="24" t="s">
        <v>1</v>
      </c>
      <c r="T152" s="24" t="s">
        <v>1</v>
      </c>
      <c r="U152" s="24" t="s">
        <v>1</v>
      </c>
      <c r="V152" s="24" t="s">
        <v>1</v>
      </c>
      <c r="W152" s="24" t="s">
        <v>1</v>
      </c>
      <c r="X152" s="24" t="s">
        <v>1</v>
      </c>
      <c r="Y152" s="24" t="s">
        <v>1</v>
      </c>
      <c r="Z152" s="24" t="s">
        <v>1</v>
      </c>
      <c r="AA152" s="24" t="s">
        <v>1</v>
      </c>
      <c r="AB152" s="12" t="s">
        <v>2362</v>
      </c>
      <c r="AE152" s="25" t="s">
        <v>8916</v>
      </c>
      <c r="AF152" s="357">
        <v>2.4740999999999999E-2</v>
      </c>
      <c r="AG152" s="70">
        <v>0.14444444444444446</v>
      </c>
      <c r="AH152" s="357">
        <v>3.0053E-2</v>
      </c>
      <c r="AI152" s="364">
        <v>0.14583333333333334</v>
      </c>
      <c r="AJ152" s="368">
        <f t="shared" si="2"/>
        <v>0.21470433693060098</v>
      </c>
    </row>
    <row r="153" spans="1:36">
      <c r="B153" s="72" t="s">
        <v>984</v>
      </c>
      <c r="C153" s="73" t="s">
        <v>1691</v>
      </c>
      <c r="D153" s="74">
        <v>125</v>
      </c>
      <c r="E153" s="72" t="s">
        <v>7</v>
      </c>
      <c r="F153" s="74">
        <v>38</v>
      </c>
      <c r="G153" s="74">
        <f>+F153+Q153+T153</f>
        <v>61</v>
      </c>
      <c r="H153" s="77">
        <v>44812</v>
      </c>
      <c r="I153" s="72" t="s">
        <v>3121</v>
      </c>
      <c r="J153" s="72" t="s">
        <v>3293</v>
      </c>
      <c r="K153" s="72" t="s">
        <v>2569</v>
      </c>
      <c r="L153" s="72" t="s">
        <v>2056</v>
      </c>
      <c r="M153" s="84" t="s">
        <v>3129</v>
      </c>
      <c r="O153" s="72" t="s">
        <v>3292</v>
      </c>
      <c r="P153" s="76" t="s">
        <v>5</v>
      </c>
      <c r="Q153" s="76">
        <v>19</v>
      </c>
      <c r="R153" s="76" t="s">
        <v>3291</v>
      </c>
      <c r="S153" s="76" t="s">
        <v>4</v>
      </c>
      <c r="T153" s="76">
        <v>4</v>
      </c>
      <c r="U153" s="76" t="s">
        <v>3290</v>
      </c>
      <c r="V153" s="76" t="s">
        <v>278</v>
      </c>
      <c r="W153" s="76" t="s">
        <v>1</v>
      </c>
      <c r="X153" s="76" t="s">
        <v>1026</v>
      </c>
      <c r="Y153" s="76" t="s">
        <v>1</v>
      </c>
      <c r="Z153" s="76" t="s">
        <v>1</v>
      </c>
      <c r="AA153" s="76" t="s">
        <v>1</v>
      </c>
      <c r="AB153" s="72" t="s">
        <v>2085</v>
      </c>
      <c r="AE153" s="25" t="s">
        <v>5107</v>
      </c>
      <c r="AF153" s="357">
        <v>6.6060999999999995E-2</v>
      </c>
      <c r="AG153" s="68">
        <v>0.1125</v>
      </c>
      <c r="AH153" s="357">
        <v>0.10495</v>
      </c>
      <c r="AI153" s="341">
        <v>0.18124999999999999</v>
      </c>
      <c r="AJ153" s="368">
        <f t="shared" si="2"/>
        <v>0.58868318675163889</v>
      </c>
    </row>
    <row r="154" spans="1:36">
      <c r="B154" s="72" t="s">
        <v>697</v>
      </c>
      <c r="C154" s="73" t="s">
        <v>1691</v>
      </c>
      <c r="D154" s="74">
        <v>110</v>
      </c>
      <c r="E154" s="72" t="s">
        <v>5</v>
      </c>
      <c r="F154" s="74">
        <v>23.5</v>
      </c>
      <c r="G154" s="74">
        <f>+F154+Q154</f>
        <v>29.1</v>
      </c>
      <c r="H154" s="77">
        <v>44875</v>
      </c>
      <c r="I154" s="72" t="s">
        <v>3208</v>
      </c>
      <c r="J154" s="72" t="s">
        <v>3207</v>
      </c>
      <c r="K154" s="72" t="s">
        <v>2045</v>
      </c>
      <c r="L154" s="72" t="s">
        <v>2569</v>
      </c>
      <c r="M154" s="78">
        <v>44292</v>
      </c>
      <c r="O154" s="72" t="s">
        <v>3206</v>
      </c>
      <c r="P154" s="76" t="s">
        <v>4</v>
      </c>
      <c r="Q154" s="76">
        <v>5.6</v>
      </c>
      <c r="R154" s="76" t="s">
        <v>3205</v>
      </c>
      <c r="S154" s="76" t="s">
        <v>278</v>
      </c>
      <c r="T154" s="76" t="s">
        <v>1</v>
      </c>
      <c r="U154" s="76" t="s">
        <v>3204</v>
      </c>
      <c r="V154" s="76" t="s">
        <v>1</v>
      </c>
      <c r="W154" s="76" t="s">
        <v>1</v>
      </c>
      <c r="X154" s="76" t="s">
        <v>1</v>
      </c>
      <c r="Y154" s="76" t="s">
        <v>1</v>
      </c>
      <c r="Z154" s="76" t="s">
        <v>1</v>
      </c>
      <c r="AA154" s="76" t="s">
        <v>1</v>
      </c>
      <c r="AB154" s="72" t="s">
        <v>3203</v>
      </c>
      <c r="AE154" s="25" t="s">
        <v>5134</v>
      </c>
      <c r="AF154" s="357">
        <v>0.63859900000000003</v>
      </c>
      <c r="AG154" s="68">
        <v>0.18611111111111112</v>
      </c>
      <c r="AH154" s="357">
        <v>0.27938099999999999</v>
      </c>
      <c r="AI154" s="341">
        <v>7.8472222222222221E-2</v>
      </c>
      <c r="AJ154" s="368">
        <f t="shared" si="2"/>
        <v>-0.56250949343797907</v>
      </c>
    </row>
    <row r="155" spans="1:36">
      <c r="B155" s="72" t="s">
        <v>3253</v>
      </c>
      <c r="C155" s="73" t="s">
        <v>1691</v>
      </c>
      <c r="D155" s="74">
        <v>100</v>
      </c>
      <c r="E155" s="72" t="s">
        <v>18</v>
      </c>
      <c r="F155" s="74">
        <v>38</v>
      </c>
      <c r="G155" s="74">
        <f>+F155+Q155+T155+W155</f>
        <v>61.5</v>
      </c>
      <c r="H155" s="77">
        <v>44580</v>
      </c>
      <c r="I155" s="72" t="s">
        <v>3252</v>
      </c>
      <c r="J155" s="72" t="s">
        <v>3251</v>
      </c>
      <c r="K155" s="72" t="s">
        <v>2045</v>
      </c>
      <c r="L155" s="72" t="s">
        <v>3250</v>
      </c>
      <c r="M155" s="72">
        <v>2017</v>
      </c>
      <c r="N155" s="72" t="s">
        <v>3249</v>
      </c>
      <c r="O155" s="72" t="s">
        <v>3248</v>
      </c>
      <c r="P155" s="76" t="s">
        <v>7</v>
      </c>
      <c r="Q155" s="76">
        <v>13.5</v>
      </c>
      <c r="R155" s="76" t="s">
        <v>3247</v>
      </c>
      <c r="S155" s="76" t="s">
        <v>5</v>
      </c>
      <c r="T155" s="76">
        <v>8.4</v>
      </c>
      <c r="U155" s="76" t="s">
        <v>3246</v>
      </c>
      <c r="V155" s="76" t="s">
        <v>4</v>
      </c>
      <c r="W155" s="76">
        <v>1.6</v>
      </c>
      <c r="X155" s="76" t="s">
        <v>3246</v>
      </c>
      <c r="Y155" s="76" t="s">
        <v>1</v>
      </c>
      <c r="Z155" s="76" t="s">
        <v>1</v>
      </c>
      <c r="AA155" s="76" t="s">
        <v>1</v>
      </c>
      <c r="AB155" s="72" t="s">
        <v>3245</v>
      </c>
      <c r="AE155" s="25" t="s">
        <v>5119</v>
      </c>
      <c r="AF155" s="357">
        <v>7.8155000000000002E-2</v>
      </c>
      <c r="AG155" s="68">
        <v>0.47152777777777777</v>
      </c>
      <c r="AH155" s="357">
        <v>3.6394999999999997E-2</v>
      </c>
      <c r="AI155" s="341">
        <v>2.4305555555555556E-2</v>
      </c>
      <c r="AJ155" s="368">
        <f t="shared" si="2"/>
        <v>-0.53432282003710574</v>
      </c>
    </row>
    <row r="156" spans="1:36">
      <c r="A156" s="176"/>
      <c r="B156" s="176" t="s">
        <v>3088</v>
      </c>
      <c r="C156" s="184" t="s">
        <v>1691</v>
      </c>
      <c r="D156" s="178">
        <v>100</v>
      </c>
      <c r="E156" s="176" t="s">
        <v>5</v>
      </c>
      <c r="F156" s="178">
        <v>21</v>
      </c>
      <c r="G156" s="178"/>
      <c r="H156" s="185">
        <v>44295</v>
      </c>
      <c r="I156" s="176" t="s">
        <v>3087</v>
      </c>
      <c r="J156" s="176" t="s">
        <v>3086</v>
      </c>
      <c r="K156" s="176" t="s">
        <v>2045</v>
      </c>
      <c r="L156" s="176" t="s">
        <v>2062</v>
      </c>
      <c r="M156" s="188">
        <v>43282</v>
      </c>
      <c r="N156" s="176"/>
      <c r="O156" s="176" t="s">
        <v>1</v>
      </c>
      <c r="P156" s="179" t="s">
        <v>4</v>
      </c>
      <c r="Q156" s="179" t="s">
        <v>1</v>
      </c>
      <c r="R156" s="179" t="s">
        <v>3085</v>
      </c>
      <c r="S156" s="179" t="s">
        <v>1</v>
      </c>
      <c r="T156" s="179" t="s">
        <v>1</v>
      </c>
      <c r="U156" s="179" t="s">
        <v>1</v>
      </c>
      <c r="V156" s="179" t="s">
        <v>1</v>
      </c>
      <c r="W156" s="179" t="s">
        <v>1</v>
      </c>
      <c r="X156" s="179" t="s">
        <v>1</v>
      </c>
      <c r="Y156" s="179" t="s">
        <v>1</v>
      </c>
      <c r="Z156" s="179" t="s">
        <v>1</v>
      </c>
      <c r="AA156" s="179" t="s">
        <v>1</v>
      </c>
      <c r="AB156" s="176" t="s">
        <v>2145</v>
      </c>
      <c r="AC156" s="176"/>
      <c r="AD156" s="176"/>
      <c r="AE156" s="25" t="s">
        <v>5177</v>
      </c>
      <c r="AF156" s="357">
        <v>7.8120999999999996E-2</v>
      </c>
      <c r="AG156" s="68">
        <v>4.6527777777777779E-2</v>
      </c>
      <c r="AH156" s="357">
        <v>8.7099999999999997E-2</v>
      </c>
      <c r="AI156" s="362">
        <v>0.46319444444444446</v>
      </c>
      <c r="AJ156" s="368">
        <f t="shared" si="2"/>
        <v>0.11493708477874076</v>
      </c>
    </row>
    <row r="157" spans="1:36" s="176" customFormat="1">
      <c r="B157" s="176" t="s">
        <v>735</v>
      </c>
      <c r="C157" s="184" t="s">
        <v>1691</v>
      </c>
      <c r="D157" s="178">
        <v>100</v>
      </c>
      <c r="E157" s="176" t="s">
        <v>7</v>
      </c>
      <c r="F157" s="178">
        <v>25</v>
      </c>
      <c r="G157" s="178"/>
      <c r="H157" s="185">
        <v>44764</v>
      </c>
      <c r="I157" s="176" t="s">
        <v>3115</v>
      </c>
      <c r="J157" s="176" t="s">
        <v>3114</v>
      </c>
      <c r="K157" s="176" t="s">
        <v>2569</v>
      </c>
      <c r="L157" s="176" t="s">
        <v>2056</v>
      </c>
      <c r="M157" s="188" t="s">
        <v>2982</v>
      </c>
      <c r="O157" s="179" t="s">
        <v>3113</v>
      </c>
      <c r="P157" s="179" t="s">
        <v>5</v>
      </c>
      <c r="Q157" s="179">
        <v>21</v>
      </c>
      <c r="R157" s="179" t="s">
        <v>3112</v>
      </c>
      <c r="S157" s="179" t="s">
        <v>4</v>
      </c>
      <c r="T157" s="179">
        <v>9.1</v>
      </c>
      <c r="U157" s="179" t="s">
        <v>3111</v>
      </c>
      <c r="V157" s="179" t="s">
        <v>1</v>
      </c>
      <c r="W157" s="179" t="s">
        <v>1</v>
      </c>
      <c r="X157" s="179" t="s">
        <v>1</v>
      </c>
      <c r="Y157" s="179" t="s">
        <v>1</v>
      </c>
      <c r="Z157" s="179" t="s">
        <v>1</v>
      </c>
      <c r="AA157" s="179" t="s">
        <v>1</v>
      </c>
      <c r="AB157" s="176" t="s">
        <v>2078</v>
      </c>
      <c r="AE157" s="25" t="s">
        <v>5172</v>
      </c>
      <c r="AF157" s="357">
        <v>5.6669999999999998E-2</v>
      </c>
      <c r="AG157" s="68">
        <v>0.22013888888888888</v>
      </c>
      <c r="AH157" s="357">
        <v>0.103685</v>
      </c>
      <c r="AI157" s="362">
        <v>9.6527777777777782E-2</v>
      </c>
      <c r="AJ157" s="368">
        <f t="shared" si="2"/>
        <v>0.82962766896064943</v>
      </c>
    </row>
    <row r="158" spans="1:36">
      <c r="B158" s="72" t="s">
        <v>3171</v>
      </c>
      <c r="C158" s="73" t="s">
        <v>1691</v>
      </c>
      <c r="D158" s="74">
        <v>100</v>
      </c>
      <c r="E158" s="72" t="s">
        <v>5</v>
      </c>
      <c r="F158" s="74">
        <v>25</v>
      </c>
      <c r="G158" s="74">
        <f>+F158</f>
        <v>25</v>
      </c>
      <c r="H158" s="77">
        <v>44404</v>
      </c>
      <c r="I158" s="72" t="s">
        <v>2389</v>
      </c>
      <c r="J158" s="72" t="s">
        <v>3170</v>
      </c>
      <c r="K158" s="72" t="s">
        <v>2569</v>
      </c>
      <c r="L158" s="72" t="s">
        <v>3169</v>
      </c>
      <c r="M158" s="84">
        <v>43496</v>
      </c>
      <c r="O158" s="34" t="s">
        <v>3168</v>
      </c>
      <c r="P158" s="76" t="s">
        <v>4</v>
      </c>
      <c r="Q158" s="76" t="s">
        <v>3167</v>
      </c>
      <c r="R158" s="76" t="s">
        <v>1</v>
      </c>
      <c r="S158" s="76" t="s">
        <v>1</v>
      </c>
      <c r="T158" s="76" t="s">
        <v>1</v>
      </c>
      <c r="U158" s="76" t="s">
        <v>1</v>
      </c>
      <c r="V158" s="76" t="s">
        <v>1</v>
      </c>
      <c r="W158" s="76" t="s">
        <v>1</v>
      </c>
      <c r="X158" s="76" t="s">
        <v>1</v>
      </c>
      <c r="Y158" s="76" t="s">
        <v>1</v>
      </c>
      <c r="Z158" s="76" t="s">
        <v>1</v>
      </c>
      <c r="AA158" s="76" t="s">
        <v>1</v>
      </c>
      <c r="AB158" s="72" t="s">
        <v>3166</v>
      </c>
      <c r="AE158" s="25" t="s">
        <v>5140</v>
      </c>
      <c r="AF158" s="357">
        <v>4.9446999999999998E-2</v>
      </c>
      <c r="AG158" s="68">
        <v>0.21458333333333335</v>
      </c>
      <c r="AH158" s="357">
        <v>7.5411000000000006E-2</v>
      </c>
      <c r="AI158" s="341">
        <v>8.7499999999999994E-2</v>
      </c>
      <c r="AJ158" s="368">
        <f t="shared" si="2"/>
        <v>0.52508746738932621</v>
      </c>
    </row>
    <row r="159" spans="1:36">
      <c r="B159" s="72" t="s">
        <v>779</v>
      </c>
      <c r="C159" s="73" t="s">
        <v>1691</v>
      </c>
      <c r="D159" s="74">
        <v>100</v>
      </c>
      <c r="E159" s="72" t="s">
        <v>5</v>
      </c>
      <c r="F159" s="74">
        <v>30</v>
      </c>
      <c r="G159" s="74">
        <f>+F159+Q159+T159</f>
        <v>40</v>
      </c>
      <c r="H159" s="77">
        <v>44893</v>
      </c>
      <c r="I159" s="72" t="s">
        <v>3144</v>
      </c>
      <c r="J159" s="72" t="s">
        <v>3244</v>
      </c>
      <c r="K159" s="72" t="s">
        <v>2569</v>
      </c>
      <c r="L159" s="72" t="s">
        <v>2056</v>
      </c>
      <c r="M159" s="84">
        <v>43313</v>
      </c>
      <c r="O159" s="72" t="s">
        <v>3243</v>
      </c>
      <c r="P159" s="76" t="s">
        <v>4</v>
      </c>
      <c r="Q159" s="76">
        <v>7</v>
      </c>
      <c r="R159" s="76" t="s">
        <v>1</v>
      </c>
      <c r="S159" s="76" t="s">
        <v>278</v>
      </c>
      <c r="T159" s="76">
        <v>3</v>
      </c>
      <c r="U159" s="76" t="s">
        <v>3242</v>
      </c>
      <c r="V159" s="76" t="s">
        <v>1</v>
      </c>
      <c r="W159" s="76" t="s">
        <v>1</v>
      </c>
      <c r="X159" s="76" t="s">
        <v>1</v>
      </c>
      <c r="Y159" s="76" t="s">
        <v>1</v>
      </c>
      <c r="Z159" s="76" t="s">
        <v>1</v>
      </c>
      <c r="AA159" s="76" t="s">
        <v>1</v>
      </c>
      <c r="AB159" s="72" t="s">
        <v>2094</v>
      </c>
      <c r="AE159" s="25" t="s">
        <v>5052</v>
      </c>
      <c r="AF159" s="357">
        <v>0.32195000000000001</v>
      </c>
      <c r="AG159" s="68">
        <v>0.26874999999999999</v>
      </c>
      <c r="AH159" s="357">
        <v>0.35120800000000002</v>
      </c>
      <c r="AI159" s="341">
        <v>0.12222222222222222</v>
      </c>
      <c r="AJ159" s="368">
        <f t="shared" si="2"/>
        <v>9.0877465444944905E-2</v>
      </c>
    </row>
    <row r="160" spans="1:36">
      <c r="B160" s="12" t="s">
        <v>3276</v>
      </c>
      <c r="C160" s="29" t="s">
        <v>1691</v>
      </c>
      <c r="D160" s="15">
        <v>100</v>
      </c>
      <c r="E160" s="12" t="s">
        <v>5</v>
      </c>
      <c r="F160" s="15">
        <v>50</v>
      </c>
      <c r="G160" s="74">
        <f>+F160+Q160+T160</f>
        <v>69.7</v>
      </c>
      <c r="H160" s="14">
        <v>44796</v>
      </c>
      <c r="I160" s="12" t="s">
        <v>3275</v>
      </c>
      <c r="J160" s="12" t="s">
        <v>3274</v>
      </c>
      <c r="K160" s="32" t="s">
        <v>2308</v>
      </c>
      <c r="L160" s="32" t="s">
        <v>3273</v>
      </c>
      <c r="M160" s="30">
        <v>44378</v>
      </c>
      <c r="O160" s="72" t="s">
        <v>3272</v>
      </c>
      <c r="P160" s="76" t="s">
        <v>4</v>
      </c>
      <c r="Q160" s="76">
        <v>12.5</v>
      </c>
      <c r="R160" s="76" t="s">
        <v>3271</v>
      </c>
      <c r="S160" s="76" t="s">
        <v>4</v>
      </c>
      <c r="T160" s="76">
        <v>7.2</v>
      </c>
      <c r="U160" s="76" t="s">
        <v>3270</v>
      </c>
      <c r="V160" s="76" t="s">
        <v>1</v>
      </c>
      <c r="W160" s="76" t="s">
        <v>1</v>
      </c>
      <c r="X160" s="76" t="s">
        <v>1</v>
      </c>
      <c r="Y160" s="76" t="s">
        <v>1</v>
      </c>
      <c r="Z160" s="76" t="s">
        <v>1</v>
      </c>
      <c r="AA160" s="76" t="s">
        <v>1</v>
      </c>
      <c r="AB160" s="72" t="s">
        <v>2362</v>
      </c>
      <c r="AE160" s="25" t="s">
        <v>5110</v>
      </c>
      <c r="AF160" s="357">
        <v>0.36492400000000003</v>
      </c>
      <c r="AG160" s="68">
        <v>0.48680555555555555</v>
      </c>
      <c r="AH160" s="357">
        <v>0.29319299999999998</v>
      </c>
      <c r="AI160" s="341">
        <v>0.20902777777777778</v>
      </c>
      <c r="AJ160" s="368">
        <f t="shared" si="2"/>
        <v>-0.19656421611075192</v>
      </c>
    </row>
    <row r="161" spans="1:36">
      <c r="B161" s="72" t="s">
        <v>3241</v>
      </c>
      <c r="C161" s="73" t="s">
        <v>1691</v>
      </c>
      <c r="D161" s="74">
        <v>100</v>
      </c>
      <c r="E161" s="72" t="s">
        <v>5</v>
      </c>
      <c r="F161" s="74">
        <v>23</v>
      </c>
      <c r="G161" s="74">
        <f>+F161+Q161</f>
        <v>28.1</v>
      </c>
      <c r="H161" s="77">
        <v>44963</v>
      </c>
      <c r="I161" s="12" t="s">
        <v>3240</v>
      </c>
      <c r="K161" s="72" t="s">
        <v>2569</v>
      </c>
      <c r="L161" s="72" t="s">
        <v>2237</v>
      </c>
      <c r="M161" s="83">
        <v>44621</v>
      </c>
      <c r="O161" s="72" t="s">
        <v>3239</v>
      </c>
      <c r="P161" s="76" t="s">
        <v>4</v>
      </c>
      <c r="Q161" s="76">
        <v>5.0999999999999996</v>
      </c>
      <c r="R161" s="76" t="s">
        <v>1014</v>
      </c>
      <c r="S161" s="76" t="s">
        <v>1</v>
      </c>
      <c r="T161" s="76" t="s">
        <v>1</v>
      </c>
      <c r="U161" s="76" t="s">
        <v>1</v>
      </c>
      <c r="V161" s="76" t="s">
        <v>1</v>
      </c>
      <c r="W161" s="76" t="s">
        <v>1</v>
      </c>
      <c r="X161" s="76" t="s">
        <v>1</v>
      </c>
      <c r="Y161" s="76" t="s">
        <v>1</v>
      </c>
      <c r="Z161" s="76" t="s">
        <v>1</v>
      </c>
      <c r="AA161" s="76" t="s">
        <v>1</v>
      </c>
      <c r="AB161" s="72" t="s">
        <v>2362</v>
      </c>
      <c r="AE161" s="25" t="s">
        <v>5122</v>
      </c>
      <c r="AF161" s="357">
        <v>7.2140999999999997E-2</v>
      </c>
      <c r="AG161" s="68">
        <v>3.5416666666666666E-2</v>
      </c>
      <c r="AH161" s="357">
        <v>0.14808499999999999</v>
      </c>
      <c r="AI161" s="341">
        <v>6.8750000000000006E-2</v>
      </c>
      <c r="AJ161" s="368">
        <f t="shared" si="2"/>
        <v>1.0527162085360615</v>
      </c>
    </row>
    <row r="162" spans="1:36">
      <c r="B162" s="72" t="s">
        <v>3191</v>
      </c>
      <c r="C162" s="73" t="s">
        <v>1691</v>
      </c>
      <c r="D162" s="74">
        <v>100</v>
      </c>
      <c r="E162" s="72" t="s">
        <v>5</v>
      </c>
      <c r="F162" s="74">
        <v>28</v>
      </c>
      <c r="G162" s="74">
        <f>+F162+Q162</f>
        <v>33</v>
      </c>
      <c r="H162" s="77">
        <v>44656</v>
      </c>
      <c r="I162" s="72" t="s">
        <v>3190</v>
      </c>
      <c r="K162" s="72" t="s">
        <v>2308</v>
      </c>
      <c r="L162" s="72" t="s">
        <v>3189</v>
      </c>
      <c r="M162" s="84">
        <v>43556</v>
      </c>
      <c r="O162" s="72" t="s">
        <v>3188</v>
      </c>
      <c r="P162" s="76" t="s">
        <v>4</v>
      </c>
      <c r="Q162" s="76">
        <v>5</v>
      </c>
      <c r="R162" s="76" t="s">
        <v>3187</v>
      </c>
      <c r="S162" s="76" t="s">
        <v>550</v>
      </c>
      <c r="T162" s="76" t="s">
        <v>1</v>
      </c>
      <c r="U162" s="76" t="s">
        <v>3186</v>
      </c>
      <c r="V162" s="76" t="s">
        <v>4</v>
      </c>
      <c r="W162" s="76" t="s">
        <v>1</v>
      </c>
      <c r="X162" s="76" t="s">
        <v>3185</v>
      </c>
      <c r="Y162" s="76" t="s">
        <v>1</v>
      </c>
      <c r="Z162" s="76" t="s">
        <v>1</v>
      </c>
      <c r="AA162" s="76" t="s">
        <v>1</v>
      </c>
      <c r="AB162" s="72" t="s">
        <v>3184</v>
      </c>
      <c r="AE162" s="25" t="s">
        <v>5138</v>
      </c>
      <c r="AF162" s="357">
        <v>0.16760800000000001</v>
      </c>
      <c r="AG162" s="68">
        <v>7.9166666666666663E-2</v>
      </c>
      <c r="AH162" s="357">
        <v>3.3859E-2</v>
      </c>
      <c r="AI162" s="341">
        <v>1.9444444444444445E-2</v>
      </c>
      <c r="AJ162" s="368">
        <f t="shared" si="2"/>
        <v>-0.79798696959572335</v>
      </c>
    </row>
    <row r="163" spans="1:36">
      <c r="B163" s="72" t="s">
        <v>3284</v>
      </c>
      <c r="C163" s="73" t="s">
        <v>1691</v>
      </c>
      <c r="D163" s="74">
        <v>100</v>
      </c>
      <c r="E163" s="72" t="s">
        <v>7</v>
      </c>
      <c r="F163" s="74">
        <v>50</v>
      </c>
      <c r="G163" s="74">
        <f>+F163+Q163+T163</f>
        <v>72</v>
      </c>
      <c r="H163" s="77">
        <v>44643</v>
      </c>
      <c r="I163" s="72" t="s">
        <v>3283</v>
      </c>
      <c r="J163" s="72" t="s">
        <v>3282</v>
      </c>
      <c r="K163" s="72" t="s">
        <v>2569</v>
      </c>
      <c r="L163" s="72" t="s">
        <v>3281</v>
      </c>
      <c r="M163" s="86" t="s">
        <v>3280</v>
      </c>
      <c r="O163" s="72" t="s">
        <v>3279</v>
      </c>
      <c r="P163" s="76" t="s">
        <v>5</v>
      </c>
      <c r="Q163" s="76">
        <v>18.5</v>
      </c>
      <c r="R163" s="76" t="s">
        <v>3278</v>
      </c>
      <c r="S163" s="76" t="s">
        <v>4</v>
      </c>
      <c r="T163" s="76">
        <v>3.5</v>
      </c>
      <c r="U163" s="76" t="s">
        <v>3277</v>
      </c>
      <c r="V163" s="76" t="s">
        <v>1</v>
      </c>
      <c r="W163" s="76" t="s">
        <v>1</v>
      </c>
      <c r="X163" s="76" t="s">
        <v>1</v>
      </c>
      <c r="Y163" s="76" t="s">
        <v>1</v>
      </c>
      <c r="Z163" s="76" t="s">
        <v>1</v>
      </c>
      <c r="AA163" s="76" t="s">
        <v>1</v>
      </c>
      <c r="AB163" s="72" t="s">
        <v>2078</v>
      </c>
      <c r="AE163" s="25" t="s">
        <v>5109</v>
      </c>
      <c r="AF163" s="357">
        <v>0.156365</v>
      </c>
      <c r="AG163" s="68">
        <v>0.20972222222222223</v>
      </c>
      <c r="AH163" s="357">
        <v>9.0676999999999994E-2</v>
      </c>
      <c r="AI163" s="341">
        <v>0.11805555555555555</v>
      </c>
      <c r="AJ163" s="368">
        <f t="shared" si="2"/>
        <v>-0.42009401080804532</v>
      </c>
    </row>
    <row r="164" spans="1:36">
      <c r="B164" s="72" t="s">
        <v>3199</v>
      </c>
      <c r="C164" s="73" t="s">
        <v>1691</v>
      </c>
      <c r="D164" s="74">
        <v>100</v>
      </c>
      <c r="E164" s="72" t="s">
        <v>1</v>
      </c>
      <c r="F164" s="74">
        <v>29</v>
      </c>
      <c r="G164" s="74">
        <f>+F164</f>
        <v>29</v>
      </c>
      <c r="H164" s="27">
        <v>44368</v>
      </c>
      <c r="I164" s="72" t="s">
        <v>3198</v>
      </c>
      <c r="J164" s="72" t="s">
        <v>3197</v>
      </c>
      <c r="K164" s="72" t="s">
        <v>2045</v>
      </c>
      <c r="L164" s="72" t="s">
        <v>2100</v>
      </c>
      <c r="M164" s="83">
        <v>43344</v>
      </c>
      <c r="N164" s="72" t="s">
        <v>5078</v>
      </c>
      <c r="O164" s="72" t="s">
        <v>3196</v>
      </c>
      <c r="P164" s="76" t="s">
        <v>1</v>
      </c>
      <c r="Q164" s="76" t="s">
        <v>1</v>
      </c>
      <c r="R164" s="76" t="s">
        <v>1</v>
      </c>
      <c r="S164" s="76" t="s">
        <v>1</v>
      </c>
      <c r="T164" s="76" t="s">
        <v>1</v>
      </c>
      <c r="U164" s="76" t="s">
        <v>1</v>
      </c>
      <c r="V164" s="76" t="s">
        <v>1</v>
      </c>
      <c r="W164" s="76" t="s">
        <v>1</v>
      </c>
      <c r="X164" s="76" t="s">
        <v>1</v>
      </c>
      <c r="Y164" s="76" t="s">
        <v>1</v>
      </c>
      <c r="Z164" s="76" t="s">
        <v>1</v>
      </c>
      <c r="AA164" s="76" t="s">
        <v>1</v>
      </c>
      <c r="AB164" s="72" t="s">
        <v>2055</v>
      </c>
      <c r="AE164" s="25" t="s">
        <v>5136</v>
      </c>
      <c r="AF164" s="357">
        <v>8.2150000000000001E-3</v>
      </c>
      <c r="AG164" s="68">
        <v>9.930555555555555E-2</v>
      </c>
      <c r="AH164" s="357">
        <v>7.1089999999999999E-3</v>
      </c>
      <c r="AI164" s="341">
        <v>4.6527777777777779E-2</v>
      </c>
      <c r="AJ164" s="368">
        <f t="shared" si="2"/>
        <v>-0.13463177115033476</v>
      </c>
    </row>
    <row r="165" spans="1:36" s="176" customFormat="1">
      <c r="A165" s="72"/>
      <c r="B165" s="72" t="s">
        <v>286</v>
      </c>
      <c r="C165" s="73" t="s">
        <v>1691</v>
      </c>
      <c r="D165" s="74">
        <v>100</v>
      </c>
      <c r="E165" s="72" t="s">
        <v>7</v>
      </c>
      <c r="F165" s="74">
        <v>35</v>
      </c>
      <c r="G165" s="74">
        <f>+F165+Q165+T165</f>
        <v>53.5</v>
      </c>
      <c r="H165" s="77">
        <v>44309</v>
      </c>
      <c r="I165" s="72"/>
      <c r="J165" s="72" t="s">
        <v>3265</v>
      </c>
      <c r="K165" s="72" t="s">
        <v>2045</v>
      </c>
      <c r="L165" s="72" t="s">
        <v>2071</v>
      </c>
      <c r="M165" s="72">
        <v>2017</v>
      </c>
      <c r="N165" s="72"/>
      <c r="O165" s="72" t="s">
        <v>3264</v>
      </c>
      <c r="P165" s="76" t="s">
        <v>5</v>
      </c>
      <c r="Q165" s="76">
        <v>5.7</v>
      </c>
      <c r="R165" s="76" t="s">
        <v>1</v>
      </c>
      <c r="S165" s="76" t="s">
        <v>5</v>
      </c>
      <c r="T165" s="76">
        <v>12.8</v>
      </c>
      <c r="U165" s="76" t="s">
        <v>1</v>
      </c>
      <c r="V165" s="76" t="s">
        <v>4</v>
      </c>
      <c r="W165" s="76" t="s">
        <v>1</v>
      </c>
      <c r="X165" s="76" t="s">
        <v>3263</v>
      </c>
      <c r="Y165" s="76" t="s">
        <v>1</v>
      </c>
      <c r="Z165" s="76" t="s">
        <v>1</v>
      </c>
      <c r="AA165" s="76" t="s">
        <v>1</v>
      </c>
      <c r="AB165" s="72" t="s">
        <v>2259</v>
      </c>
      <c r="AC165" s="72"/>
      <c r="AD165" s="72"/>
      <c r="AE165" s="25" t="s">
        <v>5116</v>
      </c>
      <c r="AF165" s="357">
        <v>0</v>
      </c>
      <c r="AG165" s="68">
        <v>3.3333333333333333E-2</v>
      </c>
      <c r="AH165" s="357">
        <v>5.0000000000000001E-3</v>
      </c>
      <c r="AI165" s="341">
        <v>5.6944444444444443E-2</v>
      </c>
      <c r="AJ165" s="368"/>
    </row>
    <row r="166" spans="1:36">
      <c r="B166" s="72" t="s">
        <v>360</v>
      </c>
      <c r="C166" s="73" t="s">
        <v>1691</v>
      </c>
      <c r="D166" s="74">
        <v>100</v>
      </c>
      <c r="E166" s="72" t="s">
        <v>7</v>
      </c>
      <c r="F166" s="74">
        <v>27.5</v>
      </c>
      <c r="G166" s="74">
        <f>+F166+Q166</f>
        <v>38.200000000000003</v>
      </c>
      <c r="H166" s="27">
        <v>44181</v>
      </c>
      <c r="I166" s="72" t="s">
        <v>3158</v>
      </c>
      <c r="J166" s="72" t="s">
        <v>3157</v>
      </c>
      <c r="K166" s="72" t="s">
        <v>2308</v>
      </c>
      <c r="L166" s="72" t="s">
        <v>3033</v>
      </c>
      <c r="M166" s="72">
        <v>2017</v>
      </c>
      <c r="N166" s="72" t="s">
        <v>5150</v>
      </c>
      <c r="O166" s="72" t="s">
        <v>3156</v>
      </c>
      <c r="P166" s="76" t="s">
        <v>5</v>
      </c>
      <c r="Q166" s="76">
        <v>10.7</v>
      </c>
      <c r="R166" s="76" t="s">
        <v>3155</v>
      </c>
      <c r="S166" s="76" t="s">
        <v>1</v>
      </c>
      <c r="T166" s="76" t="s">
        <v>1</v>
      </c>
      <c r="U166" s="76" t="s">
        <v>1</v>
      </c>
      <c r="V166" s="76" t="s">
        <v>1</v>
      </c>
      <c r="W166" s="76" t="s">
        <v>1</v>
      </c>
      <c r="X166" s="76" t="s">
        <v>1</v>
      </c>
      <c r="Y166" s="76" t="s">
        <v>1</v>
      </c>
      <c r="Z166" s="76" t="s">
        <v>1</v>
      </c>
      <c r="AA166" s="76" t="s">
        <v>1</v>
      </c>
      <c r="AB166" s="72" t="s">
        <v>2152</v>
      </c>
      <c r="AE166" s="25" t="s">
        <v>5149</v>
      </c>
      <c r="AF166" s="357">
        <v>3.7558000000000001E-2</v>
      </c>
      <c r="AG166" s="68">
        <v>6.9444444444444434E-2</v>
      </c>
      <c r="AH166" s="357">
        <v>5.4491999999999999E-2</v>
      </c>
      <c r="AI166" s="341">
        <v>0.22083333333333333</v>
      </c>
      <c r="AJ166" s="368">
        <f t="shared" si="2"/>
        <v>0.45087597848660721</v>
      </c>
    </row>
    <row r="167" spans="1:36">
      <c r="B167" s="72" t="s">
        <v>873</v>
      </c>
      <c r="C167" s="73" t="s">
        <v>1691</v>
      </c>
      <c r="D167" s="74">
        <v>100</v>
      </c>
      <c r="E167" s="72" t="s">
        <v>5</v>
      </c>
      <c r="F167" s="74">
        <v>30</v>
      </c>
      <c r="G167" s="74">
        <f>+F167+Q167+T167</f>
        <v>37.5</v>
      </c>
      <c r="H167" s="27">
        <v>44522</v>
      </c>
      <c r="I167" s="72" t="s">
        <v>3217</v>
      </c>
      <c r="J167" s="72" t="s">
        <v>3216</v>
      </c>
      <c r="K167" s="72" t="s">
        <v>2569</v>
      </c>
      <c r="L167" s="72" t="s">
        <v>2056</v>
      </c>
      <c r="M167" s="84">
        <v>43862</v>
      </c>
      <c r="N167" s="72" t="s">
        <v>5131</v>
      </c>
      <c r="O167" s="72" t="s">
        <v>3215</v>
      </c>
      <c r="P167" s="76" t="s">
        <v>4</v>
      </c>
      <c r="Q167" s="76">
        <v>5.5</v>
      </c>
      <c r="R167" s="76" t="s">
        <v>3214</v>
      </c>
      <c r="S167" s="76" t="s">
        <v>4</v>
      </c>
      <c r="T167" s="76">
        <v>2</v>
      </c>
      <c r="U167" s="76" t="s">
        <v>992</v>
      </c>
      <c r="V167" s="76" t="s">
        <v>1</v>
      </c>
      <c r="W167" s="76" t="s">
        <v>1</v>
      </c>
      <c r="X167" s="76" t="s">
        <v>1</v>
      </c>
      <c r="Y167" s="76" t="s">
        <v>1</v>
      </c>
      <c r="Z167" s="76" t="s">
        <v>1</v>
      </c>
      <c r="AA167" s="76" t="s">
        <v>1</v>
      </c>
      <c r="AB167" s="72" t="s">
        <v>2081</v>
      </c>
      <c r="AE167" s="25" t="s">
        <v>5130</v>
      </c>
      <c r="AF167" s="363">
        <v>0.80907300000000004</v>
      </c>
      <c r="AG167" s="68">
        <v>0.12291666666666667</v>
      </c>
      <c r="AH167" s="357">
        <v>0.31321399999999999</v>
      </c>
      <c r="AI167" s="341">
        <v>0.10972222222222222</v>
      </c>
      <c r="AJ167" s="368">
        <f t="shared" si="2"/>
        <v>-0.61287300404289846</v>
      </c>
    </row>
    <row r="168" spans="1:36">
      <c r="B168" s="72" t="s">
        <v>690</v>
      </c>
      <c r="C168" s="73" t="s">
        <v>1691</v>
      </c>
      <c r="D168" s="74">
        <v>100</v>
      </c>
      <c r="E168" s="72" t="s">
        <v>4</v>
      </c>
      <c r="F168" s="74">
        <v>30</v>
      </c>
      <c r="G168" s="74">
        <f>+F168</f>
        <v>30</v>
      </c>
      <c r="H168" s="223">
        <v>44742</v>
      </c>
      <c r="I168" s="72" t="s">
        <v>3230</v>
      </c>
      <c r="J168" s="72" t="s">
        <v>3231</v>
      </c>
      <c r="K168" s="72" t="s">
        <v>2569</v>
      </c>
      <c r="L168" s="72" t="s">
        <v>2079</v>
      </c>
      <c r="M168" s="83">
        <v>44562</v>
      </c>
      <c r="N168" s="72" t="s">
        <v>3230</v>
      </c>
      <c r="O168" s="72" t="s">
        <v>3229</v>
      </c>
      <c r="P168" s="76" t="s">
        <v>1</v>
      </c>
      <c r="Q168" s="76" t="s">
        <v>1</v>
      </c>
      <c r="R168" s="76" t="s">
        <v>1</v>
      </c>
      <c r="S168" s="76" t="s">
        <v>1</v>
      </c>
      <c r="T168" s="76" t="s">
        <v>1</v>
      </c>
      <c r="U168" s="76" t="s">
        <v>1</v>
      </c>
      <c r="V168" s="76" t="s">
        <v>1</v>
      </c>
      <c r="W168" s="76" t="s">
        <v>1</v>
      </c>
      <c r="X168" s="76" t="s">
        <v>1</v>
      </c>
      <c r="Y168" s="76" t="s">
        <v>1</v>
      </c>
      <c r="Z168" s="76" t="s">
        <v>1</v>
      </c>
      <c r="AA168" s="76" t="s">
        <v>1</v>
      </c>
      <c r="AB168" s="72" t="s">
        <v>2362</v>
      </c>
      <c r="AE168" s="25" t="s">
        <v>5123</v>
      </c>
      <c r="AF168" s="363">
        <v>0.77962500000000001</v>
      </c>
      <c r="AG168" s="68">
        <v>0.12708333333333333</v>
      </c>
      <c r="AH168" s="357">
        <v>0.65158700000000003</v>
      </c>
      <c r="AI168" s="341">
        <v>0.1361111111111111</v>
      </c>
      <c r="AJ168" s="368">
        <f t="shared" si="2"/>
        <v>-0.16423023889690558</v>
      </c>
    </row>
    <row r="169" spans="1:36">
      <c r="B169" s="72" t="s">
        <v>3136</v>
      </c>
      <c r="C169" s="73" t="s">
        <v>1691</v>
      </c>
      <c r="D169" s="74">
        <v>100</v>
      </c>
      <c r="E169" s="72" t="s">
        <v>5</v>
      </c>
      <c r="F169" s="74">
        <v>25</v>
      </c>
      <c r="H169" s="27">
        <v>44404</v>
      </c>
      <c r="I169" s="72" t="s">
        <v>3135</v>
      </c>
      <c r="J169" s="72" t="s">
        <v>3134</v>
      </c>
      <c r="K169" s="72" t="s">
        <v>2569</v>
      </c>
      <c r="L169" s="72" t="s">
        <v>2056</v>
      </c>
      <c r="M169" s="83">
        <v>43435</v>
      </c>
      <c r="O169" s="34" t="s">
        <v>3133</v>
      </c>
      <c r="P169" s="76" t="s">
        <v>4</v>
      </c>
      <c r="Q169" s="76">
        <v>6</v>
      </c>
      <c r="R169" s="76" t="s">
        <v>3132</v>
      </c>
      <c r="S169" s="76" t="s">
        <v>1</v>
      </c>
      <c r="T169" s="72" t="s">
        <v>1</v>
      </c>
      <c r="U169" s="72" t="s">
        <v>1</v>
      </c>
      <c r="V169" s="72" t="s">
        <v>1</v>
      </c>
      <c r="W169" s="72" t="s">
        <v>1</v>
      </c>
      <c r="X169" s="72" t="s">
        <v>1</v>
      </c>
      <c r="Y169" s="72" t="s">
        <v>1</v>
      </c>
      <c r="Z169" s="72" t="s">
        <v>1</v>
      </c>
      <c r="AA169" s="72" t="s">
        <v>1</v>
      </c>
      <c r="AB169" s="72" t="s">
        <v>2145</v>
      </c>
      <c r="AE169" s="25" t="s">
        <v>5155</v>
      </c>
      <c r="AF169" s="357">
        <v>3.125E-2</v>
      </c>
      <c r="AG169" s="68">
        <v>0.34583333333333338</v>
      </c>
      <c r="AH169" s="357">
        <v>0.12748200000000001</v>
      </c>
      <c r="AI169" s="341">
        <v>0.7368055555555556</v>
      </c>
      <c r="AJ169" s="368">
        <f t="shared" si="2"/>
        <v>3.0794240000000004</v>
      </c>
    </row>
    <row r="170" spans="1:36">
      <c r="B170" s="12" t="s">
        <v>3365</v>
      </c>
      <c r="C170" s="29" t="s">
        <v>1691</v>
      </c>
      <c r="D170" s="15">
        <v>100</v>
      </c>
      <c r="E170" s="15" t="s">
        <v>3364</v>
      </c>
      <c r="F170" s="15" t="s">
        <v>1</v>
      </c>
      <c r="G170" s="74" t="str">
        <f>F170</f>
        <v>N/A</v>
      </c>
      <c r="H170" s="15" t="s">
        <v>3364</v>
      </c>
      <c r="I170" s="12" t="s">
        <v>3289</v>
      </c>
      <c r="J170" s="12" t="s">
        <v>1</v>
      </c>
      <c r="K170" s="12" t="s">
        <v>2045</v>
      </c>
      <c r="L170" s="12" t="s">
        <v>2062</v>
      </c>
      <c r="M170" s="12">
        <v>2015</v>
      </c>
      <c r="N170" s="36" t="s">
        <v>3363</v>
      </c>
      <c r="O170" s="12" t="s">
        <v>1</v>
      </c>
      <c r="P170" s="12" t="s">
        <v>1</v>
      </c>
      <c r="Q170" s="12" t="s">
        <v>1</v>
      </c>
      <c r="R170" s="12" t="s">
        <v>1</v>
      </c>
      <c r="S170" s="12" t="s">
        <v>1</v>
      </c>
      <c r="T170" s="12" t="s">
        <v>1</v>
      </c>
      <c r="U170" s="12" t="s">
        <v>1</v>
      </c>
      <c r="V170" s="12" t="s">
        <v>1</v>
      </c>
      <c r="W170" s="12" t="s">
        <v>1</v>
      </c>
      <c r="X170" s="12" t="s">
        <v>1</v>
      </c>
      <c r="Y170" s="12" t="s">
        <v>1</v>
      </c>
      <c r="Z170" s="12" t="s">
        <v>1</v>
      </c>
      <c r="AA170" s="12" t="s">
        <v>1</v>
      </c>
      <c r="AB170" s="12" t="s">
        <v>3362</v>
      </c>
      <c r="AC170" s="12"/>
      <c r="AD170" s="12"/>
      <c r="AE170" s="25" t="s">
        <v>5090</v>
      </c>
      <c r="AF170" s="357">
        <v>2.8972000000000001E-2</v>
      </c>
      <c r="AG170" s="68">
        <v>0.30763888888888891</v>
      </c>
      <c r="AH170" s="357">
        <v>5.2361999999999999E-2</v>
      </c>
      <c r="AI170" s="345">
        <v>0.12638888888888888</v>
      </c>
      <c r="AJ170" s="368">
        <f t="shared" si="2"/>
        <v>0.80733121634681759</v>
      </c>
    </row>
    <row r="171" spans="1:36">
      <c r="B171" s="72" t="s">
        <v>110</v>
      </c>
      <c r="C171" s="73" t="s">
        <v>1691</v>
      </c>
      <c r="D171" s="74">
        <v>100</v>
      </c>
      <c r="E171" s="72" t="s">
        <v>5</v>
      </c>
      <c r="F171" s="74">
        <v>25</v>
      </c>
      <c r="G171" s="74">
        <f>+F171+Q171</f>
        <v>33</v>
      </c>
      <c r="H171" s="77">
        <v>44510</v>
      </c>
      <c r="I171" s="72" t="s">
        <v>3183</v>
      </c>
      <c r="J171" s="72" t="s">
        <v>3182</v>
      </c>
      <c r="K171" s="72" t="s">
        <v>2045</v>
      </c>
      <c r="L171" s="72" t="s">
        <v>2062</v>
      </c>
      <c r="M171" s="72">
        <v>2018</v>
      </c>
      <c r="O171" s="72" t="s">
        <v>3181</v>
      </c>
      <c r="P171" s="76" t="s">
        <v>4</v>
      </c>
      <c r="Q171" s="76">
        <v>8</v>
      </c>
      <c r="R171" s="76" t="s">
        <v>3180</v>
      </c>
      <c r="S171" s="93" t="s">
        <v>1</v>
      </c>
      <c r="T171" s="93" t="s">
        <v>1</v>
      </c>
      <c r="U171" s="93" t="s">
        <v>1</v>
      </c>
      <c r="V171" s="93" t="s">
        <v>1</v>
      </c>
      <c r="W171" s="93" t="s">
        <v>1</v>
      </c>
      <c r="X171" s="93" t="s">
        <v>1</v>
      </c>
      <c r="Y171" s="93" t="s">
        <v>1</v>
      </c>
      <c r="Z171" s="93" t="s">
        <v>1</v>
      </c>
      <c r="AA171" s="93" t="s">
        <v>1</v>
      </c>
      <c r="AB171" s="72" t="s">
        <v>2085</v>
      </c>
      <c r="AE171" s="25" t="s">
        <v>3179</v>
      </c>
      <c r="AF171" s="357">
        <v>9.3509999999999999E-3</v>
      </c>
      <c r="AG171" s="62">
        <v>2.9861111111111113E-2</v>
      </c>
      <c r="AH171" s="357">
        <v>2.5014000000000002E-2</v>
      </c>
      <c r="AI171" s="341">
        <v>3.0555555555555555E-2</v>
      </c>
      <c r="AJ171" s="368">
        <f t="shared" si="2"/>
        <v>1.6750080205325637</v>
      </c>
    </row>
    <row r="172" spans="1:36" s="176" customFormat="1">
      <c r="A172" s="72"/>
      <c r="B172" s="72" t="s">
        <v>912</v>
      </c>
      <c r="C172" s="73" t="s">
        <v>1691</v>
      </c>
      <c r="D172" s="74">
        <v>100</v>
      </c>
      <c r="E172" s="72" t="s">
        <v>4</v>
      </c>
      <c r="F172" s="74">
        <v>42</v>
      </c>
      <c r="G172" s="74">
        <f>+F172</f>
        <v>42</v>
      </c>
      <c r="H172" s="77">
        <v>44882</v>
      </c>
      <c r="I172" s="12" t="s">
        <v>3262</v>
      </c>
      <c r="J172" s="72"/>
      <c r="K172" s="34" t="s">
        <v>2045</v>
      </c>
      <c r="L172" s="32" t="s">
        <v>2062</v>
      </c>
      <c r="M172" s="83">
        <v>44440</v>
      </c>
      <c r="N172" s="72"/>
      <c r="O172" s="72" t="s">
        <v>3261</v>
      </c>
      <c r="P172" s="76" t="s">
        <v>1</v>
      </c>
      <c r="Q172" s="76" t="s">
        <v>1</v>
      </c>
      <c r="R172" s="76" t="s">
        <v>1</v>
      </c>
      <c r="S172" s="76" t="s">
        <v>1</v>
      </c>
      <c r="T172" s="76" t="s">
        <v>1</v>
      </c>
      <c r="U172" s="76" t="s">
        <v>1</v>
      </c>
      <c r="V172" s="76" t="s">
        <v>1</v>
      </c>
      <c r="W172" s="76" t="s">
        <v>1</v>
      </c>
      <c r="X172" s="76" t="s">
        <v>1</v>
      </c>
      <c r="Y172" s="76" t="s">
        <v>1</v>
      </c>
      <c r="Z172" s="76" t="s">
        <v>1</v>
      </c>
      <c r="AA172" s="76" t="s">
        <v>1</v>
      </c>
      <c r="AB172" s="72" t="s">
        <v>2094</v>
      </c>
      <c r="AC172" s="72"/>
      <c r="AD172" s="72"/>
      <c r="AE172" s="25" t="s">
        <v>5117</v>
      </c>
      <c r="AF172" s="357">
        <v>0</v>
      </c>
      <c r="AG172" s="68">
        <v>7.4999999999999997E-2</v>
      </c>
      <c r="AH172" s="357">
        <v>5.0000000000000001E-3</v>
      </c>
      <c r="AI172" s="341">
        <v>6.458333333333334E-2</v>
      </c>
      <c r="AJ172" s="368"/>
    </row>
    <row r="173" spans="1:36" s="176" customFormat="1">
      <c r="A173" s="72"/>
      <c r="B173" s="72" t="s">
        <v>3260</v>
      </c>
      <c r="C173" s="73" t="s">
        <v>1691</v>
      </c>
      <c r="D173" s="74">
        <v>100</v>
      </c>
      <c r="E173" s="72" t="s">
        <v>5</v>
      </c>
      <c r="F173" s="74">
        <v>40</v>
      </c>
      <c r="G173" s="74">
        <f>+F173+Q173</f>
        <v>45</v>
      </c>
      <c r="H173" s="77">
        <v>44690</v>
      </c>
      <c r="I173" s="72" t="s">
        <v>3259</v>
      </c>
      <c r="J173" s="72" t="s">
        <v>3258</v>
      </c>
      <c r="K173" s="72" t="s">
        <v>2308</v>
      </c>
      <c r="L173" s="72" t="s">
        <v>3257</v>
      </c>
      <c r="M173" s="83">
        <v>44501</v>
      </c>
      <c r="N173" s="72"/>
      <c r="O173" s="72" t="s">
        <v>3256</v>
      </c>
      <c r="P173" s="76" t="s">
        <v>3255</v>
      </c>
      <c r="Q173" s="76">
        <v>5</v>
      </c>
      <c r="R173" s="76" t="s">
        <v>3254</v>
      </c>
      <c r="S173" s="76" t="s">
        <v>1</v>
      </c>
      <c r="T173" s="76" t="s">
        <v>1</v>
      </c>
      <c r="U173" s="76" t="s">
        <v>1</v>
      </c>
      <c r="V173" s="76" t="s">
        <v>1</v>
      </c>
      <c r="W173" s="76" t="s">
        <v>1</v>
      </c>
      <c r="X173" s="76" t="s">
        <v>1</v>
      </c>
      <c r="Y173" s="76" t="s">
        <v>1</v>
      </c>
      <c r="Z173" s="76" t="s">
        <v>1</v>
      </c>
      <c r="AA173" s="76" t="s">
        <v>1</v>
      </c>
      <c r="AB173" s="72" t="s">
        <v>2900</v>
      </c>
      <c r="AC173" s="72"/>
      <c r="AD173" s="72"/>
      <c r="AE173" s="25" t="s">
        <v>5118</v>
      </c>
      <c r="AF173" s="357">
        <v>0</v>
      </c>
      <c r="AG173" s="68">
        <v>0.17430555555555557</v>
      </c>
      <c r="AH173" s="357">
        <v>5.0000000000000001E-3</v>
      </c>
      <c r="AI173" s="341">
        <v>1.6666666666666666E-2</v>
      </c>
      <c r="AJ173" s="368"/>
    </row>
    <row r="174" spans="1:36" s="176" customFormat="1">
      <c r="A174" s="72"/>
      <c r="B174" s="72" t="s">
        <v>686</v>
      </c>
      <c r="C174" s="73" t="s">
        <v>1691</v>
      </c>
      <c r="D174" s="74">
        <v>100</v>
      </c>
      <c r="E174" s="72" t="s">
        <v>4</v>
      </c>
      <c r="F174" s="74">
        <v>30</v>
      </c>
      <c r="G174" s="74">
        <f>+F174</f>
        <v>30</v>
      </c>
      <c r="H174" s="77">
        <v>44601</v>
      </c>
      <c r="I174" s="72" t="s">
        <v>2315</v>
      </c>
      <c r="J174" s="72" t="s">
        <v>3202</v>
      </c>
      <c r="K174" s="72" t="s">
        <v>2315</v>
      </c>
      <c r="L174" s="72" t="s">
        <v>2349</v>
      </c>
      <c r="M174" s="72">
        <v>2021</v>
      </c>
      <c r="N174" s="72"/>
      <c r="O174" s="72" t="s">
        <v>3201</v>
      </c>
      <c r="P174" s="76" t="s">
        <v>1</v>
      </c>
      <c r="Q174" s="76" t="s">
        <v>1</v>
      </c>
      <c r="R174" s="76" t="s">
        <v>1</v>
      </c>
      <c r="S174" s="76" t="s">
        <v>1</v>
      </c>
      <c r="T174" s="76" t="s">
        <v>1</v>
      </c>
      <c r="U174" s="76" t="s">
        <v>1</v>
      </c>
      <c r="V174" s="76" t="s">
        <v>1</v>
      </c>
      <c r="W174" s="76" t="s">
        <v>1</v>
      </c>
      <c r="X174" s="76" t="s">
        <v>1</v>
      </c>
      <c r="Y174" s="76" t="s">
        <v>1</v>
      </c>
      <c r="Z174" s="76" t="s">
        <v>1</v>
      </c>
      <c r="AA174" s="76" t="s">
        <v>1</v>
      </c>
      <c r="AB174" s="72" t="s">
        <v>3200</v>
      </c>
      <c r="AC174" s="72"/>
      <c r="AD174" s="72"/>
      <c r="AE174" s="25" t="s">
        <v>5135</v>
      </c>
      <c r="AF174" s="357">
        <v>0</v>
      </c>
      <c r="AG174" s="68">
        <v>0.26527777777777778</v>
      </c>
      <c r="AH174" s="357">
        <v>5.0000000000000001E-3</v>
      </c>
      <c r="AI174" s="341">
        <v>0</v>
      </c>
      <c r="AJ174" s="368"/>
    </row>
    <row r="175" spans="1:36" s="176" customFormat="1">
      <c r="A175" s="72"/>
      <c r="B175" s="12" t="s">
        <v>3178</v>
      </c>
      <c r="C175" s="29" t="s">
        <v>1691</v>
      </c>
      <c r="D175" s="15">
        <v>100</v>
      </c>
      <c r="E175" s="12" t="s">
        <v>4</v>
      </c>
      <c r="F175" s="15">
        <v>20</v>
      </c>
      <c r="G175" s="74">
        <f>+F175</f>
        <v>20</v>
      </c>
      <c r="H175" s="14">
        <v>44792</v>
      </c>
      <c r="I175" s="12" t="s">
        <v>3176</v>
      </c>
      <c r="J175" s="12" t="s">
        <v>3177</v>
      </c>
      <c r="K175" s="12" t="s">
        <v>2045</v>
      </c>
      <c r="L175" s="12" t="s">
        <v>3176</v>
      </c>
      <c r="M175" s="35" t="s">
        <v>3175</v>
      </c>
      <c r="N175" s="12" t="s">
        <v>3174</v>
      </c>
      <c r="O175" s="12" t="s">
        <v>3173</v>
      </c>
      <c r="P175" s="24" t="s">
        <v>1</v>
      </c>
      <c r="Q175" s="24" t="s">
        <v>1</v>
      </c>
      <c r="R175" s="24" t="s">
        <v>1</v>
      </c>
      <c r="S175" s="24" t="s">
        <v>1</v>
      </c>
      <c r="T175" s="24" t="s">
        <v>1</v>
      </c>
      <c r="U175" s="24" t="s">
        <v>1</v>
      </c>
      <c r="V175" s="24" t="s">
        <v>1</v>
      </c>
      <c r="W175" s="24" t="s">
        <v>1</v>
      </c>
      <c r="X175" s="24" t="s">
        <v>1</v>
      </c>
      <c r="Y175" s="24" t="s">
        <v>1</v>
      </c>
      <c r="Z175" s="24" t="s">
        <v>1</v>
      </c>
      <c r="AA175" s="24" t="s">
        <v>1</v>
      </c>
      <c r="AB175" s="12" t="s">
        <v>3172</v>
      </c>
      <c r="AC175" s="12"/>
      <c r="AD175" s="12"/>
      <c r="AE175" s="25" t="s">
        <v>5139</v>
      </c>
      <c r="AF175" s="357">
        <v>0</v>
      </c>
      <c r="AG175" s="70">
        <v>0</v>
      </c>
      <c r="AH175" s="357">
        <v>1.9462E-2</v>
      </c>
      <c r="AI175" s="364">
        <v>2.0833333333333333E-3</v>
      </c>
      <c r="AJ175" s="368"/>
    </row>
    <row r="176" spans="1:36" s="176" customFormat="1">
      <c r="A176" s="72"/>
      <c r="B176" s="176" t="s">
        <v>3154</v>
      </c>
      <c r="C176" s="184" t="s">
        <v>1691</v>
      </c>
      <c r="D176" s="177">
        <v>100</v>
      </c>
      <c r="E176" s="176" t="s">
        <v>5</v>
      </c>
      <c r="F176" s="177">
        <v>27</v>
      </c>
      <c r="G176" s="177">
        <f>F176</f>
        <v>27</v>
      </c>
      <c r="H176" s="77">
        <v>44299</v>
      </c>
      <c r="I176" s="176" t="s">
        <v>3153</v>
      </c>
      <c r="K176" s="176" t="s">
        <v>2569</v>
      </c>
      <c r="L176" s="176" t="s">
        <v>3152</v>
      </c>
      <c r="M176" s="176">
        <v>2021</v>
      </c>
      <c r="O176" s="176" t="s">
        <v>1</v>
      </c>
      <c r="P176" s="176" t="s">
        <v>1</v>
      </c>
      <c r="Q176" s="176" t="s">
        <v>1</v>
      </c>
      <c r="R176" s="176" t="s">
        <v>1</v>
      </c>
      <c r="S176" s="176" t="s">
        <v>1</v>
      </c>
      <c r="T176" s="176" t="s">
        <v>1</v>
      </c>
      <c r="U176" s="176" t="s">
        <v>1</v>
      </c>
      <c r="V176" s="176" t="s">
        <v>1</v>
      </c>
      <c r="W176" s="176" t="s">
        <v>1</v>
      </c>
      <c r="X176" s="176" t="s">
        <v>1</v>
      </c>
      <c r="Y176" s="176" t="s">
        <v>1</v>
      </c>
      <c r="Z176" s="176" t="s">
        <v>1</v>
      </c>
      <c r="AA176" s="176" t="s">
        <v>1</v>
      </c>
      <c r="AB176" s="176" t="s">
        <v>3151</v>
      </c>
      <c r="AE176" s="186" t="s">
        <v>5151</v>
      </c>
      <c r="AF176" s="357">
        <v>0</v>
      </c>
      <c r="AG176" s="68">
        <v>0</v>
      </c>
      <c r="AH176" s="357">
        <v>6.228E-3</v>
      </c>
      <c r="AI176" s="362">
        <v>2.7083333333333334E-2</v>
      </c>
      <c r="AJ176" s="368"/>
    </row>
    <row r="177" spans="1:36">
      <c r="B177" s="72" t="s">
        <v>928</v>
      </c>
      <c r="C177" s="73" t="s">
        <v>1691</v>
      </c>
      <c r="D177" s="74">
        <v>100</v>
      </c>
      <c r="E177" s="72" t="s">
        <v>5</v>
      </c>
      <c r="F177" s="74">
        <v>25</v>
      </c>
      <c r="H177" s="77">
        <v>44944</v>
      </c>
      <c r="I177" s="72" t="s">
        <v>3131</v>
      </c>
      <c r="J177" s="72" t="s">
        <v>3130</v>
      </c>
      <c r="K177" s="72" t="s">
        <v>2045</v>
      </c>
      <c r="L177" s="72" t="s">
        <v>2524</v>
      </c>
      <c r="M177" s="84" t="s">
        <v>3129</v>
      </c>
      <c r="O177" s="72" t="s">
        <v>3128</v>
      </c>
      <c r="P177" s="76" t="s">
        <v>4</v>
      </c>
      <c r="Q177" s="76">
        <v>5</v>
      </c>
      <c r="R177" s="76" t="s">
        <v>980</v>
      </c>
      <c r="S177" s="76" t="s">
        <v>278</v>
      </c>
      <c r="T177" s="76">
        <v>3</v>
      </c>
      <c r="U177" s="76" t="s">
        <v>1</v>
      </c>
      <c r="V177" s="72" t="s">
        <v>1</v>
      </c>
      <c r="W177" s="72" t="s">
        <v>1</v>
      </c>
      <c r="X177" s="72" t="s">
        <v>1</v>
      </c>
      <c r="Y177" s="72" t="s">
        <v>1</v>
      </c>
      <c r="Z177" s="72" t="s">
        <v>1</v>
      </c>
      <c r="AA177" s="72" t="s">
        <v>1</v>
      </c>
      <c r="AB177" s="72" t="s">
        <v>2078</v>
      </c>
      <c r="AE177" s="25" t="s">
        <v>5156</v>
      </c>
      <c r="AF177" s="348">
        <v>7.8329999999999997E-3</v>
      </c>
      <c r="AG177" s="68">
        <v>0.56041666666666667</v>
      </c>
      <c r="AH177" s="357">
        <v>1.5789000000000001E-2</v>
      </c>
      <c r="AI177" s="341">
        <v>0</v>
      </c>
      <c r="AJ177" s="368">
        <f t="shared" si="2"/>
        <v>1.0157027958636542</v>
      </c>
    </row>
    <row r="178" spans="1:36">
      <c r="A178" s="176"/>
      <c r="B178" s="176" t="s">
        <v>659</v>
      </c>
      <c r="C178" s="184" t="s">
        <v>1691</v>
      </c>
      <c r="D178" s="178">
        <v>100</v>
      </c>
      <c r="E178" s="176" t="s">
        <v>4</v>
      </c>
      <c r="F178" s="178">
        <v>25</v>
      </c>
      <c r="G178" s="178"/>
      <c r="H178" s="185">
        <v>44873</v>
      </c>
      <c r="I178" s="176" t="s">
        <v>3103</v>
      </c>
      <c r="J178" s="176" t="s">
        <v>3102</v>
      </c>
      <c r="K178" s="176" t="s">
        <v>3101</v>
      </c>
      <c r="L178" s="176" t="s">
        <v>3101</v>
      </c>
      <c r="M178" s="176">
        <v>2022</v>
      </c>
      <c r="N178" s="176" t="s">
        <v>3100</v>
      </c>
      <c r="O178" s="176" t="s">
        <v>3099</v>
      </c>
      <c r="P178" s="179" t="s">
        <v>1</v>
      </c>
      <c r="Q178" s="179" t="s">
        <v>1</v>
      </c>
      <c r="R178" s="179" t="s">
        <v>1</v>
      </c>
      <c r="S178" s="179" t="s">
        <v>1</v>
      </c>
      <c r="T178" s="179" t="s">
        <v>1</v>
      </c>
      <c r="U178" s="179" t="s">
        <v>1</v>
      </c>
      <c r="V178" s="179" t="s">
        <v>1</v>
      </c>
      <c r="W178" s="179" t="s">
        <v>1</v>
      </c>
      <c r="X178" s="179" t="s">
        <v>1</v>
      </c>
      <c r="Y178" s="179" t="s">
        <v>1</v>
      </c>
      <c r="Z178" s="179" t="s">
        <v>1</v>
      </c>
      <c r="AA178" s="179" t="s">
        <v>1</v>
      </c>
      <c r="AB178" s="176" t="s">
        <v>2094</v>
      </c>
      <c r="AC178" s="176"/>
      <c r="AD178" s="176"/>
      <c r="AE178" s="25" t="s">
        <v>5174</v>
      </c>
      <c r="AF178" s="348">
        <v>6.7039999999999999E-3</v>
      </c>
      <c r="AG178" s="68">
        <v>0.13749999999999998</v>
      </c>
      <c r="AH178" s="357">
        <v>1.065E-2</v>
      </c>
      <c r="AI178" s="362">
        <v>9.0972222222222218E-2</v>
      </c>
      <c r="AJ178" s="368">
        <f t="shared" si="2"/>
        <v>0.58860381861575184</v>
      </c>
    </row>
    <row r="179" spans="1:36">
      <c r="A179" s="180"/>
      <c r="B179" s="180" t="s">
        <v>108</v>
      </c>
      <c r="C179" s="181" t="s">
        <v>1691</v>
      </c>
      <c r="D179" s="39">
        <v>100</v>
      </c>
      <c r="E179" s="180" t="s">
        <v>7</v>
      </c>
      <c r="F179" s="39">
        <v>5</v>
      </c>
      <c r="G179" s="39">
        <f>+F179</f>
        <v>5</v>
      </c>
      <c r="H179" s="27">
        <v>43903</v>
      </c>
      <c r="I179" s="180" t="s">
        <v>3238</v>
      </c>
      <c r="J179" s="180" t="s">
        <v>3237</v>
      </c>
      <c r="K179" s="180" t="s">
        <v>2045</v>
      </c>
      <c r="L179" s="180" t="s">
        <v>3236</v>
      </c>
      <c r="M179" s="180">
        <v>2015</v>
      </c>
      <c r="N179" s="180"/>
      <c r="O179" s="180" t="s">
        <v>1007</v>
      </c>
      <c r="P179" s="182" t="s">
        <v>7</v>
      </c>
      <c r="Q179" s="182" t="s">
        <v>3235</v>
      </c>
      <c r="R179" s="182" t="s">
        <v>3234</v>
      </c>
      <c r="S179" s="182" t="s">
        <v>5</v>
      </c>
      <c r="T179" s="182">
        <v>15</v>
      </c>
      <c r="U179" s="182" t="s">
        <v>3233</v>
      </c>
      <c r="V179" s="182" t="s">
        <v>1</v>
      </c>
      <c r="W179" s="182" t="s">
        <v>1</v>
      </c>
      <c r="X179" s="182" t="s">
        <v>1</v>
      </c>
      <c r="Y179" s="182" t="s">
        <v>1</v>
      </c>
      <c r="Z179" s="182" t="s">
        <v>1</v>
      </c>
      <c r="AA179" s="182" t="s">
        <v>1</v>
      </c>
      <c r="AB179" s="180" t="s">
        <v>2055</v>
      </c>
      <c r="AC179" s="180"/>
      <c r="AD179" s="180"/>
      <c r="AE179" s="143" t="s">
        <v>3232</v>
      </c>
      <c r="AF179" s="366">
        <v>5.2030000000000002E-3</v>
      </c>
      <c r="AG179" s="183">
        <v>1.7361111111111112E-2</v>
      </c>
      <c r="AH179" s="357">
        <v>7.1289999999999999E-3</v>
      </c>
      <c r="AI179" s="367">
        <v>0</v>
      </c>
      <c r="AJ179" s="368">
        <f t="shared" si="2"/>
        <v>0.37017105516048421</v>
      </c>
    </row>
    <row r="180" spans="1:36">
      <c r="B180" s="72" t="s">
        <v>1082</v>
      </c>
      <c r="C180" s="73" t="s">
        <v>1691</v>
      </c>
      <c r="D180" s="74">
        <v>100</v>
      </c>
      <c r="E180" s="72" t="s">
        <v>5</v>
      </c>
      <c r="F180" s="74">
        <v>25</v>
      </c>
      <c r="H180" s="77">
        <v>44679</v>
      </c>
      <c r="I180" s="72" t="s">
        <v>3141</v>
      </c>
      <c r="J180" s="72" t="s">
        <v>3140</v>
      </c>
      <c r="K180" s="72" t="s">
        <v>2569</v>
      </c>
      <c r="L180" s="72" t="s">
        <v>2056</v>
      </c>
      <c r="M180" s="72">
        <v>2021</v>
      </c>
      <c r="O180" s="72" t="s">
        <v>3139</v>
      </c>
      <c r="P180" s="76" t="s">
        <v>4</v>
      </c>
      <c r="Q180" s="76">
        <v>3</v>
      </c>
      <c r="R180" s="76" t="s">
        <v>3138</v>
      </c>
      <c r="S180" s="72" t="s">
        <v>1</v>
      </c>
      <c r="T180" s="72" t="s">
        <v>1</v>
      </c>
      <c r="U180" s="72" t="s">
        <v>1</v>
      </c>
      <c r="V180" s="72" t="s">
        <v>1</v>
      </c>
      <c r="W180" s="72" t="s">
        <v>1</v>
      </c>
      <c r="X180" s="72" t="s">
        <v>1</v>
      </c>
      <c r="Y180" s="72" t="s">
        <v>1</v>
      </c>
      <c r="Z180" s="72" t="s">
        <v>1</v>
      </c>
      <c r="AA180" s="72" t="s">
        <v>1</v>
      </c>
      <c r="AB180" s="72" t="s">
        <v>3137</v>
      </c>
      <c r="AE180" s="25" t="s">
        <v>5154</v>
      </c>
      <c r="AF180" s="348">
        <v>0</v>
      </c>
      <c r="AG180" s="68">
        <v>0.17569444444444446</v>
      </c>
      <c r="AH180" s="357">
        <v>5.0000000000000001E-3</v>
      </c>
      <c r="AI180" s="341">
        <v>1.8749999999999999E-2</v>
      </c>
      <c r="AJ180" s="368"/>
    </row>
    <row r="181" spans="1:36">
      <c r="B181" s="176" t="s">
        <v>3150</v>
      </c>
      <c r="C181" s="184" t="s">
        <v>1691</v>
      </c>
      <c r="D181" s="177">
        <v>100</v>
      </c>
      <c r="E181" s="176" t="s">
        <v>7</v>
      </c>
      <c r="F181" s="177">
        <v>27</v>
      </c>
      <c r="G181" s="177">
        <f>F181+Q181</f>
        <v>38</v>
      </c>
      <c r="H181" s="77">
        <v>44882</v>
      </c>
      <c r="I181" s="176" t="s">
        <v>3149</v>
      </c>
      <c r="J181" s="176" t="s">
        <v>3148</v>
      </c>
      <c r="K181" s="176" t="s">
        <v>2308</v>
      </c>
      <c r="L181" s="176" t="s">
        <v>2290</v>
      </c>
      <c r="M181" s="176">
        <v>2016</v>
      </c>
      <c r="N181" s="176"/>
      <c r="O181" s="176" t="s">
        <v>3147</v>
      </c>
      <c r="P181" s="179" t="s">
        <v>5</v>
      </c>
      <c r="Q181" s="179">
        <v>11</v>
      </c>
      <c r="R181" s="179" t="s">
        <v>3146</v>
      </c>
      <c r="S181" s="179" t="s">
        <v>4</v>
      </c>
      <c r="T181" s="179" t="s">
        <v>1</v>
      </c>
      <c r="U181" s="179" t="s">
        <v>3145</v>
      </c>
      <c r="V181" s="179" t="s">
        <v>1</v>
      </c>
      <c r="W181" s="179" t="s">
        <v>1</v>
      </c>
      <c r="X181" s="179" t="s">
        <v>1</v>
      </c>
      <c r="Y181" s="179" t="s">
        <v>1</v>
      </c>
      <c r="Z181" s="179" t="s">
        <v>1</v>
      </c>
      <c r="AA181" s="179" t="s">
        <v>1</v>
      </c>
      <c r="AB181" s="176" t="s">
        <v>2362</v>
      </c>
      <c r="AC181" s="176"/>
      <c r="AD181" s="176"/>
      <c r="AE181" s="186" t="s">
        <v>5148</v>
      </c>
      <c r="AF181" s="348">
        <v>0.273484</v>
      </c>
      <c r="AG181" s="68">
        <v>0</v>
      </c>
      <c r="AH181" s="357">
        <v>0.45759</v>
      </c>
      <c r="AI181" s="362">
        <v>8.3333333333333329E-2</v>
      </c>
      <c r="AJ181" s="368">
        <f>+AH181/AF181-1</f>
        <v>0.67318746252065931</v>
      </c>
    </row>
    <row r="182" spans="1:36">
      <c r="A182" s="176"/>
      <c r="B182" s="176" t="s">
        <v>454</v>
      </c>
      <c r="C182" s="184" t="s">
        <v>1691</v>
      </c>
      <c r="D182" s="178">
        <v>100</v>
      </c>
      <c r="E182" s="176" t="s">
        <v>7</v>
      </c>
      <c r="F182" s="178">
        <v>25</v>
      </c>
      <c r="G182" s="178"/>
      <c r="H182" s="185">
        <v>43972</v>
      </c>
      <c r="I182" s="176" t="s">
        <v>2332</v>
      </c>
      <c r="J182" s="176" t="s">
        <v>3117</v>
      </c>
      <c r="K182" s="176" t="s">
        <v>2045</v>
      </c>
      <c r="L182" s="176" t="s">
        <v>2332</v>
      </c>
      <c r="M182" s="176">
        <v>2016</v>
      </c>
      <c r="N182" s="176"/>
      <c r="O182" s="176" t="s">
        <v>3116</v>
      </c>
      <c r="P182" s="179" t="s">
        <v>5</v>
      </c>
      <c r="Q182" s="179">
        <v>11.5</v>
      </c>
      <c r="R182" s="179" t="s">
        <v>1061</v>
      </c>
      <c r="S182" s="179" t="s">
        <v>1</v>
      </c>
      <c r="T182" s="179" t="s">
        <v>1</v>
      </c>
      <c r="U182" s="179" t="s">
        <v>1</v>
      </c>
      <c r="V182" s="179" t="s">
        <v>1</v>
      </c>
      <c r="W182" s="179" t="s">
        <v>1</v>
      </c>
      <c r="X182" s="179" t="s">
        <v>1</v>
      </c>
      <c r="Y182" s="179" t="s">
        <v>1</v>
      </c>
      <c r="Z182" s="179" t="s">
        <v>1</v>
      </c>
      <c r="AA182" s="179" t="s">
        <v>1</v>
      </c>
      <c r="AB182" s="176" t="s">
        <v>2277</v>
      </c>
      <c r="AC182" s="176"/>
      <c r="AD182" s="176"/>
      <c r="AE182" s="25" t="s">
        <v>5171</v>
      </c>
      <c r="AF182" s="348">
        <v>0</v>
      </c>
      <c r="AG182" s="68">
        <v>0</v>
      </c>
      <c r="AH182" s="357">
        <v>5.0000000000000001E-3</v>
      </c>
      <c r="AI182" s="362">
        <v>2.7777777777777779E-3</v>
      </c>
      <c r="AJ182" s="368"/>
    </row>
    <row r="183" spans="1:36">
      <c r="B183" s="72" t="s">
        <v>860</v>
      </c>
      <c r="C183" s="73" t="s">
        <v>1691</v>
      </c>
      <c r="D183" s="74">
        <v>100</v>
      </c>
      <c r="E183" s="72" t="s">
        <v>7</v>
      </c>
      <c r="F183" s="74">
        <v>25</v>
      </c>
      <c r="H183" s="77">
        <v>44636</v>
      </c>
      <c r="I183" s="72" t="s">
        <v>3127</v>
      </c>
      <c r="J183" s="72" t="s">
        <v>3126</v>
      </c>
      <c r="K183" s="72" t="s">
        <v>2569</v>
      </c>
      <c r="L183" s="72" t="s">
        <v>2056</v>
      </c>
      <c r="M183" s="84" t="s">
        <v>2982</v>
      </c>
      <c r="O183" s="72" t="s">
        <v>3125</v>
      </c>
      <c r="P183" s="76" t="s">
        <v>5</v>
      </c>
      <c r="Q183" s="76">
        <v>12.2</v>
      </c>
      <c r="R183" s="76" t="s">
        <v>3124</v>
      </c>
      <c r="S183" s="76" t="s">
        <v>4</v>
      </c>
      <c r="T183" s="76">
        <v>5.0999999999999996</v>
      </c>
      <c r="U183" s="76" t="s">
        <v>3123</v>
      </c>
      <c r="V183" s="76" t="s">
        <v>1</v>
      </c>
      <c r="W183" s="72" t="s">
        <v>1</v>
      </c>
      <c r="X183" s="72" t="s">
        <v>1</v>
      </c>
      <c r="Y183" s="72" t="s">
        <v>1</v>
      </c>
      <c r="Z183" s="72" t="s">
        <v>1</v>
      </c>
      <c r="AA183" s="72" t="s">
        <v>1</v>
      </c>
      <c r="AB183" s="72" t="s">
        <v>3122</v>
      </c>
      <c r="AE183" s="25" t="s">
        <v>5157</v>
      </c>
      <c r="AF183" s="348">
        <v>1.5440000000000001E-2</v>
      </c>
      <c r="AG183" s="68">
        <v>0.47638888888888892</v>
      </c>
      <c r="AH183" s="357">
        <v>3.5591999999999999E-2</v>
      </c>
      <c r="AI183" s="341">
        <v>6.0416666666666667E-2</v>
      </c>
      <c r="AJ183" s="368">
        <f>+AH183/AF183-1</f>
        <v>1.3051813471502589</v>
      </c>
    </row>
    <row r="184" spans="1:36" s="176" customFormat="1">
      <c r="B184" s="176" t="s">
        <v>128</v>
      </c>
      <c r="C184" s="184" t="s">
        <v>1691</v>
      </c>
      <c r="D184" s="178">
        <v>100</v>
      </c>
      <c r="E184" s="176" t="s">
        <v>7</v>
      </c>
      <c r="F184" s="178">
        <v>23.5</v>
      </c>
      <c r="G184" s="178"/>
      <c r="H184" s="185">
        <v>45008</v>
      </c>
      <c r="I184" s="176" t="s">
        <v>3110</v>
      </c>
      <c r="J184" s="176" t="s">
        <v>3109</v>
      </c>
      <c r="K184" s="176" t="s">
        <v>2045</v>
      </c>
      <c r="L184" s="176" t="s">
        <v>3108</v>
      </c>
      <c r="M184" s="176">
        <v>2019</v>
      </c>
      <c r="O184" s="176" t="s">
        <v>3107</v>
      </c>
      <c r="P184" s="179" t="s">
        <v>5</v>
      </c>
      <c r="Q184" s="179">
        <v>16</v>
      </c>
      <c r="R184" s="179" t="s">
        <v>3106</v>
      </c>
      <c r="S184" s="179" t="s">
        <v>4</v>
      </c>
      <c r="T184" s="179">
        <v>5</v>
      </c>
      <c r="U184" s="179" t="s">
        <v>3105</v>
      </c>
      <c r="V184" s="179" t="s">
        <v>1</v>
      </c>
      <c r="W184" s="179" t="s">
        <v>1</v>
      </c>
      <c r="X184" s="179" t="s">
        <v>1</v>
      </c>
      <c r="Y184" s="179" t="s">
        <v>1</v>
      </c>
      <c r="Z184" s="179" t="s">
        <v>1</v>
      </c>
      <c r="AA184" s="179" t="s">
        <v>1</v>
      </c>
      <c r="AB184" s="176" t="s">
        <v>2152</v>
      </c>
      <c r="AE184" s="25" t="s">
        <v>3104</v>
      </c>
      <c r="AF184" s="343">
        <v>5.8803000000000001E-2</v>
      </c>
      <c r="AG184" s="62">
        <v>8.0555555555555561E-2</v>
      </c>
      <c r="AH184" s="357">
        <v>4.2221000000000002E-2</v>
      </c>
      <c r="AI184" s="362">
        <v>0.1701388888888889</v>
      </c>
      <c r="AJ184" s="368">
        <f>+AH184/AF184-1</f>
        <v>-0.28199241535295816</v>
      </c>
    </row>
    <row r="185" spans="1:36">
      <c r="A185" s="176"/>
      <c r="B185" s="176" t="s">
        <v>986</v>
      </c>
      <c r="C185" s="184" t="s">
        <v>1691</v>
      </c>
      <c r="D185" s="178">
        <v>100</v>
      </c>
      <c r="E185" s="176" t="s">
        <v>5</v>
      </c>
      <c r="F185" s="178">
        <v>25</v>
      </c>
      <c r="G185" s="178"/>
      <c r="H185" s="185">
        <v>44615</v>
      </c>
      <c r="I185" s="176" t="s">
        <v>3121</v>
      </c>
      <c r="J185" s="176" t="s">
        <v>3120</v>
      </c>
      <c r="K185" s="176" t="s">
        <v>2569</v>
      </c>
      <c r="L185" s="176" t="s">
        <v>2056</v>
      </c>
      <c r="M185" s="188">
        <v>43709</v>
      </c>
      <c r="N185" s="176"/>
      <c r="O185" s="176" t="s">
        <v>3119</v>
      </c>
      <c r="P185" s="179" t="s">
        <v>4</v>
      </c>
      <c r="Q185" s="179">
        <v>5</v>
      </c>
      <c r="R185" s="179" t="s">
        <v>3118</v>
      </c>
      <c r="S185" s="179" t="s">
        <v>1</v>
      </c>
      <c r="T185" s="179" t="s">
        <v>1</v>
      </c>
      <c r="U185" s="179" t="s">
        <v>1</v>
      </c>
      <c r="V185" s="179" t="s">
        <v>1</v>
      </c>
      <c r="W185" s="179" t="s">
        <v>1</v>
      </c>
      <c r="X185" s="179" t="s">
        <v>1</v>
      </c>
      <c r="Y185" s="179" t="s">
        <v>1</v>
      </c>
      <c r="Z185" s="179" t="s">
        <v>1</v>
      </c>
      <c r="AA185" s="179" t="s">
        <v>1</v>
      </c>
      <c r="AB185" s="176" t="s">
        <v>2078</v>
      </c>
      <c r="AC185" s="176"/>
      <c r="AD185" s="176"/>
      <c r="AE185" s="25" t="s">
        <v>5158</v>
      </c>
      <c r="AF185" s="348">
        <v>1.4638E-2</v>
      </c>
      <c r="AG185" s="68">
        <v>5.1388888888888894E-2</v>
      </c>
      <c r="AH185" s="357">
        <v>2.5014000000000002E-2</v>
      </c>
      <c r="AI185" s="362">
        <v>4.3749999999999997E-2</v>
      </c>
      <c r="AJ185" s="368">
        <f t="shared" si="2"/>
        <v>0.70884000546522752</v>
      </c>
    </row>
    <row r="186" spans="1:36" s="12" customFormat="1">
      <c r="A186" s="72"/>
      <c r="B186" s="72" t="s">
        <v>3269</v>
      </c>
      <c r="C186" s="73" t="s">
        <v>1691</v>
      </c>
      <c r="D186" s="74">
        <v>100</v>
      </c>
      <c r="E186" s="72" t="s">
        <v>5</v>
      </c>
      <c r="F186" s="74">
        <v>50</v>
      </c>
      <c r="G186" s="74">
        <f>+F186</f>
        <v>50</v>
      </c>
      <c r="H186" s="27">
        <v>44475</v>
      </c>
      <c r="I186" s="72" t="s">
        <v>3268</v>
      </c>
      <c r="J186" s="72" t="s">
        <v>3267</v>
      </c>
      <c r="K186" s="72" t="s">
        <v>2045</v>
      </c>
      <c r="L186" s="72" t="s">
        <v>2355</v>
      </c>
      <c r="M186" s="83">
        <v>44440</v>
      </c>
      <c r="N186" s="72" t="s">
        <v>5115</v>
      </c>
      <c r="O186" s="72" t="s">
        <v>3266</v>
      </c>
      <c r="P186" s="76" t="s">
        <v>1</v>
      </c>
      <c r="Q186" s="76" t="s">
        <v>1</v>
      </c>
      <c r="R186" s="76" t="s">
        <v>1</v>
      </c>
      <c r="S186" s="76" t="s">
        <v>1</v>
      </c>
      <c r="T186" s="76" t="s">
        <v>1</v>
      </c>
      <c r="U186" s="76" t="s">
        <v>1</v>
      </c>
      <c r="V186" s="76" t="s">
        <v>1</v>
      </c>
      <c r="W186" s="76" t="s">
        <v>1</v>
      </c>
      <c r="X186" s="76" t="s">
        <v>1</v>
      </c>
      <c r="Y186" s="76" t="s">
        <v>1</v>
      </c>
      <c r="Z186" s="76" t="s">
        <v>1</v>
      </c>
      <c r="AA186" s="76" t="s">
        <v>1</v>
      </c>
      <c r="AB186" s="72" t="s">
        <v>2055</v>
      </c>
      <c r="AC186" s="72"/>
      <c r="AD186" s="72"/>
      <c r="AE186" s="25" t="s">
        <v>5113</v>
      </c>
      <c r="AF186" s="348">
        <v>1.3875999999999999E-2</v>
      </c>
      <c r="AG186" s="68">
        <v>2.4305555555555556E-2</v>
      </c>
      <c r="AH186" s="357">
        <v>1.2244E-2</v>
      </c>
      <c r="AI186" s="341">
        <v>3.2638888888888891E-2</v>
      </c>
      <c r="AJ186" s="368">
        <f t="shared" si="2"/>
        <v>-0.11761314499855868</v>
      </c>
    </row>
    <row r="187" spans="1:36">
      <c r="B187" s="72" t="s">
        <v>3223</v>
      </c>
      <c r="C187" s="73" t="s">
        <v>1691</v>
      </c>
      <c r="D187" s="74">
        <v>100</v>
      </c>
      <c r="E187" s="72" t="s">
        <v>5</v>
      </c>
      <c r="F187" s="74">
        <v>30</v>
      </c>
      <c r="G187" s="74">
        <f>+F187+Q187</f>
        <v>34</v>
      </c>
      <c r="H187" s="77">
        <v>44914</v>
      </c>
      <c r="I187" s="72" t="s">
        <v>3222</v>
      </c>
      <c r="J187" s="72" t="s">
        <v>3221</v>
      </c>
      <c r="K187" s="72" t="s">
        <v>2308</v>
      </c>
      <c r="L187" s="72" t="s">
        <v>3220</v>
      </c>
      <c r="M187" s="84" t="s">
        <v>3129</v>
      </c>
      <c r="O187" s="72" t="s">
        <v>3219</v>
      </c>
      <c r="P187" s="76" t="s">
        <v>4</v>
      </c>
      <c r="Q187" s="76">
        <v>4</v>
      </c>
      <c r="R187" s="76" t="s">
        <v>3218</v>
      </c>
      <c r="S187" s="76" t="s">
        <v>1</v>
      </c>
      <c r="T187" s="76" t="s">
        <v>1</v>
      </c>
      <c r="U187" s="76" t="s">
        <v>1</v>
      </c>
      <c r="V187" s="76" t="s">
        <v>1</v>
      </c>
      <c r="W187" s="76" t="s">
        <v>1</v>
      </c>
      <c r="X187" s="76" t="s">
        <v>1</v>
      </c>
      <c r="Y187" s="76" t="s">
        <v>1</v>
      </c>
      <c r="Z187" s="76" t="s">
        <v>1</v>
      </c>
      <c r="AA187" s="76" t="s">
        <v>1</v>
      </c>
      <c r="AB187" s="72" t="s">
        <v>2078</v>
      </c>
      <c r="AE187" s="25" t="s">
        <v>5125</v>
      </c>
      <c r="AF187" s="348">
        <v>0.27698</v>
      </c>
      <c r="AG187" s="68">
        <v>9.375E-2</v>
      </c>
      <c r="AH187" s="357">
        <v>0.21010899999999999</v>
      </c>
      <c r="AI187" s="341">
        <v>6.0416666666666667E-2</v>
      </c>
      <c r="AJ187" s="368">
        <f t="shared" si="2"/>
        <v>-0.24142898404216917</v>
      </c>
    </row>
    <row r="188" spans="1:36" s="274" customFormat="1">
      <c r="B188" s="396" t="s">
        <v>9716</v>
      </c>
      <c r="C188" s="397" t="s">
        <v>1691</v>
      </c>
      <c r="D188" s="325">
        <v>100</v>
      </c>
      <c r="E188" s="396" t="s">
        <v>5</v>
      </c>
      <c r="F188" s="325">
        <v>23</v>
      </c>
      <c r="G188" s="325">
        <f>+F188+Q188</f>
        <v>30</v>
      </c>
      <c r="H188" s="326">
        <v>45209</v>
      </c>
      <c r="I188" s="396" t="s">
        <v>9721</v>
      </c>
      <c r="J188" s="396" t="s">
        <v>9717</v>
      </c>
      <c r="K188" s="396" t="s">
        <v>2045</v>
      </c>
      <c r="L188" s="396" t="s">
        <v>2056</v>
      </c>
      <c r="M188" s="274">
        <v>2021</v>
      </c>
      <c r="N188" s="396" t="s">
        <v>9719</v>
      </c>
      <c r="O188" s="396" t="s">
        <v>9722</v>
      </c>
      <c r="P188" s="396" t="s">
        <v>4</v>
      </c>
      <c r="Q188" s="274">
        <v>7</v>
      </c>
      <c r="R188" s="396" t="s">
        <v>9731</v>
      </c>
      <c r="S188" s="396" t="s">
        <v>1</v>
      </c>
      <c r="T188" s="396" t="s">
        <v>1</v>
      </c>
      <c r="U188" s="396" t="s">
        <v>1</v>
      </c>
      <c r="V188" s="396" t="s">
        <v>1</v>
      </c>
      <c r="W188" s="396" t="s">
        <v>1</v>
      </c>
      <c r="X188" s="396" t="s">
        <v>1</v>
      </c>
      <c r="Y188" s="396" t="s">
        <v>1</v>
      </c>
      <c r="Z188" s="396" t="s">
        <v>1</v>
      </c>
      <c r="AA188" s="396" t="s">
        <v>1</v>
      </c>
      <c r="AB188" s="396" t="s">
        <v>6600</v>
      </c>
      <c r="AC188" s="396" t="s">
        <v>6608</v>
      </c>
      <c r="AD188" s="396" t="s">
        <v>6608</v>
      </c>
      <c r="AE188" s="25" t="s">
        <v>9718</v>
      </c>
    </row>
    <row r="189" spans="1:36">
      <c r="A189" s="176"/>
      <c r="B189" s="176" t="s">
        <v>3077</v>
      </c>
      <c r="C189" s="184" t="s">
        <v>1691</v>
      </c>
      <c r="D189" s="178">
        <v>100</v>
      </c>
      <c r="E189" s="176" t="s">
        <v>5</v>
      </c>
      <c r="F189" s="178">
        <v>20</v>
      </c>
      <c r="G189" s="178"/>
      <c r="H189" s="185">
        <v>43818</v>
      </c>
      <c r="I189" s="176" t="s">
        <v>2877</v>
      </c>
      <c r="J189" s="176" t="s">
        <v>3076</v>
      </c>
      <c r="K189" s="176" t="s">
        <v>2045</v>
      </c>
      <c r="L189" s="176" t="s">
        <v>2850</v>
      </c>
      <c r="M189" s="176">
        <v>2013</v>
      </c>
      <c r="N189" s="176"/>
      <c r="O189" s="176" t="s">
        <v>3075</v>
      </c>
      <c r="P189" s="179" t="s">
        <v>1</v>
      </c>
      <c r="Q189" s="179" t="s">
        <v>1</v>
      </c>
      <c r="R189" s="179" t="s">
        <v>1</v>
      </c>
      <c r="S189" s="179" t="s">
        <v>1</v>
      </c>
      <c r="T189" s="179" t="s">
        <v>1</v>
      </c>
      <c r="U189" s="179" t="s">
        <v>1</v>
      </c>
      <c r="V189" s="179" t="s">
        <v>1</v>
      </c>
      <c r="W189" s="179" t="s">
        <v>1</v>
      </c>
      <c r="X189" s="179" t="s">
        <v>1</v>
      </c>
      <c r="Y189" s="179" t="s">
        <v>1</v>
      </c>
      <c r="Z189" s="179" t="s">
        <v>1</v>
      </c>
      <c r="AA189" s="179" t="s">
        <v>1</v>
      </c>
      <c r="AB189" s="176" t="s">
        <v>3074</v>
      </c>
      <c r="AC189" s="176"/>
      <c r="AD189" s="176"/>
      <c r="AE189" s="25" t="s">
        <v>5178</v>
      </c>
      <c r="AF189" s="348">
        <v>3.9455999999999998E-2</v>
      </c>
      <c r="AG189" s="68">
        <v>0.16805555555555554</v>
      </c>
      <c r="AH189" s="357">
        <v>7.3263999999999996E-2</v>
      </c>
      <c r="AI189" s="362">
        <v>0.19236111111111112</v>
      </c>
      <c r="AJ189" s="368">
        <f t="shared" si="2"/>
        <v>0.85685320356853212</v>
      </c>
    </row>
    <row r="190" spans="1:36">
      <c r="B190" s="12" t="s">
        <v>3163</v>
      </c>
      <c r="C190" s="29" t="s">
        <v>1691</v>
      </c>
      <c r="D190" s="15">
        <v>100</v>
      </c>
      <c r="E190" s="12" t="s">
        <v>5</v>
      </c>
      <c r="F190" s="15">
        <v>25</v>
      </c>
      <c r="G190" s="74">
        <f>+F190</f>
        <v>25</v>
      </c>
      <c r="H190" s="14">
        <v>44013</v>
      </c>
      <c r="I190" s="12" t="s">
        <v>3144</v>
      </c>
      <c r="J190" s="12" t="s">
        <v>3162</v>
      </c>
      <c r="K190" s="12" t="s">
        <v>2569</v>
      </c>
      <c r="L190" s="12" t="s">
        <v>2056</v>
      </c>
      <c r="M190" s="35" t="s">
        <v>3129</v>
      </c>
      <c r="O190" s="72" t="s">
        <v>1</v>
      </c>
      <c r="P190" s="72" t="s">
        <v>1</v>
      </c>
      <c r="Q190" s="72" t="s">
        <v>1</v>
      </c>
      <c r="R190" s="72" t="s">
        <v>1</v>
      </c>
      <c r="S190" s="72" t="s">
        <v>1</v>
      </c>
      <c r="T190" s="72" t="s">
        <v>1</v>
      </c>
      <c r="U190" s="72" t="s">
        <v>1</v>
      </c>
      <c r="V190" s="72" t="s">
        <v>1</v>
      </c>
      <c r="W190" s="72" t="s">
        <v>1</v>
      </c>
      <c r="X190" s="72" t="s">
        <v>1</v>
      </c>
      <c r="Y190" s="72" t="s">
        <v>1</v>
      </c>
      <c r="Z190" s="72" t="s">
        <v>1</v>
      </c>
      <c r="AA190" s="72" t="s">
        <v>1</v>
      </c>
      <c r="AB190" s="72" t="s">
        <v>2362</v>
      </c>
      <c r="AE190" s="25" t="s">
        <v>5146</v>
      </c>
      <c r="AF190" s="348">
        <v>2.2461999999999999E-2</v>
      </c>
      <c r="AG190" s="68">
        <v>3.0555555555555555E-2</v>
      </c>
      <c r="AH190" s="357">
        <v>3.8792E-2</v>
      </c>
      <c r="AI190" s="341">
        <v>0.1361111111111111</v>
      </c>
      <c r="AJ190" s="368">
        <f t="shared" si="2"/>
        <v>0.72700560947377801</v>
      </c>
    </row>
    <row r="191" spans="1:36" s="152" customFormat="1">
      <c r="A191" s="72"/>
      <c r="B191" s="72" t="s">
        <v>3195</v>
      </c>
      <c r="C191" s="73" t="s">
        <v>1691</v>
      </c>
      <c r="D191" s="74">
        <v>100</v>
      </c>
      <c r="E191" s="72" t="s">
        <v>5</v>
      </c>
      <c r="F191" s="74">
        <v>28</v>
      </c>
      <c r="G191" s="74">
        <f>+F191</f>
        <v>28</v>
      </c>
      <c r="H191" s="27">
        <v>44442</v>
      </c>
      <c r="I191" s="72" t="s">
        <v>3194</v>
      </c>
      <c r="J191" s="72"/>
      <c r="K191" s="72" t="s">
        <v>3193</v>
      </c>
      <c r="L191" s="72" t="s">
        <v>3193</v>
      </c>
      <c r="M191" s="84" t="s">
        <v>3129</v>
      </c>
      <c r="N191" s="72"/>
      <c r="O191" s="72" t="s">
        <v>3192</v>
      </c>
      <c r="P191" s="76" t="s">
        <v>1</v>
      </c>
      <c r="Q191" s="76" t="s">
        <v>1</v>
      </c>
      <c r="R191" s="76" t="s">
        <v>1</v>
      </c>
      <c r="S191" s="76" t="s">
        <v>1</v>
      </c>
      <c r="T191" s="76" t="s">
        <v>1</v>
      </c>
      <c r="U191" s="76" t="s">
        <v>1</v>
      </c>
      <c r="V191" s="76" t="s">
        <v>1</v>
      </c>
      <c r="W191" s="76" t="s">
        <v>1</v>
      </c>
      <c r="X191" s="76" t="s">
        <v>1</v>
      </c>
      <c r="Y191" s="76" t="s">
        <v>1</v>
      </c>
      <c r="Z191" s="76" t="s">
        <v>1</v>
      </c>
      <c r="AA191" s="76" t="s">
        <v>1</v>
      </c>
      <c r="AB191" s="72" t="s">
        <v>2268</v>
      </c>
      <c r="AC191" s="72"/>
      <c r="AD191" s="72"/>
      <c r="AE191" s="25" t="s">
        <v>5137</v>
      </c>
      <c r="AF191" s="348">
        <v>2.2341E-2</v>
      </c>
      <c r="AG191" s="68">
        <v>3.8194444444444441E-2</v>
      </c>
      <c r="AH191" s="357">
        <v>1.6976000000000002E-2</v>
      </c>
      <c r="AI191" s="341">
        <v>8.6805555555555552E-2</v>
      </c>
      <c r="AJ191" s="368">
        <f t="shared" si="2"/>
        <v>-0.24014144398191661</v>
      </c>
    </row>
    <row r="192" spans="1:36">
      <c r="B192" s="72" t="s">
        <v>1145</v>
      </c>
      <c r="C192" s="73" t="s">
        <v>1691</v>
      </c>
      <c r="D192" s="74">
        <v>100</v>
      </c>
      <c r="E192" s="72" t="s">
        <v>4</v>
      </c>
      <c r="F192" s="74">
        <v>50</v>
      </c>
      <c r="G192" s="74">
        <f>+F192</f>
        <v>50</v>
      </c>
      <c r="H192" s="77">
        <v>45062</v>
      </c>
      <c r="I192" s="72" t="s">
        <v>3289</v>
      </c>
      <c r="J192" s="72" t="s">
        <v>3288</v>
      </c>
      <c r="K192" s="32" t="s">
        <v>2045</v>
      </c>
      <c r="L192" s="32" t="s">
        <v>2062</v>
      </c>
      <c r="M192" s="86" t="s">
        <v>3287</v>
      </c>
      <c r="O192" s="72" t="s">
        <v>3286</v>
      </c>
      <c r="P192" s="76" t="s">
        <v>1</v>
      </c>
      <c r="Q192" s="76" t="s">
        <v>1</v>
      </c>
      <c r="R192" s="76" t="s">
        <v>1</v>
      </c>
      <c r="S192" s="76" t="s">
        <v>1</v>
      </c>
      <c r="T192" s="76" t="s">
        <v>1</v>
      </c>
      <c r="U192" s="76" t="s">
        <v>1</v>
      </c>
      <c r="V192" s="76" t="s">
        <v>1</v>
      </c>
      <c r="W192" s="76" t="s">
        <v>1</v>
      </c>
      <c r="X192" s="76" t="s">
        <v>1</v>
      </c>
      <c r="Y192" s="76" t="s">
        <v>1</v>
      </c>
      <c r="Z192" s="76" t="s">
        <v>1</v>
      </c>
      <c r="AA192" s="76" t="s">
        <v>1</v>
      </c>
      <c r="AB192" s="72" t="s">
        <v>3285</v>
      </c>
      <c r="AE192" s="25" t="s">
        <v>5108</v>
      </c>
      <c r="AF192" s="348">
        <v>1.9050000000000001E-2</v>
      </c>
      <c r="AG192" s="68">
        <v>0.11319444444444444</v>
      </c>
      <c r="AH192" s="357">
        <v>1.1067E-2</v>
      </c>
      <c r="AI192" s="341">
        <v>9.7916666666666666E-2</v>
      </c>
      <c r="AJ192" s="368">
        <f t="shared" si="2"/>
        <v>-0.41905511811023621</v>
      </c>
    </row>
    <row r="193" spans="1:36">
      <c r="B193" s="72" t="s">
        <v>689</v>
      </c>
      <c r="C193" s="73" t="s">
        <v>1691</v>
      </c>
      <c r="D193" s="74">
        <v>100</v>
      </c>
      <c r="E193" s="72" t="s">
        <v>5</v>
      </c>
      <c r="F193" s="74">
        <f>12.2+16.3</f>
        <v>28.5</v>
      </c>
      <c r="G193" s="74">
        <f>+F193</f>
        <v>28.5</v>
      </c>
      <c r="H193" s="77">
        <v>45077</v>
      </c>
      <c r="I193" s="72" t="s">
        <v>3161</v>
      </c>
      <c r="J193" s="72" t="s">
        <v>3160</v>
      </c>
      <c r="K193" s="72" t="s">
        <v>2045</v>
      </c>
      <c r="L193" s="72" t="s">
        <v>2056</v>
      </c>
      <c r="M193" s="72">
        <v>2021</v>
      </c>
      <c r="O193" s="72" t="s">
        <v>3159</v>
      </c>
      <c r="P193" s="76" t="s">
        <v>1</v>
      </c>
      <c r="Q193" s="76" t="s">
        <v>1</v>
      </c>
      <c r="R193" s="76" t="s">
        <v>1</v>
      </c>
      <c r="S193" s="76" t="s">
        <v>1</v>
      </c>
      <c r="T193" s="76" t="s">
        <v>1</v>
      </c>
      <c r="U193" s="76" t="s">
        <v>1</v>
      </c>
      <c r="V193" s="76" t="s">
        <v>1</v>
      </c>
      <c r="W193" s="76" t="s">
        <v>1</v>
      </c>
      <c r="X193" s="76" t="s">
        <v>1</v>
      </c>
      <c r="Y193" s="76" t="s">
        <v>1</v>
      </c>
      <c r="Z193" s="76" t="s">
        <v>1</v>
      </c>
      <c r="AA193" s="76" t="s">
        <v>1</v>
      </c>
      <c r="AB193" s="72" t="s">
        <v>2362</v>
      </c>
      <c r="AE193" s="25" t="s">
        <v>5147</v>
      </c>
      <c r="AF193" s="348">
        <v>1.7419E-2</v>
      </c>
      <c r="AG193" s="68">
        <v>0.11666666666666665</v>
      </c>
      <c r="AH193" s="357">
        <v>4.5483999999999997E-2</v>
      </c>
      <c r="AI193" s="341">
        <v>1.8749999999999999E-2</v>
      </c>
      <c r="AJ193" s="368">
        <f t="shared" si="2"/>
        <v>1.6111717090533322</v>
      </c>
    </row>
    <row r="194" spans="1:36">
      <c r="A194" s="176"/>
      <c r="B194" s="176" t="s">
        <v>5152</v>
      </c>
      <c r="C194" s="184" t="s">
        <v>1691</v>
      </c>
      <c r="D194" s="177">
        <v>100</v>
      </c>
      <c r="E194" s="176" t="s">
        <v>5</v>
      </c>
      <c r="F194" s="177">
        <v>25</v>
      </c>
      <c r="G194" s="177">
        <f>F194</f>
        <v>25</v>
      </c>
      <c r="H194" s="77">
        <v>44699</v>
      </c>
      <c r="I194" s="176" t="s">
        <v>3144</v>
      </c>
      <c r="J194" s="176" t="s">
        <v>3143</v>
      </c>
      <c r="K194" s="176" t="s">
        <v>2569</v>
      </c>
      <c r="L194" s="176" t="s">
        <v>2056</v>
      </c>
      <c r="M194" s="187" t="s">
        <v>2982</v>
      </c>
      <c r="N194" s="176"/>
      <c r="O194" s="176" t="s">
        <v>3142</v>
      </c>
      <c r="P194" s="176" t="s">
        <v>1</v>
      </c>
      <c r="Q194" s="176" t="s">
        <v>1</v>
      </c>
      <c r="R194" s="176" t="s">
        <v>1</v>
      </c>
      <c r="S194" s="176" t="s">
        <v>1</v>
      </c>
      <c r="T194" s="176" t="s">
        <v>1</v>
      </c>
      <c r="U194" s="176" t="s">
        <v>1</v>
      </c>
      <c r="V194" s="176" t="s">
        <v>1</v>
      </c>
      <c r="W194" s="176" t="s">
        <v>1</v>
      </c>
      <c r="X194" s="176" t="s">
        <v>1</v>
      </c>
      <c r="Y194" s="176" t="s">
        <v>1</v>
      </c>
      <c r="Z194" s="176" t="s">
        <v>1</v>
      </c>
      <c r="AA194" s="176" t="s">
        <v>1</v>
      </c>
      <c r="AB194" s="176" t="s">
        <v>2362</v>
      </c>
      <c r="AC194" s="176"/>
      <c r="AD194" s="176"/>
      <c r="AE194" s="186" t="s">
        <v>5153</v>
      </c>
      <c r="AF194" s="348">
        <v>1.2933E-2</v>
      </c>
      <c r="AG194" s="68">
        <v>0</v>
      </c>
      <c r="AH194" s="357">
        <v>1.5520000000000001E-2</v>
      </c>
      <c r="AI194" s="362">
        <v>9.2361111111111116E-2</v>
      </c>
      <c r="AJ194" s="368">
        <f t="shared" si="2"/>
        <v>0.2000309286321813</v>
      </c>
    </row>
    <row r="195" spans="1:36">
      <c r="B195" s="72" t="s">
        <v>3165</v>
      </c>
      <c r="C195" s="73" t="s">
        <v>1691</v>
      </c>
      <c r="D195" s="74">
        <v>100</v>
      </c>
      <c r="E195" s="72" t="s">
        <v>1</v>
      </c>
      <c r="F195" s="74">
        <v>26</v>
      </c>
      <c r="G195" s="74">
        <f>+F195</f>
        <v>26</v>
      </c>
      <c r="H195" s="27">
        <v>43852</v>
      </c>
      <c r="I195" s="72" t="s">
        <v>3164</v>
      </c>
      <c r="K195" s="72" t="s">
        <v>2045</v>
      </c>
      <c r="L195" s="72" t="s">
        <v>2230</v>
      </c>
      <c r="M195" s="84">
        <v>43374</v>
      </c>
      <c r="O195" s="72" t="s">
        <v>1</v>
      </c>
      <c r="P195" s="72" t="s">
        <v>1</v>
      </c>
      <c r="Q195" s="72" t="s">
        <v>1</v>
      </c>
      <c r="R195" s="72" t="s">
        <v>1</v>
      </c>
      <c r="S195" s="72" t="s">
        <v>1</v>
      </c>
      <c r="T195" s="72" t="s">
        <v>1</v>
      </c>
      <c r="U195" s="72" t="s">
        <v>1</v>
      </c>
      <c r="V195" s="72" t="s">
        <v>1</v>
      </c>
      <c r="W195" s="72" t="s">
        <v>1</v>
      </c>
      <c r="X195" s="72" t="s">
        <v>1</v>
      </c>
      <c r="Y195" s="72" t="s">
        <v>1</v>
      </c>
      <c r="Z195" s="72" t="s">
        <v>1</v>
      </c>
      <c r="AA195" s="72" t="s">
        <v>1</v>
      </c>
      <c r="AB195" s="72" t="s">
        <v>2362</v>
      </c>
      <c r="AE195" s="25" t="s">
        <v>5145</v>
      </c>
      <c r="AF195" s="348">
        <v>1.2711999999999999E-2</v>
      </c>
      <c r="AG195" s="68">
        <v>2.013888888888889E-2</v>
      </c>
      <c r="AH195" s="357">
        <v>5.0000000000000001E-3</v>
      </c>
      <c r="AI195" s="341">
        <v>6.1111111111111109E-2</v>
      </c>
      <c r="AJ195" s="368">
        <f t="shared" si="2"/>
        <v>-0.60667086217747013</v>
      </c>
    </row>
    <row r="196" spans="1:36">
      <c r="A196" s="176"/>
      <c r="B196" s="176" t="s">
        <v>730</v>
      </c>
      <c r="C196" s="184" t="s">
        <v>1691</v>
      </c>
      <c r="D196" s="178">
        <v>100</v>
      </c>
      <c r="E196" s="176" t="s">
        <v>5</v>
      </c>
      <c r="F196" s="178">
        <v>25</v>
      </c>
      <c r="G196" s="178"/>
      <c r="H196" s="185">
        <v>44757</v>
      </c>
      <c r="I196" s="176" t="s">
        <v>3098</v>
      </c>
      <c r="J196" s="176"/>
      <c r="K196" s="176" t="s">
        <v>2045</v>
      </c>
      <c r="L196" s="176" t="s">
        <v>3097</v>
      </c>
      <c r="M196" s="188" t="s">
        <v>2982</v>
      </c>
      <c r="N196" s="176"/>
      <c r="O196" s="176" t="s">
        <v>3096</v>
      </c>
      <c r="P196" s="179" t="s">
        <v>4</v>
      </c>
      <c r="Q196" s="179">
        <v>4</v>
      </c>
      <c r="R196" s="179" t="s">
        <v>3095</v>
      </c>
      <c r="S196" s="179" t="s">
        <v>4</v>
      </c>
      <c r="T196" s="179">
        <v>1.5</v>
      </c>
      <c r="U196" s="179" t="s">
        <v>3094</v>
      </c>
      <c r="V196" s="179" t="s">
        <v>1</v>
      </c>
      <c r="W196" s="179" t="s">
        <v>1</v>
      </c>
      <c r="X196" s="179" t="s">
        <v>1</v>
      </c>
      <c r="Y196" s="179" t="s">
        <v>1</v>
      </c>
      <c r="Z196" s="179" t="s">
        <v>1</v>
      </c>
      <c r="AA196" s="179" t="s">
        <v>1</v>
      </c>
      <c r="AB196" s="176" t="s">
        <v>2900</v>
      </c>
      <c r="AC196" s="176"/>
      <c r="AD196" s="176"/>
      <c r="AE196" s="25" t="s">
        <v>5175</v>
      </c>
      <c r="AF196" s="348">
        <v>1.0973999999999999E-2</v>
      </c>
      <c r="AG196" s="68">
        <v>3.6111111111111115E-2</v>
      </c>
      <c r="AH196" s="357">
        <v>5.0000000000000001E-3</v>
      </c>
      <c r="AI196" s="362">
        <v>0.12708333333333333</v>
      </c>
      <c r="AJ196" s="368">
        <f t="shared" si="2"/>
        <v>-0.54437761982868593</v>
      </c>
    </row>
    <row r="197" spans="1:36">
      <c r="A197" s="176"/>
      <c r="B197" s="176" t="s">
        <v>584</v>
      </c>
      <c r="C197" s="184" t="s">
        <v>1691</v>
      </c>
      <c r="D197" s="178">
        <v>100</v>
      </c>
      <c r="E197" s="176" t="s">
        <v>5</v>
      </c>
      <c r="F197" s="178">
        <v>20</v>
      </c>
      <c r="G197" s="178"/>
      <c r="H197" s="185">
        <v>44801</v>
      </c>
      <c r="I197" s="176" t="s">
        <v>3073</v>
      </c>
      <c r="J197" s="176" t="s">
        <v>3072</v>
      </c>
      <c r="K197" s="176" t="s">
        <v>2045</v>
      </c>
      <c r="L197" s="176" t="s">
        <v>3071</v>
      </c>
      <c r="M197" s="176">
        <v>2021</v>
      </c>
      <c r="N197" s="176"/>
      <c r="O197" s="176" t="s">
        <v>3070</v>
      </c>
      <c r="P197" s="179" t="s">
        <v>278</v>
      </c>
      <c r="Q197" s="179">
        <v>0.125</v>
      </c>
      <c r="R197" s="179" t="s">
        <v>1068</v>
      </c>
      <c r="S197" s="179" t="s">
        <v>1</v>
      </c>
      <c r="T197" s="179" t="s">
        <v>1</v>
      </c>
      <c r="U197" s="179" t="s">
        <v>1</v>
      </c>
      <c r="V197" s="179" t="s">
        <v>1</v>
      </c>
      <c r="W197" s="179" t="s">
        <v>1</v>
      </c>
      <c r="X197" s="179" t="s">
        <v>1</v>
      </c>
      <c r="Y197" s="179" t="s">
        <v>1</v>
      </c>
      <c r="Z197" s="179" t="s">
        <v>1</v>
      </c>
      <c r="AA197" s="179" t="s">
        <v>1</v>
      </c>
      <c r="AB197" s="176" t="s">
        <v>2048</v>
      </c>
      <c r="AC197" s="176"/>
      <c r="AD197" s="176"/>
      <c r="AE197" s="25" t="s">
        <v>5179</v>
      </c>
      <c r="AF197" s="348">
        <v>1.0630000000000001E-2</v>
      </c>
      <c r="AG197" s="68">
        <v>0.15625</v>
      </c>
      <c r="AH197" s="357">
        <v>1.4243E-2</v>
      </c>
      <c r="AI197" s="362">
        <v>8.4722222222222227E-2</v>
      </c>
      <c r="AJ197" s="368">
        <f t="shared" si="2"/>
        <v>0.3398871119473188</v>
      </c>
    </row>
    <row r="198" spans="1:36">
      <c r="B198" s="72" t="s">
        <v>1008</v>
      </c>
      <c r="C198" s="73" t="s">
        <v>1691</v>
      </c>
      <c r="D198" s="74">
        <v>100</v>
      </c>
      <c r="E198" s="72" t="s">
        <v>7</v>
      </c>
      <c r="F198" s="74">
        <v>30</v>
      </c>
      <c r="G198" s="74">
        <f>+F198+Q198+T198</f>
        <v>44</v>
      </c>
      <c r="H198" s="27">
        <v>44539</v>
      </c>
      <c r="I198" s="72" t="s">
        <v>3228</v>
      </c>
      <c r="J198" s="72" t="s">
        <v>3227</v>
      </c>
      <c r="K198" s="72" t="s">
        <v>2045</v>
      </c>
      <c r="L198" s="72" t="s">
        <v>2056</v>
      </c>
      <c r="M198" s="84" t="s">
        <v>2982</v>
      </c>
      <c r="O198" s="72" t="s">
        <v>3226</v>
      </c>
      <c r="P198" s="76" t="s">
        <v>5</v>
      </c>
      <c r="Q198" s="76">
        <v>11</v>
      </c>
      <c r="R198" s="76" t="s">
        <v>3225</v>
      </c>
      <c r="S198" s="76" t="s">
        <v>4</v>
      </c>
      <c r="T198" s="76">
        <v>3</v>
      </c>
      <c r="U198" s="76" t="s">
        <v>3224</v>
      </c>
      <c r="V198" s="76" t="s">
        <v>1</v>
      </c>
      <c r="W198" s="76" t="s">
        <v>1</v>
      </c>
      <c r="X198" s="76" t="s">
        <v>1</v>
      </c>
      <c r="Y198" s="76" t="s">
        <v>1</v>
      </c>
      <c r="Z198" s="76" t="s">
        <v>1</v>
      </c>
      <c r="AA198" s="76" t="s">
        <v>1</v>
      </c>
      <c r="AB198" s="72" t="s">
        <v>2362</v>
      </c>
      <c r="AE198" s="25" t="s">
        <v>5124</v>
      </c>
      <c r="AF198" s="348">
        <v>1.0409E-2</v>
      </c>
      <c r="AG198" s="68">
        <v>7.2916666666666671E-2</v>
      </c>
      <c r="AH198" s="357">
        <v>8.5950000000000002E-3</v>
      </c>
      <c r="AI198" s="341">
        <v>0.27013888888888887</v>
      </c>
      <c r="AJ198" s="368">
        <f t="shared" si="2"/>
        <v>-0.17427226438658849</v>
      </c>
    </row>
    <row r="199" spans="1:36">
      <c r="A199" s="176"/>
      <c r="B199" s="176" t="s">
        <v>2580</v>
      </c>
      <c r="C199" s="184" t="s">
        <v>1691</v>
      </c>
      <c r="D199" s="178" t="s">
        <v>1</v>
      </c>
      <c r="E199" s="178" t="s">
        <v>1</v>
      </c>
      <c r="F199" s="178" t="s">
        <v>1</v>
      </c>
      <c r="G199" s="178">
        <v>0</v>
      </c>
      <c r="H199" s="178" t="s">
        <v>1</v>
      </c>
      <c r="I199" s="189" t="s">
        <v>2579</v>
      </c>
      <c r="J199" s="189" t="s">
        <v>2578</v>
      </c>
      <c r="K199" s="189" t="s">
        <v>2308</v>
      </c>
      <c r="L199" s="189" t="s">
        <v>2567</v>
      </c>
      <c r="M199" s="176">
        <v>2023</v>
      </c>
      <c r="N199" s="176" t="s">
        <v>2577</v>
      </c>
      <c r="O199" s="176" t="s">
        <v>1</v>
      </c>
      <c r="P199" s="176" t="s">
        <v>1</v>
      </c>
      <c r="Q199" s="176" t="s">
        <v>1</v>
      </c>
      <c r="R199" s="176" t="s">
        <v>1</v>
      </c>
      <c r="S199" s="176" t="s">
        <v>1</v>
      </c>
      <c r="T199" s="176" t="s">
        <v>1</v>
      </c>
      <c r="U199" s="176" t="s">
        <v>1</v>
      </c>
      <c r="V199" s="176" t="s">
        <v>1</v>
      </c>
      <c r="W199" s="176" t="s">
        <v>1</v>
      </c>
      <c r="X199" s="176" t="s">
        <v>1</v>
      </c>
      <c r="Y199" s="176" t="s">
        <v>1</v>
      </c>
      <c r="Z199" s="176" t="s">
        <v>1</v>
      </c>
      <c r="AA199" s="176" t="s">
        <v>1</v>
      </c>
      <c r="AB199" s="176" t="s">
        <v>1</v>
      </c>
      <c r="AC199" s="176"/>
      <c r="AD199" s="176"/>
      <c r="AE199" s="25" t="s">
        <v>5022</v>
      </c>
      <c r="AF199" s="65">
        <v>4.9059999999999997</v>
      </c>
      <c r="AG199" s="70">
        <v>0.6</v>
      </c>
      <c r="AH199" s="363">
        <v>16.059999999999999</v>
      </c>
      <c r="AI199" s="364">
        <v>0.90763888888888888</v>
      </c>
      <c r="AJ199" s="368">
        <f t="shared" si="2"/>
        <v>2.2735426008968611</v>
      </c>
    </row>
    <row r="200" spans="1:36">
      <c r="B200" s="72" t="s">
        <v>2545</v>
      </c>
      <c r="C200" s="73" t="s">
        <v>1691</v>
      </c>
      <c r="D200" s="74" t="s">
        <v>1</v>
      </c>
      <c r="E200" s="74" t="s">
        <v>1</v>
      </c>
      <c r="F200" s="74" t="s">
        <v>1</v>
      </c>
      <c r="G200" s="74">
        <v>0</v>
      </c>
      <c r="H200" s="74" t="s">
        <v>1</v>
      </c>
      <c r="I200" s="72" t="s">
        <v>2544</v>
      </c>
      <c r="K200" s="72" t="s">
        <v>2308</v>
      </c>
      <c r="L200" s="72" t="s">
        <v>2543</v>
      </c>
      <c r="M200" s="72">
        <v>2021</v>
      </c>
      <c r="O200" s="72" t="s">
        <v>1</v>
      </c>
      <c r="P200" s="72" t="s">
        <v>1</v>
      </c>
      <c r="Q200" s="72" t="s">
        <v>1</v>
      </c>
      <c r="R200" s="72" t="s">
        <v>1</v>
      </c>
      <c r="S200" s="72" t="s">
        <v>1</v>
      </c>
      <c r="T200" s="72" t="s">
        <v>1</v>
      </c>
      <c r="U200" s="72" t="s">
        <v>1</v>
      </c>
      <c r="V200" s="72" t="s">
        <v>1</v>
      </c>
      <c r="W200" s="72" t="s">
        <v>1</v>
      </c>
      <c r="X200" s="72" t="s">
        <v>1</v>
      </c>
      <c r="Y200" s="72" t="s">
        <v>1</v>
      </c>
      <c r="Z200" s="72" t="s">
        <v>1</v>
      </c>
      <c r="AA200" s="72" t="s">
        <v>1</v>
      </c>
      <c r="AB200" s="165" t="s">
        <v>6600</v>
      </c>
      <c r="AC200" s="165" t="s">
        <v>2690</v>
      </c>
      <c r="AD200" s="165" t="s">
        <v>6638</v>
      </c>
      <c r="AE200" s="25" t="s">
        <v>5021</v>
      </c>
      <c r="AF200" s="63">
        <v>4.7149999999999999</v>
      </c>
      <c r="AG200" s="68">
        <v>0.63541666666666663</v>
      </c>
      <c r="AH200" s="363">
        <v>5.5860000000000003</v>
      </c>
      <c r="AI200" s="341">
        <v>0.49583333333333335</v>
      </c>
      <c r="AJ200" s="368">
        <f t="shared" ref="AJ200:AJ206" si="3">+AH200/AF200-1</f>
        <v>0.18472958642629922</v>
      </c>
    </row>
    <row r="201" spans="1:36">
      <c r="B201" s="72" t="s">
        <v>2576</v>
      </c>
      <c r="C201" s="73" t="s">
        <v>1691</v>
      </c>
      <c r="D201" s="74" t="s">
        <v>1</v>
      </c>
      <c r="E201" s="74" t="s">
        <v>1</v>
      </c>
      <c r="F201" s="74" t="s">
        <v>1</v>
      </c>
      <c r="H201" s="74" t="s">
        <v>1</v>
      </c>
      <c r="I201" s="72" t="s">
        <v>2575</v>
      </c>
      <c r="K201" s="72" t="s">
        <v>2308</v>
      </c>
      <c r="L201" s="72" t="s">
        <v>2561</v>
      </c>
      <c r="M201" s="72">
        <v>2023</v>
      </c>
      <c r="O201" s="72" t="s">
        <v>1</v>
      </c>
      <c r="P201" s="72" t="s">
        <v>1</v>
      </c>
      <c r="Q201" s="72" t="s">
        <v>1</v>
      </c>
      <c r="R201" s="72" t="s">
        <v>1</v>
      </c>
      <c r="S201" s="72" t="s">
        <v>1</v>
      </c>
      <c r="T201" s="72" t="s">
        <v>1</v>
      </c>
      <c r="U201" s="72" t="s">
        <v>1</v>
      </c>
      <c r="V201" s="72" t="s">
        <v>1</v>
      </c>
      <c r="W201" s="72" t="s">
        <v>1</v>
      </c>
      <c r="X201" s="72" t="s">
        <v>1</v>
      </c>
      <c r="Y201" s="72" t="s">
        <v>1</v>
      </c>
      <c r="Z201" s="72" t="s">
        <v>1</v>
      </c>
      <c r="AA201" s="72" t="s">
        <v>1</v>
      </c>
      <c r="AB201" s="72" t="s">
        <v>1</v>
      </c>
      <c r="AE201" s="25" t="s">
        <v>5024</v>
      </c>
      <c r="AF201" s="357">
        <v>0.46637099999999998</v>
      </c>
      <c r="AG201" s="68">
        <v>0.54583333333333328</v>
      </c>
      <c r="AH201" s="357">
        <v>0.34075100000000003</v>
      </c>
      <c r="AI201" s="341">
        <v>0.29097222222222224</v>
      </c>
      <c r="AJ201" s="368">
        <f t="shared" si="3"/>
        <v>-0.26935637078634811</v>
      </c>
    </row>
    <row r="202" spans="1:36">
      <c r="B202" s="72" t="s">
        <v>2563</v>
      </c>
      <c r="C202" s="73" t="s">
        <v>1691</v>
      </c>
      <c r="D202" s="74" t="s">
        <v>1</v>
      </c>
      <c r="E202" s="74" t="s">
        <v>1</v>
      </c>
      <c r="F202" s="74" t="s">
        <v>1</v>
      </c>
      <c r="H202" s="74" t="s">
        <v>1</v>
      </c>
      <c r="I202" s="72" t="s">
        <v>2562</v>
      </c>
      <c r="K202" s="72" t="s">
        <v>2308</v>
      </c>
      <c r="L202" s="72" t="s">
        <v>2561</v>
      </c>
      <c r="M202" s="72">
        <v>2020</v>
      </c>
      <c r="O202" s="72" t="s">
        <v>1</v>
      </c>
      <c r="P202" s="72" t="s">
        <v>1</v>
      </c>
      <c r="Q202" s="72" t="s">
        <v>1</v>
      </c>
      <c r="R202" s="72" t="s">
        <v>1</v>
      </c>
      <c r="S202" s="72" t="s">
        <v>1</v>
      </c>
      <c r="T202" s="72" t="s">
        <v>1</v>
      </c>
      <c r="U202" s="72" t="s">
        <v>1</v>
      </c>
      <c r="V202" s="72" t="s">
        <v>1</v>
      </c>
      <c r="W202" s="72" t="s">
        <v>1</v>
      </c>
      <c r="X202" s="72" t="s">
        <v>1</v>
      </c>
      <c r="Y202" s="72" t="s">
        <v>1</v>
      </c>
      <c r="Z202" s="72" t="s">
        <v>1</v>
      </c>
      <c r="AA202" s="72" t="s">
        <v>1</v>
      </c>
      <c r="AB202" s="165" t="s">
        <v>6625</v>
      </c>
      <c r="AD202" s="165" t="s">
        <v>2094</v>
      </c>
      <c r="AE202" s="25" t="s">
        <v>5018</v>
      </c>
      <c r="AF202" s="357">
        <v>0.76458899999999996</v>
      </c>
      <c r="AG202" s="68">
        <v>0.1451388888888889</v>
      </c>
      <c r="AH202" s="357">
        <v>0.55840599999999996</v>
      </c>
      <c r="AI202" s="341">
        <v>0.15069444444444444</v>
      </c>
      <c r="AJ202" s="368">
        <f t="shared" si="3"/>
        <v>-0.26966514035645295</v>
      </c>
    </row>
    <row r="203" spans="1:36">
      <c r="B203" s="72" t="s">
        <v>2573</v>
      </c>
      <c r="C203" s="73" t="s">
        <v>1691</v>
      </c>
      <c r="D203" s="74" t="s">
        <v>1</v>
      </c>
      <c r="E203" s="74" t="s">
        <v>1</v>
      </c>
      <c r="F203" s="74" t="s">
        <v>1</v>
      </c>
      <c r="H203" s="74" t="s">
        <v>1</v>
      </c>
      <c r="I203" s="72" t="s">
        <v>2556</v>
      </c>
      <c r="K203" s="72" t="s">
        <v>2308</v>
      </c>
      <c r="L203" s="72" t="s">
        <v>2556</v>
      </c>
      <c r="M203" s="72">
        <v>2021</v>
      </c>
      <c r="N203" s="72" t="s">
        <v>2572</v>
      </c>
      <c r="O203" s="72" t="s">
        <v>1</v>
      </c>
      <c r="P203" s="72" t="s">
        <v>1</v>
      </c>
      <c r="Q203" s="72" t="s">
        <v>1</v>
      </c>
      <c r="R203" s="72" t="s">
        <v>1</v>
      </c>
      <c r="S203" s="72" t="s">
        <v>1</v>
      </c>
      <c r="T203" s="72" t="s">
        <v>1</v>
      </c>
      <c r="U203" s="72" t="s">
        <v>1</v>
      </c>
      <c r="V203" s="72" t="s">
        <v>1</v>
      </c>
      <c r="W203" s="72" t="s">
        <v>1</v>
      </c>
      <c r="X203" s="72" t="s">
        <v>1</v>
      </c>
      <c r="Y203" s="72" t="s">
        <v>1</v>
      </c>
      <c r="Z203" s="72" t="s">
        <v>1</v>
      </c>
      <c r="AA203" s="72" t="s">
        <v>1</v>
      </c>
      <c r="AB203" s="72" t="s">
        <v>1</v>
      </c>
      <c r="AE203" s="25" t="s">
        <v>5026</v>
      </c>
      <c r="AF203" s="357">
        <v>0.15621099999999999</v>
      </c>
      <c r="AG203" s="68">
        <v>0.1076388888888889</v>
      </c>
      <c r="AH203" s="357">
        <v>8.0112000000000003E-2</v>
      </c>
      <c r="AI203" s="341">
        <v>8.5416666666666669E-2</v>
      </c>
      <c r="AJ203" s="368">
        <f t="shared" si="3"/>
        <v>-0.48715519393640649</v>
      </c>
    </row>
    <row r="204" spans="1:36">
      <c r="B204" s="72" t="s">
        <v>2542</v>
      </c>
      <c r="C204" s="73" t="s">
        <v>1691</v>
      </c>
      <c r="D204" s="74" t="s">
        <v>1</v>
      </c>
      <c r="E204" s="74" t="s">
        <v>1</v>
      </c>
      <c r="F204" s="74" t="s">
        <v>1</v>
      </c>
      <c r="G204" s="74">
        <v>0</v>
      </c>
      <c r="H204" s="74" t="s">
        <v>1</v>
      </c>
      <c r="I204" s="72" t="s">
        <v>2541</v>
      </c>
      <c r="K204" s="72" t="s">
        <v>2308</v>
      </c>
      <c r="L204" s="72" t="s">
        <v>2540</v>
      </c>
      <c r="M204" s="72">
        <v>2023</v>
      </c>
      <c r="O204" s="72" t="s">
        <v>1</v>
      </c>
      <c r="P204" s="72" t="s">
        <v>1</v>
      </c>
      <c r="Q204" s="72" t="s">
        <v>1</v>
      </c>
      <c r="R204" s="72" t="s">
        <v>1</v>
      </c>
      <c r="S204" s="72" t="s">
        <v>1</v>
      </c>
      <c r="T204" s="72" t="s">
        <v>1</v>
      </c>
      <c r="U204" s="72" t="s">
        <v>1</v>
      </c>
      <c r="V204" s="72" t="s">
        <v>1</v>
      </c>
      <c r="W204" s="72" t="s">
        <v>1</v>
      </c>
      <c r="X204" s="72" t="s">
        <v>1</v>
      </c>
      <c r="Y204" s="72" t="s">
        <v>1</v>
      </c>
      <c r="Z204" s="72" t="s">
        <v>1</v>
      </c>
      <c r="AA204" s="72" t="s">
        <v>1</v>
      </c>
      <c r="AB204" s="72" t="s">
        <v>1</v>
      </c>
      <c r="AE204" s="25" t="s">
        <v>5020</v>
      </c>
      <c r="AF204" s="63">
        <v>11.65</v>
      </c>
      <c r="AG204" s="68">
        <v>0.79861111111111116</v>
      </c>
      <c r="AH204" s="363">
        <v>5.2729999999999997</v>
      </c>
      <c r="AI204" s="341">
        <v>0.65625</v>
      </c>
      <c r="AJ204" s="368">
        <f t="shared" si="3"/>
        <v>-0.54738197424892709</v>
      </c>
    </row>
    <row r="205" spans="1:36">
      <c r="B205" s="72" t="s">
        <v>2568</v>
      </c>
      <c r="C205" s="73" t="s">
        <v>1691</v>
      </c>
      <c r="D205" s="74" t="s">
        <v>1</v>
      </c>
      <c r="E205" s="74" t="s">
        <v>1</v>
      </c>
      <c r="F205" s="74" t="s">
        <v>1</v>
      </c>
      <c r="G205" s="74">
        <v>0</v>
      </c>
      <c r="H205" s="74" t="s">
        <v>1</v>
      </c>
      <c r="K205" s="72" t="s">
        <v>2308</v>
      </c>
      <c r="L205" s="72" t="s">
        <v>2567</v>
      </c>
      <c r="M205" s="72">
        <v>2023</v>
      </c>
      <c r="N205" s="72" t="s">
        <v>2566</v>
      </c>
      <c r="O205" s="80" t="s">
        <v>1</v>
      </c>
      <c r="P205" s="80" t="s">
        <v>1</v>
      </c>
      <c r="Q205" s="80" t="s">
        <v>1</v>
      </c>
      <c r="R205" s="80" t="s">
        <v>1</v>
      </c>
      <c r="S205" s="80" t="s">
        <v>1</v>
      </c>
      <c r="T205" s="80" t="s">
        <v>1</v>
      </c>
      <c r="U205" s="80" t="s">
        <v>1</v>
      </c>
      <c r="V205" s="80" t="s">
        <v>1</v>
      </c>
      <c r="W205" s="80" t="s">
        <v>1</v>
      </c>
      <c r="X205" s="80" t="s">
        <v>1</v>
      </c>
      <c r="Y205" s="80" t="s">
        <v>1</v>
      </c>
      <c r="Z205" s="80" t="s">
        <v>1</v>
      </c>
      <c r="AA205" s="80" t="s">
        <v>1</v>
      </c>
      <c r="AB205" s="80" t="s">
        <v>1</v>
      </c>
      <c r="AC205" s="80"/>
      <c r="AD205" s="80"/>
      <c r="AE205" s="25" t="s">
        <v>5023</v>
      </c>
      <c r="AF205" s="63">
        <v>2.6379999999999999</v>
      </c>
      <c r="AG205" s="68">
        <v>0.53194444444444444</v>
      </c>
      <c r="AH205" s="363">
        <v>14.18</v>
      </c>
      <c r="AI205" s="341">
        <v>0.76249999999999996</v>
      </c>
      <c r="AJ205" s="368">
        <f t="shared" si="3"/>
        <v>4.3752843062926461</v>
      </c>
    </row>
    <row r="206" spans="1:36">
      <c r="B206" s="72" t="s">
        <v>2555</v>
      </c>
      <c r="C206" s="73" t="s">
        <v>1691</v>
      </c>
      <c r="D206" s="74" t="s">
        <v>1</v>
      </c>
      <c r="E206" s="74" t="s">
        <v>1</v>
      </c>
      <c r="F206" s="74" t="s">
        <v>1</v>
      </c>
      <c r="H206" s="74" t="s">
        <v>1</v>
      </c>
      <c r="I206" s="72" t="s">
        <v>2554</v>
      </c>
      <c r="K206" s="72" t="s">
        <v>2308</v>
      </c>
      <c r="L206" s="72" t="s">
        <v>2467</v>
      </c>
      <c r="M206" s="75" t="s">
        <v>1</v>
      </c>
      <c r="O206" s="72" t="s">
        <v>1</v>
      </c>
      <c r="P206" s="72" t="s">
        <v>1</v>
      </c>
      <c r="Q206" s="72" t="s">
        <v>1</v>
      </c>
      <c r="R206" s="72" t="s">
        <v>1</v>
      </c>
      <c r="S206" s="72" t="s">
        <v>1</v>
      </c>
      <c r="T206" s="72" t="s">
        <v>1</v>
      </c>
      <c r="U206" s="72" t="s">
        <v>1</v>
      </c>
      <c r="V206" s="72" t="s">
        <v>1</v>
      </c>
      <c r="W206" s="72" t="s">
        <v>1</v>
      </c>
      <c r="X206" s="72" t="s">
        <v>1</v>
      </c>
      <c r="Y206" s="72" t="s">
        <v>1</v>
      </c>
      <c r="Z206" s="72" t="s">
        <v>1</v>
      </c>
      <c r="AA206" s="72" t="s">
        <v>1</v>
      </c>
      <c r="AB206" s="72" t="s">
        <v>1</v>
      </c>
      <c r="AE206" s="25" t="s">
        <v>5019</v>
      </c>
      <c r="AF206" s="357">
        <v>0.78598699999999999</v>
      </c>
      <c r="AG206" s="68">
        <v>0.35833333333333334</v>
      </c>
      <c r="AH206" s="357">
        <v>0.411526</v>
      </c>
      <c r="AI206" s="341">
        <v>0.19375000000000001</v>
      </c>
      <c r="AJ206" s="368">
        <f t="shared" si="3"/>
        <v>-0.47642136574777949</v>
      </c>
    </row>
    <row r="207" spans="1:36">
      <c r="A207" s="176"/>
      <c r="B207" s="176" t="s">
        <v>3093</v>
      </c>
      <c r="C207" s="184" t="s">
        <v>1691</v>
      </c>
      <c r="D207" s="178">
        <v>100</v>
      </c>
      <c r="E207" s="176" t="s">
        <v>4</v>
      </c>
      <c r="F207" s="178">
        <v>22.4</v>
      </c>
      <c r="G207" s="178"/>
      <c r="H207" s="185">
        <v>44553</v>
      </c>
      <c r="I207" s="176" t="s">
        <v>3092</v>
      </c>
      <c r="J207" s="176" t="s">
        <v>3091</v>
      </c>
      <c r="K207" s="176" t="s">
        <v>2045</v>
      </c>
      <c r="L207" s="176" t="s">
        <v>3090</v>
      </c>
      <c r="M207" s="176">
        <v>2019</v>
      </c>
      <c r="N207" s="176"/>
      <c r="O207" s="176" t="s">
        <v>3089</v>
      </c>
      <c r="P207" s="179" t="s">
        <v>1</v>
      </c>
      <c r="Q207" s="179" t="s">
        <v>1</v>
      </c>
      <c r="R207" s="179" t="s">
        <v>1</v>
      </c>
      <c r="S207" s="179" t="s">
        <v>1</v>
      </c>
      <c r="T207" s="179" t="s">
        <v>1</v>
      </c>
      <c r="U207" s="179" t="s">
        <v>1</v>
      </c>
      <c r="V207" s="179" t="s">
        <v>1</v>
      </c>
      <c r="W207" s="179" t="s">
        <v>1</v>
      </c>
      <c r="X207" s="179" t="s">
        <v>1</v>
      </c>
      <c r="Y207" s="179" t="s">
        <v>1</v>
      </c>
      <c r="Z207" s="179" t="s">
        <v>1</v>
      </c>
      <c r="AA207" s="179" t="s">
        <v>1</v>
      </c>
      <c r="AB207" s="176" t="s">
        <v>2163</v>
      </c>
      <c r="AC207" s="176"/>
      <c r="AD207" s="176"/>
      <c r="AE207" s="25" t="s">
        <v>5176</v>
      </c>
      <c r="AF207" s="357">
        <v>0</v>
      </c>
      <c r="AG207" s="68">
        <v>2.4305555555555556E-2</v>
      </c>
      <c r="AH207" s="357">
        <v>0</v>
      </c>
      <c r="AI207" s="335" t="s">
        <v>1</v>
      </c>
      <c r="AJ207" s="368"/>
    </row>
    <row r="208" spans="1:36">
      <c r="A208" s="176"/>
      <c r="B208" s="176" t="s">
        <v>95</v>
      </c>
      <c r="C208" s="184" t="s">
        <v>1691</v>
      </c>
      <c r="D208" s="178">
        <v>100</v>
      </c>
      <c r="E208" s="176" t="s">
        <v>7</v>
      </c>
      <c r="F208" s="178">
        <v>25</v>
      </c>
      <c r="G208" s="178"/>
      <c r="H208" s="185">
        <v>43783</v>
      </c>
      <c r="I208" s="176" t="s">
        <v>3084</v>
      </c>
      <c r="J208" s="176" t="s">
        <v>3083</v>
      </c>
      <c r="K208" s="176" t="s">
        <v>2045</v>
      </c>
      <c r="L208" s="176" t="s">
        <v>2062</v>
      </c>
      <c r="M208" s="176">
        <v>2014</v>
      </c>
      <c r="N208" s="176"/>
      <c r="O208" s="176" t="s">
        <v>3082</v>
      </c>
      <c r="P208" s="179" t="s">
        <v>7</v>
      </c>
      <c r="Q208" s="179">
        <v>15</v>
      </c>
      <c r="R208" s="179" t="s">
        <v>3081</v>
      </c>
      <c r="S208" s="179" t="s">
        <v>5</v>
      </c>
      <c r="T208" s="179">
        <v>10</v>
      </c>
      <c r="U208" s="179" t="s">
        <v>3080</v>
      </c>
      <c r="V208" s="179" t="s">
        <v>4</v>
      </c>
      <c r="W208" s="179">
        <v>5</v>
      </c>
      <c r="X208" s="179" t="s">
        <v>3079</v>
      </c>
      <c r="Y208" s="179" t="s">
        <v>1</v>
      </c>
      <c r="Z208" s="179" t="s">
        <v>1</v>
      </c>
      <c r="AA208" s="179" t="s">
        <v>1</v>
      </c>
      <c r="AB208" s="176" t="s">
        <v>2048</v>
      </c>
      <c r="AC208" s="176"/>
      <c r="AD208" s="176"/>
      <c r="AE208" s="25" t="s">
        <v>3078</v>
      </c>
      <c r="AF208" s="342">
        <v>0</v>
      </c>
      <c r="AG208" s="62">
        <v>2.6388888888888889E-2</v>
      </c>
      <c r="AH208" s="342">
        <v>5.097E-3</v>
      </c>
      <c r="AI208" s="362">
        <v>6.6666666666666666E-2</v>
      </c>
      <c r="AJ208" s="368"/>
    </row>
    <row r="209" spans="1:36" s="216" customFormat="1">
      <c r="B209" s="216" t="s">
        <v>2029</v>
      </c>
      <c r="C209" s="215" t="s">
        <v>1691</v>
      </c>
      <c r="D209" s="221">
        <v>100</v>
      </c>
      <c r="E209" s="216" t="s">
        <v>5</v>
      </c>
      <c r="F209" s="221">
        <v>21</v>
      </c>
      <c r="G209" s="221">
        <f>F209+Q209</f>
        <v>26</v>
      </c>
      <c r="H209" s="222">
        <v>44515</v>
      </c>
      <c r="I209" s="216" t="s">
        <v>6679</v>
      </c>
      <c r="J209" s="216" t="s">
        <v>6677</v>
      </c>
      <c r="K209" s="216" t="s">
        <v>2045</v>
      </c>
      <c r="L209" s="216" t="s">
        <v>2265</v>
      </c>
      <c r="M209" s="226">
        <v>44073</v>
      </c>
      <c r="O209" s="216" t="s">
        <v>6680</v>
      </c>
      <c r="P209" s="217" t="s">
        <v>4</v>
      </c>
      <c r="Q209" s="217">
        <v>5</v>
      </c>
      <c r="R209" s="217" t="s">
        <v>6685</v>
      </c>
      <c r="S209" s="217" t="s">
        <v>1</v>
      </c>
      <c r="T209" s="217" t="s">
        <v>1</v>
      </c>
      <c r="U209" s="217" t="s">
        <v>1</v>
      </c>
      <c r="V209" s="217" t="s">
        <v>1</v>
      </c>
      <c r="W209" s="217" t="s">
        <v>1</v>
      </c>
      <c r="X209" s="217" t="s">
        <v>1</v>
      </c>
      <c r="Y209" s="217" t="s">
        <v>1</v>
      </c>
      <c r="Z209" s="217" t="s">
        <v>1</v>
      </c>
      <c r="AA209" s="217" t="s">
        <v>1</v>
      </c>
      <c r="AB209" s="216" t="s">
        <v>6600</v>
      </c>
      <c r="AC209" s="216" t="s">
        <v>6603</v>
      </c>
      <c r="AD209" s="216" t="s">
        <v>2362</v>
      </c>
      <c r="AE209" s="25" t="s">
        <v>6676</v>
      </c>
      <c r="AF209" s="344" t="s">
        <v>7145</v>
      </c>
      <c r="AG209" s="344" t="s">
        <v>7145</v>
      </c>
      <c r="AH209" s="58">
        <v>1.9910000000000001</v>
      </c>
      <c r="AI209" s="374">
        <v>0.10625</v>
      </c>
      <c r="AJ209" s="368"/>
    </row>
    <row r="210" spans="1:36" s="165" customFormat="1">
      <c r="A210" s="72"/>
      <c r="B210" s="176" t="s">
        <v>2027</v>
      </c>
      <c r="C210" s="184" t="s">
        <v>1691</v>
      </c>
      <c r="D210" s="178">
        <v>100</v>
      </c>
      <c r="E210" s="176" t="s">
        <v>5</v>
      </c>
      <c r="F210" s="178">
        <v>21</v>
      </c>
      <c r="G210" s="178">
        <f>F210+Q210</f>
        <v>26</v>
      </c>
      <c r="H210" s="185">
        <v>44334</v>
      </c>
      <c r="I210" s="176" t="s">
        <v>6701</v>
      </c>
      <c r="J210" s="176" t="s">
        <v>6702</v>
      </c>
      <c r="K210" s="176" t="s">
        <v>2045</v>
      </c>
      <c r="L210" s="176" t="s">
        <v>2056</v>
      </c>
      <c r="M210" s="176">
        <v>2020</v>
      </c>
      <c r="N210" s="176"/>
      <c r="O210" s="176" t="s">
        <v>6705</v>
      </c>
      <c r="P210" s="179" t="s">
        <v>4</v>
      </c>
      <c r="Q210" s="179">
        <v>5</v>
      </c>
      <c r="R210" s="179" t="s">
        <v>6711</v>
      </c>
      <c r="S210" s="179" t="s">
        <v>1</v>
      </c>
      <c r="T210" s="179" t="s">
        <v>1</v>
      </c>
      <c r="U210" s="179" t="s">
        <v>1</v>
      </c>
      <c r="V210" s="179" t="s">
        <v>1</v>
      </c>
      <c r="W210" s="179" t="s">
        <v>1</v>
      </c>
      <c r="X210" s="179" t="s">
        <v>1</v>
      </c>
      <c r="Y210" s="179" t="s">
        <v>1</v>
      </c>
      <c r="Z210" s="179" t="s">
        <v>1</v>
      </c>
      <c r="AA210" s="179" t="s">
        <v>1</v>
      </c>
      <c r="AB210" s="179" t="s">
        <v>1</v>
      </c>
      <c r="AC210" s="179" t="s">
        <v>1</v>
      </c>
      <c r="AD210" s="179" t="s">
        <v>1</v>
      </c>
      <c r="AE210" s="25" t="s">
        <v>6700</v>
      </c>
      <c r="AF210" s="344" t="s">
        <v>7145</v>
      </c>
      <c r="AG210" s="344" t="s">
        <v>7145</v>
      </c>
      <c r="AH210" s="348">
        <v>1.4322E-2</v>
      </c>
      <c r="AI210" s="362">
        <v>0.10555555555555556</v>
      </c>
      <c r="AJ210" s="368"/>
    </row>
    <row r="211" spans="1:36" s="165" customFormat="1">
      <c r="A211" s="72"/>
      <c r="B211" s="176" t="s">
        <v>2032</v>
      </c>
      <c r="C211" s="184" t="s">
        <v>1691</v>
      </c>
      <c r="D211" s="177">
        <v>100</v>
      </c>
      <c r="E211" s="176" t="s">
        <v>5</v>
      </c>
      <c r="F211" s="177">
        <v>30</v>
      </c>
      <c r="G211" s="224">
        <f>F211+Q211</f>
        <v>31.1</v>
      </c>
      <c r="H211" s="185">
        <v>44729</v>
      </c>
      <c r="I211" s="176" t="s">
        <v>6633</v>
      </c>
      <c r="J211" s="176" t="s">
        <v>6634</v>
      </c>
      <c r="K211" s="176" t="s">
        <v>2045</v>
      </c>
      <c r="L211" s="176" t="s">
        <v>2546</v>
      </c>
      <c r="M211" s="176">
        <v>2020</v>
      </c>
      <c r="N211" s="176"/>
      <c r="O211" s="176" t="s">
        <v>6635</v>
      </c>
      <c r="P211" s="179" t="s">
        <v>670</v>
      </c>
      <c r="Q211" s="179">
        <v>1.1000000000000001</v>
      </c>
      <c r="R211" s="179" t="s">
        <v>6637</v>
      </c>
      <c r="S211" s="179" t="s">
        <v>1</v>
      </c>
      <c r="T211" s="179" t="s">
        <v>1</v>
      </c>
      <c r="U211" s="179" t="s">
        <v>1</v>
      </c>
      <c r="V211" s="179" t="s">
        <v>1</v>
      </c>
      <c r="W211" s="179" t="s">
        <v>1</v>
      </c>
      <c r="X211" s="179" t="s">
        <v>1</v>
      </c>
      <c r="Y211" s="179" t="s">
        <v>1</v>
      </c>
      <c r="Z211" s="179" t="s">
        <v>1</v>
      </c>
      <c r="AA211" s="179" t="s">
        <v>1</v>
      </c>
      <c r="AB211" s="176" t="s">
        <v>6600</v>
      </c>
      <c r="AC211" s="176" t="s">
        <v>6608</v>
      </c>
      <c r="AD211" s="176" t="s">
        <v>6608</v>
      </c>
      <c r="AE211" s="186" t="s">
        <v>6632</v>
      </c>
      <c r="AF211" s="344" t="s">
        <v>7145</v>
      </c>
      <c r="AG211" s="344" t="s">
        <v>7145</v>
      </c>
      <c r="AH211" s="348">
        <v>1.2414E-2</v>
      </c>
      <c r="AI211" s="362">
        <v>0.12569444444444444</v>
      </c>
      <c r="AJ211" s="368"/>
    </row>
    <row r="212" spans="1:36" s="176" customFormat="1">
      <c r="B212" s="176" t="s">
        <v>2028</v>
      </c>
      <c r="C212" s="184" t="s">
        <v>1691</v>
      </c>
      <c r="D212" s="177">
        <v>100</v>
      </c>
      <c r="E212" s="176" t="s">
        <v>5</v>
      </c>
      <c r="F212" s="224">
        <v>18.5</v>
      </c>
      <c r="G212" s="224">
        <f>F212+Q212</f>
        <v>24.3</v>
      </c>
      <c r="H212" s="185">
        <v>44561</v>
      </c>
      <c r="I212" s="176" t="s">
        <v>6694</v>
      </c>
      <c r="J212" s="176" t="s">
        <v>6695</v>
      </c>
      <c r="K212" s="176" t="s">
        <v>2045</v>
      </c>
      <c r="L212" s="176" t="s">
        <v>2056</v>
      </c>
      <c r="M212" s="176">
        <v>2021</v>
      </c>
      <c r="N212" s="176" t="s">
        <v>6697</v>
      </c>
      <c r="O212" s="176" t="s">
        <v>6698</v>
      </c>
      <c r="P212" s="179" t="s">
        <v>4</v>
      </c>
      <c r="Q212" s="179">
        <v>5.8</v>
      </c>
      <c r="R212" s="179" t="s">
        <v>6699</v>
      </c>
      <c r="S212" s="179" t="s">
        <v>1</v>
      </c>
      <c r="T212" s="179" t="s">
        <v>1</v>
      </c>
      <c r="U212" s="179" t="s">
        <v>1</v>
      </c>
      <c r="V212" s="179" t="s">
        <v>1</v>
      </c>
      <c r="W212" s="179" t="s">
        <v>1</v>
      </c>
      <c r="X212" s="179" t="s">
        <v>1</v>
      </c>
      <c r="Y212" s="179" t="s">
        <v>1</v>
      </c>
      <c r="Z212" s="179" t="s">
        <v>1</v>
      </c>
      <c r="AA212" s="179" t="s">
        <v>1</v>
      </c>
      <c r="AB212" s="176" t="s">
        <v>6600</v>
      </c>
      <c r="AC212" s="176" t="s">
        <v>6603</v>
      </c>
      <c r="AD212" s="176" t="s">
        <v>2362</v>
      </c>
      <c r="AE212" s="186" t="s">
        <v>6696</v>
      </c>
      <c r="AF212" s="344" t="s">
        <v>7145</v>
      </c>
      <c r="AG212" s="344" t="s">
        <v>7145</v>
      </c>
      <c r="AH212" s="348">
        <v>1.7049999999999999E-2</v>
      </c>
      <c r="AI212" s="362">
        <v>7.8472222222222221E-2</v>
      </c>
      <c r="AJ212" s="368"/>
    </row>
    <row r="213" spans="1:36" s="165" customFormat="1">
      <c r="A213" s="176"/>
      <c r="B213" s="176" t="s">
        <v>2030</v>
      </c>
      <c r="C213" s="184" t="s">
        <v>1691</v>
      </c>
      <c r="D213" s="177">
        <v>100</v>
      </c>
      <c r="E213" s="176" t="s">
        <v>7</v>
      </c>
      <c r="F213" s="177">
        <v>16</v>
      </c>
      <c r="G213" s="224">
        <f>F213+Q213+T213</f>
        <v>27.3</v>
      </c>
      <c r="H213" s="185">
        <v>44825</v>
      </c>
      <c r="I213" s="176" t="s">
        <v>6675</v>
      </c>
      <c r="J213" s="176" t="s">
        <v>6655</v>
      </c>
      <c r="K213" s="176" t="s">
        <v>2045</v>
      </c>
      <c r="L213" s="176" t="s">
        <v>2056</v>
      </c>
      <c r="M213" s="176">
        <v>2018</v>
      </c>
      <c r="N213" s="176"/>
      <c r="O213" s="176" t="s">
        <v>6656</v>
      </c>
      <c r="P213" s="179" t="s">
        <v>5</v>
      </c>
      <c r="Q213" s="179">
        <v>9.3000000000000007</v>
      </c>
      <c r="R213" s="179" t="s">
        <v>6663</v>
      </c>
      <c r="S213" s="179" t="s">
        <v>4</v>
      </c>
      <c r="T213" s="179">
        <v>2</v>
      </c>
      <c r="U213" s="179" t="s">
        <v>6670</v>
      </c>
      <c r="V213" s="179" t="s">
        <v>1</v>
      </c>
      <c r="W213" s="179" t="s">
        <v>1</v>
      </c>
      <c r="X213" s="179" t="s">
        <v>1</v>
      </c>
      <c r="Y213" s="179" t="s">
        <v>1</v>
      </c>
      <c r="Z213" s="179" t="s">
        <v>1</v>
      </c>
      <c r="AA213" s="179" t="s">
        <v>1</v>
      </c>
      <c r="AB213" s="176" t="s">
        <v>6600</v>
      </c>
      <c r="AC213" s="176" t="s">
        <v>6603</v>
      </c>
      <c r="AD213" s="176" t="s">
        <v>6654</v>
      </c>
      <c r="AE213" s="186" t="s">
        <v>6653</v>
      </c>
      <c r="AF213" s="344" t="s">
        <v>7145</v>
      </c>
      <c r="AG213" s="344" t="s">
        <v>7145</v>
      </c>
      <c r="AH213" s="348">
        <v>2.0152E-2</v>
      </c>
      <c r="AI213" s="362">
        <v>0.14791666666666667</v>
      </c>
      <c r="AJ213" s="368"/>
    </row>
    <row r="214" spans="1:36">
      <c r="A214" s="176"/>
      <c r="B214" s="176" t="s">
        <v>548</v>
      </c>
      <c r="C214" s="184" t="s">
        <v>1691</v>
      </c>
      <c r="D214" s="178">
        <v>100</v>
      </c>
      <c r="E214" s="176" t="s">
        <v>7</v>
      </c>
      <c r="F214" s="178">
        <v>20</v>
      </c>
      <c r="G214" s="224"/>
      <c r="H214" s="185">
        <v>45077</v>
      </c>
      <c r="I214" s="176" t="s">
        <v>3069</v>
      </c>
      <c r="J214" s="176" t="s">
        <v>3068</v>
      </c>
      <c r="K214" s="176" t="s">
        <v>2045</v>
      </c>
      <c r="L214" s="176" t="s">
        <v>2062</v>
      </c>
      <c r="M214" s="176">
        <v>2018</v>
      </c>
      <c r="N214" s="176"/>
      <c r="O214" s="176" t="s">
        <v>3067</v>
      </c>
      <c r="P214" s="179" t="s">
        <v>5</v>
      </c>
      <c r="Q214" s="179">
        <v>10.5</v>
      </c>
      <c r="R214" s="179" t="s">
        <v>3066</v>
      </c>
      <c r="S214" s="179" t="s">
        <v>4</v>
      </c>
      <c r="T214" s="179">
        <v>4</v>
      </c>
      <c r="U214" s="179" t="s">
        <v>3065</v>
      </c>
      <c r="V214" s="179" t="s">
        <v>278</v>
      </c>
      <c r="W214" s="179">
        <v>0.5</v>
      </c>
      <c r="X214" s="179" t="s">
        <v>3064</v>
      </c>
      <c r="Y214" s="179" t="s">
        <v>1</v>
      </c>
      <c r="Z214" s="179" t="s">
        <v>1</v>
      </c>
      <c r="AA214" s="179" t="s">
        <v>1</v>
      </c>
      <c r="AB214" s="274" t="s">
        <v>6600</v>
      </c>
      <c r="AC214" s="274" t="s">
        <v>6608</v>
      </c>
      <c r="AD214" s="274" t="s">
        <v>6608</v>
      </c>
      <c r="AE214" s="25" t="s">
        <v>8950</v>
      </c>
      <c r="AF214" s="344" t="s">
        <v>7145</v>
      </c>
      <c r="AG214" s="344" t="s">
        <v>7145</v>
      </c>
      <c r="AH214" s="348">
        <v>5.3870000000000003E-3</v>
      </c>
      <c r="AI214" s="362">
        <v>9.0972222222222218E-2</v>
      </c>
      <c r="AJ214" s="368"/>
    </row>
    <row r="215" spans="1:36">
      <c r="A215" s="176"/>
      <c r="B215" s="176" t="s">
        <v>725</v>
      </c>
      <c r="C215" s="184" t="s">
        <v>1691</v>
      </c>
      <c r="D215" s="178">
        <v>100</v>
      </c>
      <c r="E215" s="176" t="s">
        <v>5</v>
      </c>
      <c r="F215" s="178">
        <v>20</v>
      </c>
      <c r="G215" s="224"/>
      <c r="H215" s="185">
        <v>44676</v>
      </c>
      <c r="I215" s="176" t="s">
        <v>3063</v>
      </c>
      <c r="J215" s="176"/>
      <c r="K215" s="176" t="s">
        <v>2045</v>
      </c>
      <c r="L215" s="176" t="s">
        <v>2302</v>
      </c>
      <c r="M215" s="188" t="s">
        <v>2982</v>
      </c>
      <c r="N215" s="176"/>
      <c r="O215" s="176" t="s">
        <v>3062</v>
      </c>
      <c r="P215" s="179" t="s">
        <v>4</v>
      </c>
      <c r="Q215" s="179">
        <v>5</v>
      </c>
      <c r="R215" s="179" t="s">
        <v>3061</v>
      </c>
      <c r="S215" s="179" t="s">
        <v>278</v>
      </c>
      <c r="T215" s="179" t="s">
        <v>1</v>
      </c>
      <c r="U215" s="179" t="s">
        <v>3060</v>
      </c>
      <c r="V215" s="179" t="s">
        <v>1</v>
      </c>
      <c r="W215" s="179" t="s">
        <v>1</v>
      </c>
      <c r="X215" s="179" t="s">
        <v>1</v>
      </c>
      <c r="Y215" s="179" t="s">
        <v>1</v>
      </c>
      <c r="Z215" s="179" t="s">
        <v>1</v>
      </c>
      <c r="AA215" s="179" t="s">
        <v>1</v>
      </c>
      <c r="AB215" s="176" t="s">
        <v>2078</v>
      </c>
      <c r="AC215" s="176"/>
      <c r="AD215" s="176"/>
      <c r="AE215" s="25" t="s">
        <v>5047</v>
      </c>
      <c r="AF215" s="344" t="s">
        <v>7145</v>
      </c>
      <c r="AG215" s="344" t="s">
        <v>7145</v>
      </c>
      <c r="AH215" s="348">
        <v>0.44387900000000002</v>
      </c>
      <c r="AI215" s="362">
        <v>7.7777777777777779E-2</v>
      </c>
      <c r="AJ215" s="368"/>
    </row>
    <row r="216" spans="1:36">
      <c r="A216" s="176"/>
      <c r="B216" s="176" t="s">
        <v>416</v>
      </c>
      <c r="C216" s="184" t="s">
        <v>1691</v>
      </c>
      <c r="D216" s="178">
        <v>100</v>
      </c>
      <c r="E216" s="176" t="s">
        <v>18</v>
      </c>
      <c r="F216" s="178">
        <v>23</v>
      </c>
      <c r="G216" s="224"/>
      <c r="H216" s="185">
        <v>44328</v>
      </c>
      <c r="I216" s="176" t="s">
        <v>2395</v>
      </c>
      <c r="J216" s="176" t="s">
        <v>3059</v>
      </c>
      <c r="K216" s="176" t="s">
        <v>2045</v>
      </c>
      <c r="L216" s="176" t="s">
        <v>2395</v>
      </c>
      <c r="M216" s="176">
        <v>2013</v>
      </c>
      <c r="N216" s="176"/>
      <c r="O216" s="176" t="s">
        <v>3058</v>
      </c>
      <c r="P216" s="179" t="s">
        <v>7</v>
      </c>
      <c r="Q216" s="179">
        <v>16</v>
      </c>
      <c r="R216" s="179" t="s">
        <v>3057</v>
      </c>
      <c r="S216" s="179" t="s">
        <v>5</v>
      </c>
      <c r="T216" s="179">
        <v>8</v>
      </c>
      <c r="U216" s="179" t="s">
        <v>3056</v>
      </c>
      <c r="V216" s="179" t="s">
        <v>4</v>
      </c>
      <c r="W216" s="179" t="s">
        <v>1</v>
      </c>
      <c r="X216" s="179" t="s">
        <v>3055</v>
      </c>
      <c r="Y216" s="179" t="s">
        <v>1</v>
      </c>
      <c r="Z216" s="179" t="s">
        <v>1</v>
      </c>
      <c r="AA216" s="179" t="s">
        <v>1</v>
      </c>
      <c r="AB216" s="274" t="s">
        <v>6600</v>
      </c>
      <c r="AC216" s="274" t="s">
        <v>6603</v>
      </c>
      <c r="AD216" s="274" t="s">
        <v>2362</v>
      </c>
      <c r="AE216" s="25" t="s">
        <v>8951</v>
      </c>
      <c r="AF216" s="344" t="s">
        <v>7145</v>
      </c>
      <c r="AG216" s="344" t="s">
        <v>7145</v>
      </c>
      <c r="AH216" s="348">
        <v>5.11E-3</v>
      </c>
      <c r="AI216" s="362">
        <v>6.1111111111111109E-2</v>
      </c>
      <c r="AJ216" s="368"/>
    </row>
    <row r="217" spans="1:36">
      <c r="A217" s="176"/>
      <c r="B217" s="176" t="s">
        <v>654</v>
      </c>
      <c r="C217" s="184" t="s">
        <v>1691</v>
      </c>
      <c r="D217" s="178">
        <v>100</v>
      </c>
      <c r="E217" s="176" t="s">
        <v>4</v>
      </c>
      <c r="F217" s="178">
        <v>12.8</v>
      </c>
      <c r="G217" s="224"/>
      <c r="H217" s="185">
        <v>44601</v>
      </c>
      <c r="I217" s="176" t="s">
        <v>3054</v>
      </c>
      <c r="J217" s="176" t="s">
        <v>3053</v>
      </c>
      <c r="K217" s="176" t="s">
        <v>2315</v>
      </c>
      <c r="L217" s="176" t="s">
        <v>2315</v>
      </c>
      <c r="M217" s="176">
        <v>2021</v>
      </c>
      <c r="N217" s="176" t="s">
        <v>3052</v>
      </c>
      <c r="O217" s="176" t="s">
        <v>3051</v>
      </c>
      <c r="P217" s="179" t="s">
        <v>1</v>
      </c>
      <c r="Q217" s="179" t="s">
        <v>1</v>
      </c>
      <c r="R217" s="179" t="s">
        <v>1</v>
      </c>
      <c r="S217" s="179" t="s">
        <v>1</v>
      </c>
      <c r="T217" s="179" t="s">
        <v>1</v>
      </c>
      <c r="U217" s="179" t="s">
        <v>1</v>
      </c>
      <c r="V217" s="179" t="s">
        <v>1</v>
      </c>
      <c r="W217" s="179" t="s">
        <v>1</v>
      </c>
      <c r="X217" s="179" t="s">
        <v>1</v>
      </c>
      <c r="Y217" s="179" t="s">
        <v>1</v>
      </c>
      <c r="Z217" s="179" t="s">
        <v>1</v>
      </c>
      <c r="AA217" s="179" t="s">
        <v>1</v>
      </c>
      <c r="AB217" s="274" t="s">
        <v>6600</v>
      </c>
      <c r="AC217" s="274" t="s">
        <v>6607</v>
      </c>
      <c r="AD217" s="274" t="s">
        <v>2352</v>
      </c>
      <c r="AE217" s="25" t="s">
        <v>8952</v>
      </c>
      <c r="AF217" s="344" t="s">
        <v>7145</v>
      </c>
      <c r="AG217" s="344" t="s">
        <v>7145</v>
      </c>
      <c r="AH217" s="348">
        <v>0</v>
      </c>
      <c r="AI217" s="362">
        <v>0</v>
      </c>
      <c r="AJ217" s="368"/>
    </row>
    <row r="218" spans="1:36">
      <c r="A218" s="176"/>
      <c r="B218" s="176" t="s">
        <v>2039</v>
      </c>
      <c r="C218" s="184" t="s">
        <v>1691</v>
      </c>
      <c r="D218" s="178">
        <v>100</v>
      </c>
      <c r="E218" s="176" t="s">
        <v>5</v>
      </c>
      <c r="F218" s="178">
        <v>18</v>
      </c>
      <c r="G218" s="224">
        <f>F218+Q218</f>
        <v>22.3</v>
      </c>
      <c r="H218" s="185">
        <v>43445</v>
      </c>
      <c r="I218" s="176" t="s">
        <v>6385</v>
      </c>
      <c r="J218" s="176" t="s">
        <v>6387</v>
      </c>
      <c r="K218" s="176" t="s">
        <v>2045</v>
      </c>
      <c r="L218" s="176" t="s">
        <v>6386</v>
      </c>
      <c r="M218" s="176">
        <v>2017</v>
      </c>
      <c r="N218" s="176"/>
      <c r="O218" s="176" t="s">
        <v>6388</v>
      </c>
      <c r="P218" s="179" t="s">
        <v>5</v>
      </c>
      <c r="Q218" s="179">
        <v>4.3</v>
      </c>
      <c r="R218" s="179" t="s">
        <v>6392</v>
      </c>
      <c r="S218" s="179" t="s">
        <v>1</v>
      </c>
      <c r="T218" s="179" t="s">
        <v>1</v>
      </c>
      <c r="U218" s="179" t="s">
        <v>1</v>
      </c>
      <c r="V218" s="179" t="s">
        <v>1</v>
      </c>
      <c r="W218" s="179" t="s">
        <v>1</v>
      </c>
      <c r="X218" s="179" t="s">
        <v>1</v>
      </c>
      <c r="Y218" s="179" t="s">
        <v>1</v>
      </c>
      <c r="Z218" s="179" t="s">
        <v>1</v>
      </c>
      <c r="AA218" s="179" t="s">
        <v>1</v>
      </c>
      <c r="AB218" s="179" t="s">
        <v>2152</v>
      </c>
      <c r="AC218" s="179"/>
      <c r="AD218" s="179"/>
      <c r="AE218" s="25" t="s">
        <v>6382</v>
      </c>
      <c r="AF218" s="344" t="s">
        <v>7145</v>
      </c>
      <c r="AG218" s="344" t="s">
        <v>7145</v>
      </c>
      <c r="AH218" s="348">
        <v>0</v>
      </c>
      <c r="AI218" s="362">
        <v>0</v>
      </c>
      <c r="AJ218" s="368"/>
    </row>
    <row r="219" spans="1:36">
      <c r="A219" s="176"/>
      <c r="B219" s="176" t="s">
        <v>2038</v>
      </c>
      <c r="C219" s="184" t="s">
        <v>1691</v>
      </c>
      <c r="D219" s="178">
        <v>100</v>
      </c>
      <c r="E219" s="176" t="s">
        <v>7</v>
      </c>
      <c r="F219" s="178">
        <v>35</v>
      </c>
      <c r="G219" s="224">
        <f>F219+Q219+T219</f>
        <v>45</v>
      </c>
      <c r="H219" s="185">
        <v>44468</v>
      </c>
      <c r="I219" s="176" t="s">
        <v>2052</v>
      </c>
      <c r="J219" s="176" t="s">
        <v>6393</v>
      </c>
      <c r="K219" s="176" t="s">
        <v>2045</v>
      </c>
      <c r="L219" s="176" t="s">
        <v>2056</v>
      </c>
      <c r="M219" s="176">
        <v>2018</v>
      </c>
      <c r="N219" s="176"/>
      <c r="O219" s="176" t="s">
        <v>6395</v>
      </c>
      <c r="P219" s="179" t="s">
        <v>5</v>
      </c>
      <c r="Q219" s="179">
        <v>8</v>
      </c>
      <c r="R219" s="179" t="s">
        <v>6399</v>
      </c>
      <c r="S219" s="179" t="s">
        <v>4</v>
      </c>
      <c r="T219" s="179">
        <v>2</v>
      </c>
      <c r="U219" s="179" t="s">
        <v>6402</v>
      </c>
      <c r="V219" s="179" t="s">
        <v>1</v>
      </c>
      <c r="W219" s="179" t="s">
        <v>1</v>
      </c>
      <c r="X219" s="179" t="s">
        <v>1</v>
      </c>
      <c r="Y219" s="179" t="s">
        <v>1</v>
      </c>
      <c r="Z219" s="179" t="s">
        <v>1</v>
      </c>
      <c r="AA219" s="179" t="s">
        <v>1</v>
      </c>
      <c r="AB219" s="176" t="s">
        <v>2048</v>
      </c>
      <c r="AC219" s="176"/>
      <c r="AD219" s="176"/>
      <c r="AE219" s="25" t="s">
        <v>6394</v>
      </c>
      <c r="AF219" s="344" t="s">
        <v>7145</v>
      </c>
      <c r="AG219" s="344" t="s">
        <v>7145</v>
      </c>
      <c r="AH219" s="348">
        <v>2.5527000000000001E-2</v>
      </c>
      <c r="AI219" s="362">
        <v>2.7083333333333334E-2</v>
      </c>
      <c r="AJ219" s="368"/>
    </row>
    <row r="220" spans="1:36">
      <c r="B220" s="72" t="s">
        <v>2012</v>
      </c>
      <c r="C220" s="237" t="s">
        <v>1691</v>
      </c>
      <c r="D220" s="72">
        <v>100</v>
      </c>
      <c r="E220" s="238" t="s">
        <v>7</v>
      </c>
      <c r="F220" s="72">
        <v>20</v>
      </c>
      <c r="G220" s="87">
        <f>F220+Q220+T220+Z220</f>
        <v>33.799999999999997</v>
      </c>
      <c r="H220" s="78">
        <v>45001</v>
      </c>
      <c r="I220" s="238" t="s">
        <v>7417</v>
      </c>
      <c r="J220" s="238" t="s">
        <v>7403</v>
      </c>
      <c r="K220" s="238" t="s">
        <v>2045</v>
      </c>
      <c r="L220" s="238" t="s">
        <v>2056</v>
      </c>
      <c r="M220" s="78">
        <v>41879</v>
      </c>
      <c r="O220" s="238" t="s">
        <v>7407</v>
      </c>
      <c r="P220" s="238" t="s">
        <v>5</v>
      </c>
      <c r="Q220" s="76">
        <v>9</v>
      </c>
      <c r="R220" s="238" t="s">
        <v>7411</v>
      </c>
      <c r="S220" s="238" t="s">
        <v>4</v>
      </c>
      <c r="T220" s="76">
        <v>4</v>
      </c>
      <c r="U220" s="238" t="s">
        <v>7413</v>
      </c>
      <c r="V220" s="238" t="s">
        <v>4</v>
      </c>
      <c r="W220" s="238" t="s">
        <v>1</v>
      </c>
      <c r="X220" s="238" t="s">
        <v>7414</v>
      </c>
      <c r="Y220" s="238" t="s">
        <v>7415</v>
      </c>
      <c r="Z220" s="76">
        <v>0.8</v>
      </c>
      <c r="AA220" s="238" t="s">
        <v>7416</v>
      </c>
      <c r="AB220" s="238" t="s">
        <v>6625</v>
      </c>
      <c r="AD220" s="238" t="s">
        <v>2094</v>
      </c>
      <c r="AE220" s="238" t="s">
        <v>7402</v>
      </c>
      <c r="AF220" s="344" t="s">
        <v>7145</v>
      </c>
      <c r="AG220" s="344" t="s">
        <v>7145</v>
      </c>
      <c r="AH220" s="348">
        <v>2.4868999999999999E-2</v>
      </c>
      <c r="AI220" s="341">
        <v>8.2638888888888887E-2</v>
      </c>
      <c r="AJ220" s="368"/>
    </row>
    <row r="221" spans="1:36">
      <c r="A221" s="165"/>
      <c r="B221" s="165" t="s">
        <v>2037</v>
      </c>
      <c r="C221" s="166" t="s">
        <v>1691</v>
      </c>
      <c r="D221" s="167">
        <v>100</v>
      </c>
      <c r="E221" s="165" t="s">
        <v>7</v>
      </c>
      <c r="F221" s="167">
        <v>30</v>
      </c>
      <c r="G221" s="225">
        <f>F221+Q221+T221</f>
        <v>43.9</v>
      </c>
      <c r="H221" s="170">
        <v>44881</v>
      </c>
      <c r="I221" s="165" t="s">
        <v>2052</v>
      </c>
      <c r="J221" s="165" t="s">
        <v>6403</v>
      </c>
      <c r="K221" s="165" t="s">
        <v>2045</v>
      </c>
      <c r="L221" s="165" t="s">
        <v>6404</v>
      </c>
      <c r="M221" s="171">
        <v>42948</v>
      </c>
      <c r="N221" s="165" t="s">
        <v>6411</v>
      </c>
      <c r="O221" s="165" t="s">
        <v>6405</v>
      </c>
      <c r="P221" s="169" t="s">
        <v>5</v>
      </c>
      <c r="Q221" s="169">
        <v>11</v>
      </c>
      <c r="R221" s="169" t="s">
        <v>6406</v>
      </c>
      <c r="S221" s="169" t="s">
        <v>4</v>
      </c>
      <c r="T221" s="169">
        <v>2.9</v>
      </c>
      <c r="U221" s="169" t="s">
        <v>6410</v>
      </c>
      <c r="V221" s="169" t="s">
        <v>1</v>
      </c>
      <c r="W221" s="169" t="s">
        <v>1</v>
      </c>
      <c r="X221" s="169" t="s">
        <v>1</v>
      </c>
      <c r="Y221" s="169" t="s">
        <v>1</v>
      </c>
      <c r="Z221" s="169" t="s">
        <v>1</v>
      </c>
      <c r="AA221" s="169" t="s">
        <v>1</v>
      </c>
      <c r="AB221" s="165" t="s">
        <v>2048</v>
      </c>
      <c r="AC221" s="165"/>
      <c r="AD221" s="165"/>
      <c r="AE221" s="25" t="s">
        <v>6383</v>
      </c>
      <c r="AF221" s="344" t="s">
        <v>7145</v>
      </c>
      <c r="AG221" s="344" t="s">
        <v>7145</v>
      </c>
      <c r="AH221" s="348">
        <v>0</v>
      </c>
      <c r="AI221" s="375">
        <v>0.13680555555555557</v>
      </c>
      <c r="AJ221" s="368"/>
    </row>
    <row r="222" spans="1:36">
      <c r="A222" s="165"/>
      <c r="B222" s="165" t="s">
        <v>3050</v>
      </c>
      <c r="C222" s="166" t="s">
        <v>1691</v>
      </c>
      <c r="D222" s="167">
        <v>100</v>
      </c>
      <c r="E222" s="165" t="s">
        <v>5</v>
      </c>
      <c r="F222" s="167">
        <v>6.5</v>
      </c>
      <c r="G222" s="225">
        <f>F222+Q222</f>
        <v>10.9</v>
      </c>
      <c r="H222" s="170">
        <v>43069</v>
      </c>
      <c r="I222" s="165" t="s">
        <v>6560</v>
      </c>
      <c r="J222" s="165" t="s">
        <v>3049</v>
      </c>
      <c r="K222" s="165" t="s">
        <v>2308</v>
      </c>
      <c r="L222" s="165" t="s">
        <v>3048</v>
      </c>
      <c r="M222" s="165">
        <v>2017</v>
      </c>
      <c r="N222" s="165"/>
      <c r="O222" s="165" t="s">
        <v>3047</v>
      </c>
      <c r="P222" s="169" t="s">
        <v>5</v>
      </c>
      <c r="Q222" s="169">
        <v>4.4000000000000004</v>
      </c>
      <c r="R222" s="169" t="s">
        <v>3046</v>
      </c>
      <c r="S222" s="169" t="s">
        <v>4</v>
      </c>
      <c r="T222" s="169" t="s">
        <v>1</v>
      </c>
      <c r="U222" s="169" t="s">
        <v>3045</v>
      </c>
      <c r="V222" s="169" t="s">
        <v>1</v>
      </c>
      <c r="W222" s="169" t="s">
        <v>1</v>
      </c>
      <c r="X222" s="169" t="s">
        <v>1</v>
      </c>
      <c r="Y222" s="169" t="s">
        <v>1</v>
      </c>
      <c r="Z222" s="169" t="s">
        <v>1</v>
      </c>
      <c r="AA222" s="169" t="s">
        <v>1</v>
      </c>
      <c r="AB222" s="169" t="s">
        <v>1</v>
      </c>
      <c r="AC222" s="169"/>
      <c r="AD222" s="169"/>
      <c r="AE222" s="25" t="s">
        <v>8953</v>
      </c>
      <c r="AF222" s="344" t="s">
        <v>7145</v>
      </c>
      <c r="AG222" s="344" t="s">
        <v>7145</v>
      </c>
      <c r="AH222" s="376">
        <v>0.72391799999999995</v>
      </c>
      <c r="AI222" s="375">
        <v>0.18402777777777779</v>
      </c>
      <c r="AJ222" s="368"/>
    </row>
    <row r="223" spans="1:36">
      <c r="A223" s="165"/>
      <c r="B223" s="165" t="s">
        <v>2031</v>
      </c>
      <c r="C223" s="166" t="s">
        <v>1691</v>
      </c>
      <c r="D223" s="167">
        <v>100</v>
      </c>
      <c r="E223" s="165" t="s">
        <v>5</v>
      </c>
      <c r="F223" s="167">
        <v>23.9</v>
      </c>
      <c r="G223" s="225">
        <f>+Q223+F223</f>
        <v>28.299999999999997</v>
      </c>
      <c r="H223" s="170">
        <v>44719</v>
      </c>
      <c r="I223" s="165" t="s">
        <v>6650</v>
      </c>
      <c r="J223" s="165" t="s">
        <v>6649</v>
      </c>
      <c r="K223" s="165" t="s">
        <v>2045</v>
      </c>
      <c r="L223" s="165" t="s">
        <v>2056</v>
      </c>
      <c r="M223" s="165">
        <v>2021</v>
      </c>
      <c r="N223" s="165" t="s">
        <v>6651</v>
      </c>
      <c r="O223" s="165" t="s">
        <v>6652</v>
      </c>
      <c r="P223" s="169" t="s">
        <v>4</v>
      </c>
      <c r="Q223" s="169">
        <v>4.4000000000000004</v>
      </c>
      <c r="R223" s="169" t="s">
        <v>1</v>
      </c>
      <c r="S223" s="169" t="s">
        <v>1</v>
      </c>
      <c r="T223" s="169" t="s">
        <v>1</v>
      </c>
      <c r="U223" s="169" t="s">
        <v>1</v>
      </c>
      <c r="V223" s="169" t="s">
        <v>1</v>
      </c>
      <c r="W223" s="169" t="s">
        <v>1</v>
      </c>
      <c r="X223" s="169" t="s">
        <v>1</v>
      </c>
      <c r="Y223" s="169" t="s">
        <v>1</v>
      </c>
      <c r="Z223" s="169" t="s">
        <v>1</v>
      </c>
      <c r="AA223" s="169" t="s">
        <v>1</v>
      </c>
      <c r="AB223" s="165" t="s">
        <v>6600</v>
      </c>
      <c r="AC223" s="165" t="s">
        <v>6603</v>
      </c>
      <c r="AD223" s="165" t="s">
        <v>2362</v>
      </c>
      <c r="AE223" s="25" t="s">
        <v>4275</v>
      </c>
      <c r="AF223" s="344" t="s">
        <v>7145</v>
      </c>
      <c r="AG223" s="344" t="s">
        <v>7145</v>
      </c>
      <c r="AH223" s="348">
        <v>1.4652999999999999E-2</v>
      </c>
      <c r="AI223" s="375">
        <v>5.6944444444444443E-2</v>
      </c>
      <c r="AJ223" s="368"/>
    </row>
    <row r="224" spans="1:36">
      <c r="A224" s="165"/>
      <c r="B224" s="165" t="s">
        <v>2035</v>
      </c>
      <c r="C224" s="166" t="s">
        <v>1691</v>
      </c>
      <c r="D224" s="167">
        <v>100</v>
      </c>
      <c r="E224" s="165" t="s">
        <v>7</v>
      </c>
      <c r="F224" s="167">
        <v>21</v>
      </c>
      <c r="G224" s="167">
        <f>F224+Q224</f>
        <v>30.1</v>
      </c>
      <c r="H224" s="170">
        <v>44518</v>
      </c>
      <c r="I224" s="165" t="s">
        <v>6539</v>
      </c>
      <c r="J224" s="165" t="s">
        <v>6541</v>
      </c>
      <c r="K224" s="165" t="s">
        <v>2045</v>
      </c>
      <c r="L224" s="165" t="s">
        <v>6542</v>
      </c>
      <c r="M224" s="165">
        <v>2013</v>
      </c>
      <c r="N224" s="165"/>
      <c r="O224" s="165" t="s">
        <v>6543</v>
      </c>
      <c r="P224" s="169" t="s">
        <v>5</v>
      </c>
      <c r="Q224" s="169">
        <v>9.1</v>
      </c>
      <c r="R224" s="169" t="s">
        <v>6546</v>
      </c>
      <c r="S224" s="169" t="s">
        <v>1</v>
      </c>
      <c r="T224" s="169" t="s">
        <v>1</v>
      </c>
      <c r="U224" s="169" t="s">
        <v>1</v>
      </c>
      <c r="V224" s="169" t="s">
        <v>1</v>
      </c>
      <c r="W224" s="169" t="s">
        <v>1</v>
      </c>
      <c r="X224" s="169" t="s">
        <v>1</v>
      </c>
      <c r="Y224" s="169" t="s">
        <v>1</v>
      </c>
      <c r="Z224" s="169" t="s">
        <v>1</v>
      </c>
      <c r="AA224" s="169" t="s">
        <v>1</v>
      </c>
      <c r="AB224" s="165" t="s">
        <v>2055</v>
      </c>
      <c r="AC224" s="165"/>
      <c r="AD224" s="165"/>
      <c r="AE224" s="25" t="s">
        <v>6540</v>
      </c>
      <c r="AF224" s="344" t="s">
        <v>7145</v>
      </c>
      <c r="AG224" s="344" t="s">
        <v>7145</v>
      </c>
      <c r="AH224" s="348">
        <v>0.321772</v>
      </c>
      <c r="AI224" s="375">
        <v>0.18680555555555556</v>
      </c>
      <c r="AJ224" s="368"/>
    </row>
    <row r="225" spans="1:36" s="12" customFormat="1">
      <c r="A225" s="165"/>
      <c r="B225" s="176" t="s">
        <v>2023</v>
      </c>
      <c r="C225" s="184" t="s">
        <v>1691</v>
      </c>
      <c r="D225" s="178">
        <v>100</v>
      </c>
      <c r="E225" s="176" t="s">
        <v>5</v>
      </c>
      <c r="F225" s="178">
        <v>15.3</v>
      </c>
      <c r="G225" s="178">
        <f>F225+Q225</f>
        <v>18.8</v>
      </c>
      <c r="H225" s="185">
        <v>44733</v>
      </c>
      <c r="I225" s="176" t="s">
        <v>6725</v>
      </c>
      <c r="J225" s="176" t="s">
        <v>6724</v>
      </c>
      <c r="K225" s="176" t="s">
        <v>2045</v>
      </c>
      <c r="L225" s="176" t="s">
        <v>6414</v>
      </c>
      <c r="M225" s="176">
        <v>2020</v>
      </c>
      <c r="N225" s="176"/>
      <c r="O225" s="176" t="s">
        <v>6726</v>
      </c>
      <c r="P225" s="179" t="s">
        <v>4</v>
      </c>
      <c r="Q225" s="179">
        <v>3.5</v>
      </c>
      <c r="R225" s="179" t="s">
        <v>6728</v>
      </c>
      <c r="S225" s="179" t="s">
        <v>1</v>
      </c>
      <c r="T225" s="179" t="s">
        <v>1</v>
      </c>
      <c r="U225" s="179" t="s">
        <v>1</v>
      </c>
      <c r="V225" s="179" t="s">
        <v>1</v>
      </c>
      <c r="W225" s="179" t="s">
        <v>1</v>
      </c>
      <c r="X225" s="179" t="s">
        <v>1</v>
      </c>
      <c r="Y225" s="179" t="s">
        <v>1</v>
      </c>
      <c r="Z225" s="179" t="s">
        <v>1</v>
      </c>
      <c r="AA225" s="179" t="s">
        <v>1</v>
      </c>
      <c r="AB225" s="176" t="s">
        <v>6600</v>
      </c>
      <c r="AC225" s="176" t="s">
        <v>6603</v>
      </c>
      <c r="AD225" s="176" t="s">
        <v>2362</v>
      </c>
      <c r="AE225" s="25" t="s">
        <v>6723</v>
      </c>
      <c r="AF225" s="344" t="s">
        <v>7145</v>
      </c>
      <c r="AG225" s="344" t="s">
        <v>7145</v>
      </c>
      <c r="AH225" s="348">
        <v>0.30758200000000002</v>
      </c>
      <c r="AI225" s="362">
        <v>8.5416666666666669E-2</v>
      </c>
      <c r="AJ225" s="368"/>
    </row>
    <row r="226" spans="1:36" s="12" customFormat="1">
      <c r="A226" s="165"/>
      <c r="B226" s="165" t="s">
        <v>2034</v>
      </c>
      <c r="C226" s="166" t="s">
        <v>1691</v>
      </c>
      <c r="D226" s="167">
        <v>100</v>
      </c>
      <c r="E226" s="165" t="s">
        <v>7</v>
      </c>
      <c r="F226" s="167">
        <v>25</v>
      </c>
      <c r="G226" s="167"/>
      <c r="H226" s="170">
        <v>44572</v>
      </c>
      <c r="I226" s="165" t="s">
        <v>2052</v>
      </c>
      <c r="J226" s="165" t="s">
        <v>6553</v>
      </c>
      <c r="K226" s="165" t="s">
        <v>2045</v>
      </c>
      <c r="L226" s="165" t="s">
        <v>2052</v>
      </c>
      <c r="M226" s="172">
        <v>42767</v>
      </c>
      <c r="N226" s="165"/>
      <c r="O226" s="165" t="s">
        <v>6554</v>
      </c>
      <c r="P226" s="169" t="s">
        <v>5</v>
      </c>
      <c r="Q226" s="169">
        <v>5</v>
      </c>
      <c r="R226" s="169" t="s">
        <v>6557</v>
      </c>
      <c r="S226" s="169" t="s">
        <v>4</v>
      </c>
      <c r="T226" s="169">
        <v>1</v>
      </c>
      <c r="U226" s="169" t="s">
        <v>6559</v>
      </c>
      <c r="V226" s="169" t="s">
        <v>1</v>
      </c>
      <c r="W226" s="169" t="s">
        <v>1</v>
      </c>
      <c r="X226" s="169" t="s">
        <v>1</v>
      </c>
      <c r="Y226" s="169" t="s">
        <v>1</v>
      </c>
      <c r="Z226" s="169" t="s">
        <v>1</v>
      </c>
      <c r="AA226" s="169" t="s">
        <v>1</v>
      </c>
      <c r="AB226" s="165" t="s">
        <v>6550</v>
      </c>
      <c r="AC226" s="165"/>
      <c r="AD226" s="165"/>
      <c r="AE226" s="25" t="s">
        <v>6551</v>
      </c>
      <c r="AF226" s="344" t="s">
        <v>7145</v>
      </c>
      <c r="AG226" s="344" t="s">
        <v>7145</v>
      </c>
      <c r="AH226" s="348">
        <v>3.4282E-2</v>
      </c>
      <c r="AI226" s="375">
        <v>6.25E-2</v>
      </c>
      <c r="AJ226" s="368"/>
    </row>
    <row r="227" spans="1:36">
      <c r="A227" s="165"/>
      <c r="B227" s="72" t="s">
        <v>888</v>
      </c>
      <c r="C227" s="73" t="s">
        <v>1691</v>
      </c>
      <c r="D227" s="74">
        <v>80</v>
      </c>
      <c r="E227" s="72" t="s">
        <v>5</v>
      </c>
      <c r="F227" s="74">
        <v>20</v>
      </c>
      <c r="H227" s="77">
        <v>45009</v>
      </c>
      <c r="I227" s="72" t="s">
        <v>3044</v>
      </c>
      <c r="J227" s="72" t="s">
        <v>3043</v>
      </c>
      <c r="K227" s="72" t="s">
        <v>2045</v>
      </c>
      <c r="L227" s="72" t="s">
        <v>2698</v>
      </c>
      <c r="M227" s="72">
        <v>2021</v>
      </c>
      <c r="O227" s="72" t="s">
        <v>3042</v>
      </c>
      <c r="P227" s="76" t="s">
        <v>1</v>
      </c>
      <c r="Q227" s="76" t="s">
        <v>1</v>
      </c>
      <c r="R227" s="76" t="s">
        <v>1</v>
      </c>
      <c r="S227" s="76" t="s">
        <v>1</v>
      </c>
      <c r="T227" s="76" t="s">
        <v>1</v>
      </c>
      <c r="U227" s="76" t="s">
        <v>1</v>
      </c>
      <c r="V227" s="76" t="s">
        <v>1</v>
      </c>
      <c r="W227" s="76" t="s">
        <v>1</v>
      </c>
      <c r="X227" s="76" t="s">
        <v>1</v>
      </c>
      <c r="Y227" s="76" t="s">
        <v>1</v>
      </c>
      <c r="Z227" s="76" t="s">
        <v>1</v>
      </c>
      <c r="AA227" s="76" t="s">
        <v>1</v>
      </c>
      <c r="AB227" s="72" t="s">
        <v>3041</v>
      </c>
      <c r="AE227" s="25" t="s">
        <v>8954</v>
      </c>
      <c r="AF227" s="344" t="s">
        <v>7145</v>
      </c>
      <c r="AG227" s="344" t="s">
        <v>7145</v>
      </c>
      <c r="AH227" s="348">
        <v>6.8024000000000001E-2</v>
      </c>
      <c r="AI227" s="341">
        <v>7.9166666666666663E-2</v>
      </c>
      <c r="AJ227" s="368"/>
    </row>
    <row r="228" spans="1:36">
      <c r="A228" s="165"/>
      <c r="B228" s="72" t="s">
        <v>559</v>
      </c>
      <c r="C228" s="73" t="s">
        <v>1691</v>
      </c>
      <c r="D228" s="74">
        <v>80</v>
      </c>
      <c r="E228" s="72" t="s">
        <v>5</v>
      </c>
      <c r="F228" s="74">
        <v>20</v>
      </c>
      <c r="H228" s="77">
        <v>44701</v>
      </c>
      <c r="I228" s="72" t="s">
        <v>3040</v>
      </c>
      <c r="J228" s="72" t="s">
        <v>3039</v>
      </c>
      <c r="K228" s="72" t="s">
        <v>2045</v>
      </c>
      <c r="L228" s="72" t="s">
        <v>3038</v>
      </c>
      <c r="M228" s="72">
        <v>2021</v>
      </c>
      <c r="O228" s="72" t="s">
        <v>3037</v>
      </c>
      <c r="P228" s="76" t="s">
        <v>1</v>
      </c>
      <c r="Q228" s="76" t="s">
        <v>1</v>
      </c>
      <c r="R228" s="76" t="s">
        <v>1</v>
      </c>
      <c r="S228" s="76" t="s">
        <v>1</v>
      </c>
      <c r="T228" s="76" t="s">
        <v>1</v>
      </c>
      <c r="U228" s="76" t="s">
        <v>1</v>
      </c>
      <c r="V228" s="76" t="s">
        <v>1</v>
      </c>
      <c r="W228" s="76" t="s">
        <v>1</v>
      </c>
      <c r="X228" s="76" t="s">
        <v>1</v>
      </c>
      <c r="Y228" s="76" t="s">
        <v>1</v>
      </c>
      <c r="Z228" s="76" t="s">
        <v>1</v>
      </c>
      <c r="AA228" s="76" t="s">
        <v>1</v>
      </c>
      <c r="AB228" s="72" t="s">
        <v>3036</v>
      </c>
      <c r="AE228" s="25" t="s">
        <v>8955</v>
      </c>
      <c r="AF228" s="344" t="s">
        <v>7145</v>
      </c>
      <c r="AG228" s="344" t="s">
        <v>7145</v>
      </c>
      <c r="AH228" s="348">
        <v>3.1050000000000001E-2</v>
      </c>
      <c r="AI228" s="341">
        <v>6.6666666666666666E-2</v>
      </c>
      <c r="AJ228" s="368"/>
    </row>
    <row r="229" spans="1:36">
      <c r="A229" s="165"/>
      <c r="B229" s="72" t="s">
        <v>3035</v>
      </c>
      <c r="C229" s="73" t="s">
        <v>1691</v>
      </c>
      <c r="D229" s="74">
        <v>80</v>
      </c>
      <c r="E229" s="72" t="s">
        <v>7</v>
      </c>
      <c r="F229" s="74">
        <v>20</v>
      </c>
      <c r="H229" s="77">
        <v>44756</v>
      </c>
      <c r="I229" s="72" t="s">
        <v>2589</v>
      </c>
      <c r="J229" s="72" t="s">
        <v>3034</v>
      </c>
      <c r="K229" s="72" t="s">
        <v>2308</v>
      </c>
      <c r="L229" s="72" t="s">
        <v>3033</v>
      </c>
      <c r="M229" s="72">
        <v>2015</v>
      </c>
      <c r="N229" s="72" t="s">
        <v>3032</v>
      </c>
      <c r="O229" s="72" t="s">
        <v>3031</v>
      </c>
      <c r="P229" s="76" t="s">
        <v>5</v>
      </c>
      <c r="Q229" s="76">
        <v>5.5</v>
      </c>
      <c r="R229" s="76" t="s">
        <v>3030</v>
      </c>
      <c r="S229" s="76" t="s">
        <v>4</v>
      </c>
      <c r="T229" s="76">
        <v>2</v>
      </c>
      <c r="U229" s="76" t="s">
        <v>3029</v>
      </c>
      <c r="V229" s="76" t="s">
        <v>4</v>
      </c>
      <c r="W229" s="76">
        <v>1.3</v>
      </c>
      <c r="X229" s="76" t="s">
        <v>3028</v>
      </c>
      <c r="Y229" s="76" t="s">
        <v>4</v>
      </c>
      <c r="Z229" s="76">
        <v>0.4</v>
      </c>
      <c r="AA229" s="76" t="s">
        <v>1</v>
      </c>
      <c r="AB229" s="72" t="s">
        <v>2178</v>
      </c>
      <c r="AE229" s="25" t="s">
        <v>8956</v>
      </c>
      <c r="AF229" s="344" t="s">
        <v>7145</v>
      </c>
      <c r="AG229" s="344" t="s">
        <v>7145</v>
      </c>
      <c r="AH229" s="348">
        <v>4.3555000000000003E-2</v>
      </c>
      <c r="AI229" s="341">
        <v>9.0972222222222218E-2</v>
      </c>
      <c r="AJ229" s="368"/>
    </row>
    <row r="230" spans="1:36">
      <c r="A230" s="165"/>
      <c r="B230" s="72" t="s">
        <v>456</v>
      </c>
      <c r="C230" s="73" t="s">
        <v>1691</v>
      </c>
      <c r="D230" s="74">
        <v>75</v>
      </c>
      <c r="E230" s="72" t="s">
        <v>7</v>
      </c>
      <c r="F230" s="74">
        <v>26.8</v>
      </c>
      <c r="H230" s="77">
        <v>44600</v>
      </c>
      <c r="I230" s="72" t="s">
        <v>3027</v>
      </c>
      <c r="J230" s="72" t="s">
        <v>3026</v>
      </c>
      <c r="K230" s="72" t="s">
        <v>2045</v>
      </c>
      <c r="L230" s="72" t="s">
        <v>3025</v>
      </c>
      <c r="M230" s="72">
        <v>2012</v>
      </c>
      <c r="O230" s="72" t="s">
        <v>3024</v>
      </c>
      <c r="P230" s="76" t="s">
        <v>5</v>
      </c>
      <c r="Q230" s="76">
        <v>8.3000000000000007</v>
      </c>
      <c r="R230" s="76" t="s">
        <v>3023</v>
      </c>
      <c r="S230" s="76" t="s">
        <v>4</v>
      </c>
      <c r="T230" s="76" t="s">
        <v>1</v>
      </c>
      <c r="U230" s="76" t="s">
        <v>3022</v>
      </c>
      <c r="V230" s="76" t="s">
        <v>1</v>
      </c>
      <c r="W230" s="76" t="s">
        <v>1</v>
      </c>
      <c r="X230" s="76" t="s">
        <v>1</v>
      </c>
      <c r="Y230" s="76" t="s">
        <v>1</v>
      </c>
      <c r="Z230" s="76" t="s">
        <v>1</v>
      </c>
      <c r="AA230" s="76" t="s">
        <v>1</v>
      </c>
      <c r="AB230" s="72" t="s">
        <v>3021</v>
      </c>
      <c r="AE230" s="25" t="s">
        <v>8957</v>
      </c>
      <c r="AF230" s="344" t="s">
        <v>7145</v>
      </c>
      <c r="AG230" s="344" t="s">
        <v>7145</v>
      </c>
      <c r="AH230" s="348">
        <v>0</v>
      </c>
      <c r="AI230" s="341">
        <v>1.3888888888888888E-2</v>
      </c>
      <c r="AJ230" s="368"/>
    </row>
    <row r="231" spans="1:36">
      <c r="A231" s="165"/>
      <c r="B231" s="72" t="s">
        <v>3020</v>
      </c>
      <c r="C231" s="73" t="s">
        <v>1691</v>
      </c>
      <c r="D231" s="74">
        <v>75</v>
      </c>
      <c r="E231" s="72" t="s">
        <v>7</v>
      </c>
      <c r="F231" s="74">
        <v>26</v>
      </c>
      <c r="H231" s="77">
        <v>44594</v>
      </c>
      <c r="J231" s="72" t="s">
        <v>3019</v>
      </c>
      <c r="K231" s="72" t="s">
        <v>2045</v>
      </c>
      <c r="L231" s="72" t="s">
        <v>3018</v>
      </c>
      <c r="M231" s="72">
        <v>2015</v>
      </c>
      <c r="O231" s="72" t="s">
        <v>3017</v>
      </c>
      <c r="P231" s="76" t="s">
        <v>7</v>
      </c>
      <c r="Q231" s="76">
        <v>13</v>
      </c>
      <c r="R231" s="76" t="s">
        <v>941</v>
      </c>
      <c r="S231" s="76" t="s">
        <v>5</v>
      </c>
      <c r="T231" s="76">
        <v>5</v>
      </c>
      <c r="U231" s="76" t="s">
        <v>432</v>
      </c>
      <c r="V231" s="76" t="s">
        <v>4</v>
      </c>
      <c r="W231" s="76">
        <v>1.5</v>
      </c>
      <c r="X231" s="76" t="s">
        <v>1</v>
      </c>
      <c r="Y231" s="76" t="s">
        <v>1</v>
      </c>
      <c r="Z231" s="76" t="s">
        <v>1</v>
      </c>
      <c r="AA231" s="76" t="s">
        <v>1</v>
      </c>
      <c r="AB231" s="72" t="s">
        <v>2043</v>
      </c>
      <c r="AE231" s="25" t="s">
        <v>8958</v>
      </c>
      <c r="AF231" s="344" t="s">
        <v>7145</v>
      </c>
      <c r="AG231" s="344" t="s">
        <v>7145</v>
      </c>
      <c r="AH231" s="348">
        <v>0.124857</v>
      </c>
      <c r="AI231" s="341">
        <v>0.17222222222222222</v>
      </c>
      <c r="AJ231" s="368"/>
    </row>
    <row r="232" spans="1:36" s="12" customFormat="1">
      <c r="A232" s="165"/>
      <c r="B232" s="72" t="s">
        <v>461</v>
      </c>
      <c r="C232" s="73" t="s">
        <v>1691</v>
      </c>
      <c r="D232" s="74">
        <v>75</v>
      </c>
      <c r="E232" s="72" t="s">
        <v>7</v>
      </c>
      <c r="F232" s="74">
        <v>25.7</v>
      </c>
      <c r="G232" s="74"/>
      <c r="H232" s="27">
        <v>43837</v>
      </c>
      <c r="I232" s="72" t="s">
        <v>3016</v>
      </c>
      <c r="J232" s="72" t="s">
        <v>3015</v>
      </c>
      <c r="K232" s="72" t="s">
        <v>2045</v>
      </c>
      <c r="L232" s="72" t="s">
        <v>2062</v>
      </c>
      <c r="M232" s="72">
        <v>2015</v>
      </c>
      <c r="N232" s="72"/>
      <c r="O232" s="72" t="s">
        <v>3014</v>
      </c>
      <c r="P232" s="76" t="s">
        <v>5</v>
      </c>
      <c r="Q232" s="76">
        <v>21.6</v>
      </c>
      <c r="R232" s="76" t="s">
        <v>3013</v>
      </c>
      <c r="S232" s="76" t="s">
        <v>1</v>
      </c>
      <c r="T232" s="76" t="s">
        <v>1</v>
      </c>
      <c r="U232" s="76" t="s">
        <v>1</v>
      </c>
      <c r="V232" s="76" t="s">
        <v>1</v>
      </c>
      <c r="W232" s="76" t="s">
        <v>1</v>
      </c>
      <c r="X232" s="76" t="s">
        <v>1</v>
      </c>
      <c r="Y232" s="76" t="s">
        <v>1</v>
      </c>
      <c r="Z232" s="76" t="s">
        <v>1</v>
      </c>
      <c r="AA232" s="76" t="s">
        <v>1</v>
      </c>
      <c r="AB232" s="72" t="s">
        <v>3012</v>
      </c>
      <c r="AC232" s="72"/>
      <c r="AD232" s="72"/>
      <c r="AE232" s="25" t="s">
        <v>8959</v>
      </c>
      <c r="AF232" s="344" t="s">
        <v>7145</v>
      </c>
      <c r="AG232" s="344" t="s">
        <v>7145</v>
      </c>
      <c r="AH232" s="348">
        <v>0</v>
      </c>
      <c r="AI232" s="341">
        <v>0</v>
      </c>
      <c r="AJ232" s="368"/>
    </row>
    <row r="233" spans="1:36">
      <c r="A233" s="165"/>
      <c r="B233" s="72" t="s">
        <v>351</v>
      </c>
      <c r="C233" s="73" t="s">
        <v>1691</v>
      </c>
      <c r="D233" s="74">
        <v>75</v>
      </c>
      <c r="E233" s="72" t="s">
        <v>7</v>
      </c>
      <c r="F233" s="74">
        <v>22</v>
      </c>
      <c r="H233" s="77">
        <v>44861</v>
      </c>
      <c r="I233" s="72" t="s">
        <v>3011</v>
      </c>
      <c r="J233" s="72" t="s">
        <v>3010</v>
      </c>
      <c r="K233" s="72" t="s">
        <v>2045</v>
      </c>
      <c r="L233" s="72" t="s">
        <v>2062</v>
      </c>
      <c r="M233" s="72">
        <v>2018</v>
      </c>
      <c r="O233" s="72" t="s">
        <v>3009</v>
      </c>
      <c r="P233" s="76" t="s">
        <v>5</v>
      </c>
      <c r="Q233" s="76">
        <v>15</v>
      </c>
      <c r="R233" s="76" t="s">
        <v>3008</v>
      </c>
      <c r="S233" s="76" t="s">
        <v>4</v>
      </c>
      <c r="T233" s="76">
        <v>7</v>
      </c>
      <c r="U233" s="76" t="s">
        <v>352</v>
      </c>
      <c r="V233" s="76" t="s">
        <v>1</v>
      </c>
      <c r="W233" s="76" t="s">
        <v>1</v>
      </c>
      <c r="X233" s="76" t="s">
        <v>1</v>
      </c>
      <c r="Y233" s="76" t="s">
        <v>1</v>
      </c>
      <c r="Z233" s="76" t="s">
        <v>1</v>
      </c>
      <c r="AA233" s="76" t="s">
        <v>1</v>
      </c>
      <c r="AB233" s="72" t="s">
        <v>2078</v>
      </c>
      <c r="AE233" s="25" t="s">
        <v>8960</v>
      </c>
      <c r="AF233" s="344" t="s">
        <v>7145</v>
      </c>
      <c r="AG233" s="344" t="s">
        <v>7145</v>
      </c>
      <c r="AH233" s="348">
        <v>5.2529999999999999E-3</v>
      </c>
      <c r="AI233" s="341">
        <v>2.0833333333333333E-3</v>
      </c>
      <c r="AJ233" s="368"/>
    </row>
    <row r="234" spans="1:36" s="165" customFormat="1">
      <c r="A234" s="72"/>
      <c r="B234" s="176" t="s">
        <v>2033</v>
      </c>
      <c r="C234" s="184" t="s">
        <v>1691</v>
      </c>
      <c r="D234" s="177">
        <v>75</v>
      </c>
      <c r="E234" s="176" t="s">
        <v>5</v>
      </c>
      <c r="F234" s="177">
        <v>25</v>
      </c>
      <c r="G234" s="177">
        <f>+F234+Q234</f>
        <v>30</v>
      </c>
      <c r="H234" s="77">
        <v>44454</v>
      </c>
      <c r="I234" s="176" t="s">
        <v>6628</v>
      </c>
      <c r="J234" s="176" t="s">
        <v>6627</v>
      </c>
      <c r="K234" s="176" t="s">
        <v>2045</v>
      </c>
      <c r="L234" s="176" t="s">
        <v>6631</v>
      </c>
      <c r="M234" s="176">
        <v>2020</v>
      </c>
      <c r="N234" s="176"/>
      <c r="O234" s="176" t="s">
        <v>6630</v>
      </c>
      <c r="P234" s="179" t="s">
        <v>4</v>
      </c>
      <c r="Q234" s="179">
        <v>5</v>
      </c>
      <c r="R234" s="179" t="s">
        <v>1000</v>
      </c>
      <c r="S234" s="179" t="s">
        <v>1</v>
      </c>
      <c r="T234" s="179" t="s">
        <v>1</v>
      </c>
      <c r="U234" s="179" t="s">
        <v>1</v>
      </c>
      <c r="V234" s="179" t="s">
        <v>1</v>
      </c>
      <c r="W234" s="179" t="s">
        <v>1</v>
      </c>
      <c r="X234" s="179" t="s">
        <v>1</v>
      </c>
      <c r="Y234" s="179" t="s">
        <v>1</v>
      </c>
      <c r="Z234" s="179" t="s">
        <v>1</v>
      </c>
      <c r="AA234" s="179" t="s">
        <v>1</v>
      </c>
      <c r="AB234" s="176" t="s">
        <v>6600</v>
      </c>
      <c r="AC234" s="176" t="s">
        <v>6603</v>
      </c>
      <c r="AD234" s="176" t="s">
        <v>6611</v>
      </c>
      <c r="AE234" s="186" t="s">
        <v>6629</v>
      </c>
      <c r="AF234" s="344" t="s">
        <v>7145</v>
      </c>
      <c r="AG234" s="344" t="s">
        <v>7145</v>
      </c>
      <c r="AH234" s="348">
        <v>5.2529999999999999E-3</v>
      </c>
      <c r="AI234" s="362">
        <v>0.12291666666666666</v>
      </c>
      <c r="AJ234" s="368"/>
    </row>
    <row r="235" spans="1:36">
      <c r="B235" s="72" t="s">
        <v>722</v>
      </c>
      <c r="C235" s="73" t="s">
        <v>1691</v>
      </c>
      <c r="D235" s="74">
        <v>75</v>
      </c>
      <c r="E235" s="72" t="s">
        <v>5</v>
      </c>
      <c r="F235" s="74">
        <v>20</v>
      </c>
      <c r="H235" s="77">
        <v>44903</v>
      </c>
      <c r="I235" s="72" t="s">
        <v>3007</v>
      </c>
      <c r="J235" s="72" t="s">
        <v>3006</v>
      </c>
      <c r="K235" s="72" t="s">
        <v>2045</v>
      </c>
      <c r="L235" s="72" t="s">
        <v>3005</v>
      </c>
      <c r="M235" s="84" t="s">
        <v>2982</v>
      </c>
      <c r="O235" s="72" t="s">
        <v>3004</v>
      </c>
      <c r="P235" s="76" t="s">
        <v>5</v>
      </c>
      <c r="Q235" s="76">
        <v>11</v>
      </c>
      <c r="R235" s="76" t="s">
        <v>3003</v>
      </c>
      <c r="S235" s="76" t="s">
        <v>4</v>
      </c>
      <c r="T235" s="76">
        <v>3</v>
      </c>
      <c r="U235" s="76" t="s">
        <v>3002</v>
      </c>
      <c r="V235" s="76" t="s">
        <v>278</v>
      </c>
      <c r="W235" s="76">
        <v>1.2</v>
      </c>
      <c r="X235" s="76" t="s">
        <v>3001</v>
      </c>
      <c r="Y235" s="76" t="s">
        <v>1</v>
      </c>
      <c r="Z235" s="76" t="s">
        <v>1</v>
      </c>
      <c r="AA235" s="76" t="s">
        <v>1</v>
      </c>
      <c r="AB235" s="72" t="s">
        <v>2043</v>
      </c>
      <c r="AE235" s="25" t="s">
        <v>8961</v>
      </c>
      <c r="AF235" s="344" t="s">
        <v>7145</v>
      </c>
      <c r="AG235" s="344" t="s">
        <v>7145</v>
      </c>
      <c r="AH235" s="348">
        <v>7.6860000000000001E-3</v>
      </c>
      <c r="AI235" s="341">
        <v>3.6805555555555557E-2</v>
      </c>
      <c r="AJ235" s="368"/>
    </row>
    <row r="236" spans="1:36">
      <c r="B236" s="72" t="s">
        <v>3000</v>
      </c>
      <c r="C236" s="73" t="s">
        <v>1691</v>
      </c>
      <c r="D236" s="74">
        <v>75</v>
      </c>
      <c r="E236" s="72" t="s">
        <v>5</v>
      </c>
      <c r="F236" s="74">
        <v>20</v>
      </c>
      <c r="H236" s="77">
        <v>44578</v>
      </c>
      <c r="I236" s="72" t="s">
        <v>2873</v>
      </c>
      <c r="K236" s="72" t="s">
        <v>2045</v>
      </c>
      <c r="L236" s="72" t="s">
        <v>2524</v>
      </c>
      <c r="M236" s="78">
        <v>43510</v>
      </c>
      <c r="O236" s="72" t="s">
        <v>2999</v>
      </c>
      <c r="P236" s="76" t="s">
        <v>4</v>
      </c>
      <c r="Q236" s="76">
        <v>6</v>
      </c>
      <c r="R236" s="76" t="s">
        <v>2998</v>
      </c>
      <c r="S236" s="76" t="s">
        <v>4</v>
      </c>
      <c r="T236" s="76" t="s">
        <v>1</v>
      </c>
      <c r="U236" s="76" t="s">
        <v>2997</v>
      </c>
      <c r="V236" s="76" t="s">
        <v>1</v>
      </c>
      <c r="W236" s="76" t="s">
        <v>1</v>
      </c>
      <c r="X236" s="76" t="s">
        <v>1</v>
      </c>
      <c r="Y236" s="76" t="s">
        <v>1</v>
      </c>
      <c r="Z236" s="76" t="s">
        <v>1</v>
      </c>
      <c r="AA236" s="76" t="s">
        <v>1</v>
      </c>
      <c r="AB236" s="72" t="s">
        <v>2435</v>
      </c>
      <c r="AE236" s="25" t="s">
        <v>8962</v>
      </c>
      <c r="AF236" s="344" t="s">
        <v>7145</v>
      </c>
      <c r="AG236" s="344" t="s">
        <v>7145</v>
      </c>
      <c r="AH236" s="348">
        <v>3.8362E-2</v>
      </c>
      <c r="AI236" s="341">
        <v>0.14027777777777778</v>
      </c>
      <c r="AJ236" s="368"/>
    </row>
    <row r="237" spans="1:36">
      <c r="B237" s="72" t="s">
        <v>2996</v>
      </c>
      <c r="C237" s="73" t="s">
        <v>1691</v>
      </c>
      <c r="D237" s="74">
        <v>75</v>
      </c>
      <c r="E237" s="72" t="s">
        <v>5</v>
      </c>
      <c r="F237" s="74">
        <v>20</v>
      </c>
      <c r="H237" s="77">
        <v>44602</v>
      </c>
      <c r="I237" s="72" t="s">
        <v>2995</v>
      </c>
      <c r="J237" s="72" t="s">
        <v>2994</v>
      </c>
      <c r="K237" s="72" t="s">
        <v>2045</v>
      </c>
      <c r="L237" s="72" t="s">
        <v>2524</v>
      </c>
      <c r="M237" s="72">
        <v>2019</v>
      </c>
      <c r="O237" s="72" t="s">
        <v>2993</v>
      </c>
      <c r="P237" s="76" t="s">
        <v>1</v>
      </c>
      <c r="Q237" s="76" t="s">
        <v>1</v>
      </c>
      <c r="R237" s="76" t="s">
        <v>1</v>
      </c>
      <c r="S237" s="76" t="s">
        <v>1</v>
      </c>
      <c r="T237" s="76" t="s">
        <v>1</v>
      </c>
      <c r="U237" s="76" t="s">
        <v>1</v>
      </c>
      <c r="V237" s="76" t="s">
        <v>1</v>
      </c>
      <c r="W237" s="76" t="s">
        <v>1</v>
      </c>
      <c r="X237" s="76" t="s">
        <v>1</v>
      </c>
      <c r="Y237" s="76" t="s">
        <v>1</v>
      </c>
      <c r="Z237" s="76" t="s">
        <v>1</v>
      </c>
      <c r="AA237" s="76" t="s">
        <v>1</v>
      </c>
      <c r="AB237" s="72" t="s">
        <v>2078</v>
      </c>
      <c r="AE237" s="25" t="s">
        <v>7789</v>
      </c>
      <c r="AF237" s="344" t="s">
        <v>7145</v>
      </c>
      <c r="AG237" s="344" t="s">
        <v>7145</v>
      </c>
      <c r="AH237" s="348">
        <v>6.6381999999999997E-2</v>
      </c>
      <c r="AI237" s="341">
        <v>0.28333333333333333</v>
      </c>
      <c r="AJ237" s="368"/>
    </row>
    <row r="238" spans="1:36">
      <c r="B238" s="12" t="s">
        <v>695</v>
      </c>
      <c r="C238" s="29" t="s">
        <v>1691</v>
      </c>
      <c r="D238" s="15">
        <v>75</v>
      </c>
      <c r="E238" s="12" t="s">
        <v>5</v>
      </c>
      <c r="F238" s="15">
        <v>20</v>
      </c>
      <c r="G238" s="15"/>
      <c r="H238" s="33">
        <v>44392</v>
      </c>
      <c r="I238" s="12" t="s">
        <v>2992</v>
      </c>
      <c r="J238" s="12" t="s">
        <v>2991</v>
      </c>
      <c r="K238" s="32" t="s">
        <v>2045</v>
      </c>
      <c r="L238" s="32" t="s">
        <v>2451</v>
      </c>
      <c r="M238" s="12">
        <v>2019</v>
      </c>
      <c r="N238" s="12"/>
      <c r="O238" s="12" t="s">
        <v>2990</v>
      </c>
      <c r="P238" s="24" t="s">
        <v>4</v>
      </c>
      <c r="Q238" s="24">
        <v>3.4</v>
      </c>
      <c r="R238" s="24" t="s">
        <v>696</v>
      </c>
      <c r="S238" s="24" t="s">
        <v>1</v>
      </c>
      <c r="T238" s="24" t="s">
        <v>1</v>
      </c>
      <c r="U238" s="24" t="s">
        <v>1</v>
      </c>
      <c r="V238" s="24" t="s">
        <v>1</v>
      </c>
      <c r="W238" s="24" t="s">
        <v>1</v>
      </c>
      <c r="X238" s="24" t="s">
        <v>1</v>
      </c>
      <c r="Y238" s="24" t="s">
        <v>1</v>
      </c>
      <c r="Z238" s="24" t="s">
        <v>1</v>
      </c>
      <c r="AA238" s="24" t="s">
        <v>1</v>
      </c>
      <c r="AB238" s="12" t="s">
        <v>2055</v>
      </c>
      <c r="AC238" s="12"/>
      <c r="AD238" s="12"/>
      <c r="AE238" s="25" t="s">
        <v>8963</v>
      </c>
      <c r="AF238" s="344" t="s">
        <v>7145</v>
      </c>
      <c r="AG238" s="344" t="s">
        <v>7145</v>
      </c>
      <c r="AH238" s="348">
        <v>0</v>
      </c>
      <c r="AI238" s="345">
        <v>9.7222222222222224E-2</v>
      </c>
      <c r="AJ238" s="368"/>
    </row>
    <row r="239" spans="1:36">
      <c r="B239" s="12" t="s">
        <v>2989</v>
      </c>
      <c r="C239" s="29" t="s">
        <v>1691</v>
      </c>
      <c r="D239" s="15">
        <v>75</v>
      </c>
      <c r="E239" s="12" t="s">
        <v>5</v>
      </c>
      <c r="F239" s="15">
        <v>20</v>
      </c>
      <c r="G239" s="15"/>
      <c r="H239" s="14">
        <v>44614</v>
      </c>
      <c r="I239" s="12" t="s">
        <v>2988</v>
      </c>
      <c r="J239" s="12"/>
      <c r="K239" s="12" t="s">
        <v>2569</v>
      </c>
      <c r="L239" s="12" t="s">
        <v>2987</v>
      </c>
      <c r="M239" s="12">
        <v>2021</v>
      </c>
      <c r="N239" s="12"/>
      <c r="O239" s="12" t="s">
        <v>2986</v>
      </c>
      <c r="P239" s="24" t="s">
        <v>1</v>
      </c>
      <c r="Q239" s="24" t="s">
        <v>1</v>
      </c>
      <c r="R239" s="24" t="s">
        <v>1</v>
      </c>
      <c r="S239" s="24" t="s">
        <v>1</v>
      </c>
      <c r="T239" s="24" t="s">
        <v>1</v>
      </c>
      <c r="U239" s="24" t="s">
        <v>1</v>
      </c>
      <c r="V239" s="24" t="s">
        <v>1</v>
      </c>
      <c r="W239" s="24" t="s">
        <v>1</v>
      </c>
      <c r="X239" s="24" t="s">
        <v>1</v>
      </c>
      <c r="Y239" s="24" t="s">
        <v>1</v>
      </c>
      <c r="Z239" s="24" t="s">
        <v>1</v>
      </c>
      <c r="AA239" s="24" t="s">
        <v>1</v>
      </c>
      <c r="AB239" s="12" t="s">
        <v>2985</v>
      </c>
      <c r="AC239" s="12"/>
      <c r="AD239" s="12"/>
      <c r="AE239" s="37" t="s">
        <v>8964</v>
      </c>
      <c r="AF239" s="370" t="s">
        <v>7145</v>
      </c>
      <c r="AG239" s="370" t="s">
        <v>7145</v>
      </c>
      <c r="AH239" s="376">
        <v>0</v>
      </c>
      <c r="AI239" s="364">
        <v>0.16250000000000001</v>
      </c>
      <c r="AJ239" s="368"/>
    </row>
    <row r="240" spans="1:36">
      <c r="B240" s="12" t="s">
        <v>720</v>
      </c>
      <c r="C240" s="73" t="s">
        <v>1691</v>
      </c>
      <c r="D240" s="74">
        <v>75</v>
      </c>
      <c r="E240" s="72" t="s">
        <v>5</v>
      </c>
      <c r="F240" s="74">
        <v>20</v>
      </c>
      <c r="H240" s="27">
        <v>44455</v>
      </c>
      <c r="I240" s="72" t="s">
        <v>2984</v>
      </c>
      <c r="J240" s="72" t="s">
        <v>2983</v>
      </c>
      <c r="K240" s="72" t="s">
        <v>2569</v>
      </c>
      <c r="L240" s="72" t="s">
        <v>2395</v>
      </c>
      <c r="M240" s="86" t="s">
        <v>2982</v>
      </c>
      <c r="O240" s="72" t="s">
        <v>2981</v>
      </c>
      <c r="P240" s="76" t="s">
        <v>4</v>
      </c>
      <c r="Q240" s="76" t="s">
        <v>2980</v>
      </c>
      <c r="R240" s="76" t="s">
        <v>1</v>
      </c>
      <c r="S240" s="76" t="s">
        <v>1</v>
      </c>
      <c r="T240" s="76" t="s">
        <v>1</v>
      </c>
      <c r="U240" s="76" t="s">
        <v>1</v>
      </c>
      <c r="V240" s="76" t="s">
        <v>1</v>
      </c>
      <c r="W240" s="76" t="s">
        <v>1</v>
      </c>
      <c r="X240" s="76" t="s">
        <v>1</v>
      </c>
      <c r="Y240" s="76" t="s">
        <v>1</v>
      </c>
      <c r="Z240" s="76" t="s">
        <v>1</v>
      </c>
      <c r="AA240" s="76" t="s">
        <v>1</v>
      </c>
      <c r="AB240" s="72" t="s">
        <v>2979</v>
      </c>
      <c r="AE240" s="25" t="s">
        <v>8965</v>
      </c>
      <c r="AF240" s="344" t="s">
        <v>7145</v>
      </c>
      <c r="AG240" s="344" t="s">
        <v>7145</v>
      </c>
      <c r="AH240" s="376">
        <v>0.95182800000000001</v>
      </c>
      <c r="AI240" s="341">
        <v>0.40763888888888888</v>
      </c>
      <c r="AJ240" s="368"/>
    </row>
    <row r="241" spans="1:36">
      <c r="B241" s="72" t="s">
        <v>1123</v>
      </c>
      <c r="C241" s="73" t="s">
        <v>1691</v>
      </c>
      <c r="D241" s="74">
        <v>75</v>
      </c>
      <c r="E241" s="72" t="s">
        <v>5</v>
      </c>
      <c r="F241" s="74">
        <v>20</v>
      </c>
      <c r="H241" s="27">
        <v>44371</v>
      </c>
      <c r="I241" s="72" t="s">
        <v>2978</v>
      </c>
      <c r="J241" s="72" t="s">
        <v>2977</v>
      </c>
      <c r="K241" s="72" t="s">
        <v>2045</v>
      </c>
      <c r="L241" s="72" t="s">
        <v>2230</v>
      </c>
      <c r="M241" s="86">
        <v>2020</v>
      </c>
      <c r="O241" s="72" t="s">
        <v>2976</v>
      </c>
      <c r="P241" s="76" t="s">
        <v>1</v>
      </c>
      <c r="Q241" s="76" t="s">
        <v>1</v>
      </c>
      <c r="R241" s="76" t="s">
        <v>1</v>
      </c>
      <c r="S241" s="76" t="s">
        <v>1</v>
      </c>
      <c r="T241" s="76" t="s">
        <v>1</v>
      </c>
      <c r="U241" s="76" t="s">
        <v>1</v>
      </c>
      <c r="V241" s="76" t="s">
        <v>1</v>
      </c>
      <c r="W241" s="76" t="s">
        <v>1</v>
      </c>
      <c r="X241" s="76" t="s">
        <v>1</v>
      </c>
      <c r="Y241" s="76" t="s">
        <v>1</v>
      </c>
      <c r="Z241" s="76" t="s">
        <v>1</v>
      </c>
      <c r="AA241" s="76" t="s">
        <v>1</v>
      </c>
      <c r="AB241" s="274" t="s">
        <v>6600</v>
      </c>
      <c r="AC241" s="274" t="s">
        <v>6608</v>
      </c>
      <c r="AD241" s="274" t="s">
        <v>8968</v>
      </c>
      <c r="AE241" s="25" t="s">
        <v>8966</v>
      </c>
      <c r="AF241" s="344" t="s">
        <v>7145</v>
      </c>
      <c r="AG241" s="344" t="s">
        <v>7145</v>
      </c>
      <c r="AH241" s="348">
        <v>8.3510000000000008E-3</v>
      </c>
      <c r="AI241" s="341">
        <v>4.5138888888888888E-2</v>
      </c>
      <c r="AJ241" s="368"/>
    </row>
    <row r="242" spans="1:36">
      <c r="B242" s="72" t="s">
        <v>2975</v>
      </c>
      <c r="C242" s="73" t="s">
        <v>1691</v>
      </c>
      <c r="D242" s="74">
        <v>75</v>
      </c>
      <c r="E242" s="72" t="s">
        <v>4</v>
      </c>
      <c r="F242" s="74">
        <v>20</v>
      </c>
      <c r="H242" s="77">
        <v>44594</v>
      </c>
      <c r="I242" s="72" t="s">
        <v>2974</v>
      </c>
      <c r="J242" s="72" t="s">
        <v>2973</v>
      </c>
      <c r="K242" s="72" t="s">
        <v>2349</v>
      </c>
      <c r="L242" s="72" t="s">
        <v>2972</v>
      </c>
      <c r="M242" s="72">
        <v>2021</v>
      </c>
      <c r="O242" s="72" t="s">
        <v>1</v>
      </c>
      <c r="P242" s="72" t="s">
        <v>1</v>
      </c>
      <c r="Q242" s="72" t="s">
        <v>1</v>
      </c>
      <c r="R242" s="72" t="s">
        <v>1</v>
      </c>
      <c r="S242" s="72" t="s">
        <v>1</v>
      </c>
      <c r="T242" s="72" t="s">
        <v>1</v>
      </c>
      <c r="U242" s="72" t="s">
        <v>1</v>
      </c>
      <c r="V242" s="72" t="s">
        <v>1</v>
      </c>
      <c r="W242" s="72" t="s">
        <v>1</v>
      </c>
      <c r="X242" s="72" t="s">
        <v>1</v>
      </c>
      <c r="Y242" s="72" t="s">
        <v>1</v>
      </c>
      <c r="Z242" s="72" t="s">
        <v>1</v>
      </c>
      <c r="AA242" s="72" t="s">
        <v>1</v>
      </c>
      <c r="AB242" s="72" t="s">
        <v>2145</v>
      </c>
      <c r="AE242" s="25" t="s">
        <v>8967</v>
      </c>
      <c r="AF242" s="344" t="s">
        <v>7145</v>
      </c>
      <c r="AG242" s="344" t="s">
        <v>7145</v>
      </c>
      <c r="AH242" s="348">
        <v>0</v>
      </c>
      <c r="AI242" s="341">
        <v>0.20208333333333334</v>
      </c>
      <c r="AJ242" s="368"/>
    </row>
    <row r="243" spans="1:36">
      <c r="B243" s="72" t="s">
        <v>2971</v>
      </c>
      <c r="C243" s="73" t="s">
        <v>1691</v>
      </c>
      <c r="D243" s="74">
        <v>75</v>
      </c>
      <c r="E243" s="72" t="s">
        <v>4</v>
      </c>
      <c r="F243" s="74">
        <v>18</v>
      </c>
      <c r="H243" s="77">
        <v>45022</v>
      </c>
      <c r="I243" s="72" t="s">
        <v>2970</v>
      </c>
      <c r="K243" s="72" t="s">
        <v>2045</v>
      </c>
      <c r="L243" s="72" t="s">
        <v>1795</v>
      </c>
      <c r="M243" s="72">
        <v>2022</v>
      </c>
      <c r="N243" s="72" t="s">
        <v>1900</v>
      </c>
      <c r="O243" s="72" t="s">
        <v>2969</v>
      </c>
      <c r="P243" s="76" t="s">
        <v>278</v>
      </c>
      <c r="Q243" s="76">
        <v>2.2999999999999998</v>
      </c>
      <c r="R243" s="76" t="s">
        <v>2968</v>
      </c>
      <c r="S243" s="76" t="s">
        <v>1</v>
      </c>
      <c r="T243" s="76" t="s">
        <v>1</v>
      </c>
      <c r="U243" s="76" t="s">
        <v>1</v>
      </c>
      <c r="V243" s="76" t="s">
        <v>1</v>
      </c>
      <c r="W243" s="76" t="s">
        <v>1</v>
      </c>
      <c r="X243" s="76" t="s">
        <v>1</v>
      </c>
      <c r="Y243" s="76" t="s">
        <v>1</v>
      </c>
      <c r="Z243" s="76" t="s">
        <v>1</v>
      </c>
      <c r="AA243" s="76" t="s">
        <v>1</v>
      </c>
      <c r="AB243" s="72" t="s">
        <v>2048</v>
      </c>
      <c r="AE243" s="25" t="s">
        <v>8969</v>
      </c>
      <c r="AF243" s="344" t="s">
        <v>7145</v>
      </c>
      <c r="AG243" s="344" t="s">
        <v>7145</v>
      </c>
      <c r="AH243" s="348">
        <v>0.15759100000000001</v>
      </c>
      <c r="AI243" s="341">
        <v>0.15833333333333333</v>
      </c>
      <c r="AJ243" s="368"/>
    </row>
    <row r="244" spans="1:36">
      <c r="B244" s="12" t="s">
        <v>663</v>
      </c>
      <c r="C244" s="29" t="s">
        <v>1691</v>
      </c>
      <c r="D244" s="15">
        <v>75</v>
      </c>
      <c r="E244" s="12" t="s">
        <v>5</v>
      </c>
      <c r="F244" s="15">
        <v>17</v>
      </c>
      <c r="G244" s="15"/>
      <c r="H244" s="14">
        <v>44679</v>
      </c>
      <c r="I244" s="12" t="s">
        <v>2967</v>
      </c>
      <c r="J244" s="12" t="s">
        <v>2966</v>
      </c>
      <c r="K244" s="12" t="s">
        <v>2569</v>
      </c>
      <c r="L244" s="12" t="s">
        <v>2395</v>
      </c>
      <c r="M244" s="12">
        <v>2019</v>
      </c>
      <c r="O244" s="72" t="s">
        <v>2965</v>
      </c>
      <c r="P244" s="76" t="s">
        <v>4</v>
      </c>
      <c r="Q244" s="76">
        <v>4.5</v>
      </c>
      <c r="R244" s="76" t="s">
        <v>2964</v>
      </c>
      <c r="S244" s="76" t="s">
        <v>1</v>
      </c>
      <c r="T244" s="76" t="s">
        <v>1</v>
      </c>
      <c r="U244" s="76" t="s">
        <v>1</v>
      </c>
      <c r="V244" s="76" t="s">
        <v>1</v>
      </c>
      <c r="W244" s="76" t="s">
        <v>1</v>
      </c>
      <c r="X244" s="76" t="s">
        <v>1</v>
      </c>
      <c r="Y244" s="76" t="s">
        <v>1</v>
      </c>
      <c r="Z244" s="76" t="s">
        <v>1</v>
      </c>
      <c r="AA244" s="76" t="s">
        <v>1</v>
      </c>
      <c r="AB244" s="72" t="s">
        <v>2362</v>
      </c>
      <c r="AE244" s="25" t="s">
        <v>8970</v>
      </c>
      <c r="AF244" s="344" t="s">
        <v>7145</v>
      </c>
      <c r="AG244" s="344" t="s">
        <v>7145</v>
      </c>
      <c r="AH244" s="348">
        <v>1.1568999999999999E-2</v>
      </c>
      <c r="AI244" s="341">
        <v>1.5277777777777777E-2</v>
      </c>
      <c r="AJ244" s="368"/>
    </row>
    <row r="245" spans="1:36">
      <c r="B245" s="12" t="s">
        <v>2963</v>
      </c>
      <c r="C245" s="29" t="s">
        <v>1691</v>
      </c>
      <c r="D245" s="15">
        <v>75</v>
      </c>
      <c r="E245" s="12" t="s">
        <v>4</v>
      </c>
      <c r="F245" s="15">
        <v>16</v>
      </c>
      <c r="G245" s="15"/>
      <c r="H245" s="33">
        <v>44434</v>
      </c>
      <c r="I245" s="12" t="s">
        <v>2962</v>
      </c>
      <c r="J245" s="12" t="s">
        <v>2961</v>
      </c>
      <c r="K245" s="12" t="s">
        <v>2308</v>
      </c>
      <c r="L245" s="12" t="s">
        <v>2698</v>
      </c>
      <c r="M245" s="12">
        <v>2020</v>
      </c>
      <c r="N245" s="12"/>
      <c r="O245" s="12" t="s">
        <v>2960</v>
      </c>
      <c r="P245" s="24" t="s">
        <v>278</v>
      </c>
      <c r="Q245" s="24" t="s">
        <v>1</v>
      </c>
      <c r="R245" s="24" t="s">
        <v>2959</v>
      </c>
      <c r="S245" s="24" t="s">
        <v>1</v>
      </c>
      <c r="T245" s="24" t="s">
        <v>1</v>
      </c>
      <c r="U245" s="24" t="s">
        <v>1</v>
      </c>
      <c r="V245" s="24" t="s">
        <v>1</v>
      </c>
      <c r="W245" s="24" t="s">
        <v>1</v>
      </c>
      <c r="X245" s="24" t="s">
        <v>1</v>
      </c>
      <c r="Y245" s="24" t="s">
        <v>1</v>
      </c>
      <c r="Z245" s="24" t="s">
        <v>1</v>
      </c>
      <c r="AA245" s="24" t="s">
        <v>1</v>
      </c>
      <c r="AB245" s="12" t="s">
        <v>2435</v>
      </c>
      <c r="AC245" s="12"/>
      <c r="AD245" s="12"/>
      <c r="AE245" s="37" t="s">
        <v>8971</v>
      </c>
      <c r="AF245" s="370" t="s">
        <v>7145</v>
      </c>
      <c r="AG245" s="370" t="s">
        <v>7145</v>
      </c>
      <c r="AH245" s="376">
        <v>1.0897E-2</v>
      </c>
      <c r="AI245" s="364">
        <v>4.791666666666667E-2</v>
      </c>
      <c r="AJ245" s="368"/>
    </row>
    <row r="246" spans="1:36" s="176" customFormat="1">
      <c r="A246" s="72"/>
      <c r="B246" s="72" t="s">
        <v>848</v>
      </c>
      <c r="C246" s="73" t="s">
        <v>1691</v>
      </c>
      <c r="D246" s="74">
        <v>75</v>
      </c>
      <c r="E246" s="72" t="s">
        <v>4</v>
      </c>
      <c r="F246" s="74">
        <v>16</v>
      </c>
      <c r="G246" s="74"/>
      <c r="H246" s="27">
        <v>44298</v>
      </c>
      <c r="I246" s="72"/>
      <c r="J246" s="72" t="s">
        <v>2958</v>
      </c>
      <c r="K246" s="72" t="s">
        <v>2045</v>
      </c>
      <c r="L246" s="72" t="s">
        <v>2126</v>
      </c>
      <c r="M246" s="72">
        <v>2019</v>
      </c>
      <c r="N246" s="72"/>
      <c r="O246" s="72" t="s">
        <v>2957</v>
      </c>
      <c r="P246" s="76" t="s">
        <v>4</v>
      </c>
      <c r="Q246" s="76" t="s">
        <v>1</v>
      </c>
      <c r="R246" s="76" t="s">
        <v>2956</v>
      </c>
      <c r="S246" s="76" t="s">
        <v>1</v>
      </c>
      <c r="T246" s="76" t="s">
        <v>1</v>
      </c>
      <c r="U246" s="76" t="s">
        <v>1</v>
      </c>
      <c r="V246" s="76" t="s">
        <v>1</v>
      </c>
      <c r="W246" s="76" t="s">
        <v>1</v>
      </c>
      <c r="X246" s="76" t="s">
        <v>1</v>
      </c>
      <c r="Y246" s="76" t="s">
        <v>1</v>
      </c>
      <c r="Z246" s="76" t="s">
        <v>1</v>
      </c>
      <c r="AA246" s="76" t="s">
        <v>1</v>
      </c>
      <c r="AB246" s="72" t="s">
        <v>2362</v>
      </c>
      <c r="AC246" s="72"/>
      <c r="AD246" s="72"/>
      <c r="AE246" s="25" t="s">
        <v>8972</v>
      </c>
      <c r="AF246" s="344" t="s">
        <v>7145</v>
      </c>
      <c r="AG246" s="344" t="s">
        <v>7145</v>
      </c>
      <c r="AH246" s="348">
        <v>0.51750399999999996</v>
      </c>
      <c r="AI246" s="341">
        <v>0.15277777777777779</v>
      </c>
      <c r="AJ246" s="368"/>
    </row>
    <row r="247" spans="1:36">
      <c r="B247" s="72" t="s">
        <v>2017</v>
      </c>
      <c r="C247" s="215" t="s">
        <v>1691</v>
      </c>
      <c r="D247" s="74">
        <v>75</v>
      </c>
      <c r="E247" s="216" t="s">
        <v>5</v>
      </c>
      <c r="F247" s="74">
        <v>10</v>
      </c>
      <c r="G247" s="74">
        <v>14</v>
      </c>
      <c r="H247" s="77">
        <v>44504</v>
      </c>
      <c r="I247" s="216" t="s">
        <v>7265</v>
      </c>
      <c r="J247" s="216" t="s">
        <v>7264</v>
      </c>
      <c r="K247" s="216" t="s">
        <v>2045</v>
      </c>
      <c r="L247" s="216" t="s">
        <v>2056</v>
      </c>
      <c r="M247" s="72">
        <v>2019</v>
      </c>
      <c r="N247" s="72" t="s">
        <v>7274</v>
      </c>
      <c r="O247" s="72" t="s">
        <v>7275</v>
      </c>
      <c r="P247" s="76" t="s">
        <v>4</v>
      </c>
      <c r="Q247" s="76">
        <v>4</v>
      </c>
      <c r="R247" s="76" t="s">
        <v>7276</v>
      </c>
      <c r="S247" s="76" t="s">
        <v>1</v>
      </c>
      <c r="T247" s="76" t="s">
        <v>1</v>
      </c>
      <c r="U247" s="76" t="s">
        <v>1</v>
      </c>
      <c r="V247" s="76" t="s">
        <v>1</v>
      </c>
      <c r="W247" s="76" t="s">
        <v>1</v>
      </c>
      <c r="X247" s="76" t="s">
        <v>1</v>
      </c>
      <c r="Y247" s="76" t="s">
        <v>1</v>
      </c>
      <c r="Z247" s="76" t="s">
        <v>1</v>
      </c>
      <c r="AA247" s="76" t="s">
        <v>1</v>
      </c>
      <c r="AB247" s="216" t="s">
        <v>6600</v>
      </c>
      <c r="AC247" s="216" t="s">
        <v>6602</v>
      </c>
      <c r="AD247" s="216" t="s">
        <v>2900</v>
      </c>
      <c r="AE247" s="25" t="s">
        <v>7263</v>
      </c>
      <c r="AF247" s="344" t="s">
        <v>7145</v>
      </c>
      <c r="AG247" s="344" t="s">
        <v>7145</v>
      </c>
      <c r="AH247" s="348">
        <v>4.7799000000000001E-2</v>
      </c>
      <c r="AI247" s="341">
        <v>1.1111111111111112E-2</v>
      </c>
      <c r="AJ247" s="368"/>
    </row>
    <row r="248" spans="1:36">
      <c r="B248" s="72" t="s">
        <v>289</v>
      </c>
      <c r="C248" s="73" t="s">
        <v>1691</v>
      </c>
      <c r="D248" s="74">
        <v>75</v>
      </c>
      <c r="E248" s="72" t="s">
        <v>5</v>
      </c>
      <c r="F248" s="74">
        <v>30</v>
      </c>
      <c r="H248" s="77">
        <v>44474</v>
      </c>
      <c r="I248" s="72" t="s">
        <v>2955</v>
      </c>
      <c r="J248" s="72" t="s">
        <v>2954</v>
      </c>
      <c r="K248" s="72" t="s">
        <v>2045</v>
      </c>
      <c r="L248" s="72" t="s">
        <v>2079</v>
      </c>
      <c r="M248" s="72">
        <v>2017</v>
      </c>
      <c r="O248" s="72" t="s">
        <v>2953</v>
      </c>
      <c r="P248" s="76" t="s">
        <v>4</v>
      </c>
      <c r="Q248" s="76">
        <v>15</v>
      </c>
      <c r="R248" s="76" t="s">
        <v>2952</v>
      </c>
      <c r="S248" s="76" t="s">
        <v>1</v>
      </c>
      <c r="T248" s="76" t="s">
        <v>1</v>
      </c>
      <c r="U248" s="76" t="s">
        <v>1</v>
      </c>
      <c r="V248" s="76" t="s">
        <v>1</v>
      </c>
      <c r="W248" s="76" t="s">
        <v>1</v>
      </c>
      <c r="X248" s="76" t="s">
        <v>1</v>
      </c>
      <c r="Y248" s="76" t="s">
        <v>1</v>
      </c>
      <c r="Z248" s="76" t="s">
        <v>1</v>
      </c>
      <c r="AA248" s="76" t="s">
        <v>1</v>
      </c>
      <c r="AB248" s="72" t="s">
        <v>2951</v>
      </c>
      <c r="AE248" s="25" t="s">
        <v>8973</v>
      </c>
      <c r="AF248" s="344" t="s">
        <v>7145</v>
      </c>
      <c r="AG248" s="344" t="s">
        <v>7145</v>
      </c>
      <c r="AH248" s="348">
        <v>1.0876E-2</v>
      </c>
      <c r="AI248" s="341">
        <v>0.11041666666666666</v>
      </c>
      <c r="AJ248" s="368"/>
    </row>
    <row r="249" spans="1:36" s="12" customFormat="1">
      <c r="A249" s="72"/>
      <c r="B249" s="72" t="s">
        <v>1122</v>
      </c>
      <c r="C249" s="73" t="s">
        <v>1691</v>
      </c>
      <c r="D249" s="74">
        <v>75</v>
      </c>
      <c r="E249" s="72" t="s">
        <v>5</v>
      </c>
      <c r="F249" s="74">
        <v>15</v>
      </c>
      <c r="G249" s="74"/>
      <c r="H249" s="77">
        <v>44468</v>
      </c>
      <c r="I249" s="12" t="s">
        <v>2950</v>
      </c>
      <c r="J249" s="72"/>
      <c r="K249" s="72" t="s">
        <v>2045</v>
      </c>
      <c r="L249" s="72" t="s">
        <v>2456</v>
      </c>
      <c r="M249" s="72">
        <v>2021</v>
      </c>
      <c r="N249" s="72"/>
      <c r="O249" s="72" t="s">
        <v>2949</v>
      </c>
      <c r="P249" s="76" t="s">
        <v>1</v>
      </c>
      <c r="Q249" s="76" t="s">
        <v>1</v>
      </c>
      <c r="R249" s="76" t="s">
        <v>1</v>
      </c>
      <c r="S249" s="76" t="s">
        <v>1</v>
      </c>
      <c r="T249" s="76" t="s">
        <v>1</v>
      </c>
      <c r="U249" s="76" t="s">
        <v>1</v>
      </c>
      <c r="V249" s="76" t="s">
        <v>1</v>
      </c>
      <c r="W249" s="76" t="s">
        <v>1</v>
      </c>
      <c r="X249" s="76" t="s">
        <v>1</v>
      </c>
      <c r="Y249" s="76" t="s">
        <v>1</v>
      </c>
      <c r="Z249" s="76" t="s">
        <v>1</v>
      </c>
      <c r="AA249" s="76" t="s">
        <v>1</v>
      </c>
      <c r="AB249" s="72" t="s">
        <v>2904</v>
      </c>
      <c r="AC249" s="72"/>
      <c r="AD249" s="72"/>
      <c r="AE249" s="25" t="s">
        <v>8974</v>
      </c>
      <c r="AF249" s="344" t="s">
        <v>7145</v>
      </c>
      <c r="AG249" s="344" t="s">
        <v>7145</v>
      </c>
      <c r="AH249" s="348">
        <v>5.0000000000000001E-3</v>
      </c>
      <c r="AI249" s="341">
        <v>5.4166666666666669E-2</v>
      </c>
      <c r="AJ249" s="368"/>
    </row>
    <row r="250" spans="1:36">
      <c r="B250" s="72" t="s">
        <v>2948</v>
      </c>
      <c r="C250" s="73" t="s">
        <v>1691</v>
      </c>
      <c r="D250" s="74">
        <v>75</v>
      </c>
      <c r="E250" s="72" t="s">
        <v>5</v>
      </c>
      <c r="F250" s="74">
        <v>13</v>
      </c>
      <c r="H250" s="77">
        <v>44516</v>
      </c>
      <c r="I250" s="72" t="s">
        <v>2947</v>
      </c>
      <c r="J250" s="72" t="s">
        <v>2946</v>
      </c>
      <c r="K250" s="72" t="s">
        <v>2045</v>
      </c>
      <c r="L250" s="72" t="s">
        <v>2945</v>
      </c>
      <c r="M250" s="72">
        <v>2017</v>
      </c>
      <c r="O250" s="72" t="s">
        <v>2944</v>
      </c>
      <c r="P250" s="76" t="s">
        <v>4</v>
      </c>
      <c r="Q250" s="76">
        <v>2.5</v>
      </c>
      <c r="R250" s="76" t="s">
        <v>2943</v>
      </c>
      <c r="S250" s="76" t="s">
        <v>4</v>
      </c>
      <c r="T250" s="76" t="s">
        <v>1</v>
      </c>
      <c r="U250" s="76" t="s">
        <v>2942</v>
      </c>
      <c r="V250" s="76" t="s">
        <v>1</v>
      </c>
      <c r="W250" s="76" t="s">
        <v>1</v>
      </c>
      <c r="X250" s="76" t="s">
        <v>1</v>
      </c>
      <c r="Y250" s="76" t="s">
        <v>1</v>
      </c>
      <c r="Z250" s="76" t="s">
        <v>1</v>
      </c>
      <c r="AA250" s="76" t="s">
        <v>1</v>
      </c>
      <c r="AB250" s="72" t="s">
        <v>2048</v>
      </c>
      <c r="AE250" s="25" t="s">
        <v>8975</v>
      </c>
      <c r="AF250" s="344" t="s">
        <v>7145</v>
      </c>
      <c r="AG250" s="344" t="s">
        <v>7145</v>
      </c>
      <c r="AH250" s="348">
        <v>4.8756000000000001E-2</v>
      </c>
      <c r="AI250" s="341">
        <v>3.5416666666666666E-2</v>
      </c>
      <c r="AJ250" s="368"/>
    </row>
    <row r="251" spans="1:36">
      <c r="B251" s="72" t="s">
        <v>2008</v>
      </c>
      <c r="C251" s="237" t="s">
        <v>1691</v>
      </c>
      <c r="D251" s="72">
        <v>75</v>
      </c>
      <c r="E251" s="238" t="s">
        <v>5</v>
      </c>
      <c r="F251" s="87">
        <v>11.5</v>
      </c>
      <c r="G251" s="87">
        <f>F251+Q251</f>
        <v>18.5</v>
      </c>
      <c r="H251" s="78">
        <v>45063</v>
      </c>
      <c r="I251" s="238" t="s">
        <v>7443</v>
      </c>
      <c r="J251" s="238" t="s">
        <v>7442</v>
      </c>
      <c r="K251" s="238" t="s">
        <v>2045</v>
      </c>
      <c r="L251" s="238" t="s">
        <v>2169</v>
      </c>
      <c r="M251" s="78">
        <v>43497</v>
      </c>
      <c r="N251" s="238" t="s">
        <v>7444</v>
      </c>
      <c r="O251" s="238" t="s">
        <v>7445</v>
      </c>
      <c r="P251" s="238" t="s">
        <v>4</v>
      </c>
      <c r="Q251" s="156">
        <v>7</v>
      </c>
      <c r="R251" s="238" t="s">
        <v>7448</v>
      </c>
      <c r="S251" s="238" t="s">
        <v>7415</v>
      </c>
      <c r="T251" s="238" t="s">
        <v>1</v>
      </c>
      <c r="U251" s="238" t="s">
        <v>7449</v>
      </c>
      <c r="V251" s="238" t="s">
        <v>1</v>
      </c>
      <c r="W251" s="238" t="s">
        <v>1</v>
      </c>
      <c r="X251" s="238" t="s">
        <v>1</v>
      </c>
      <c r="Y251" s="238" t="s">
        <v>1</v>
      </c>
      <c r="Z251" s="238" t="s">
        <v>1</v>
      </c>
      <c r="AA251" s="238" t="s">
        <v>1</v>
      </c>
      <c r="AB251" s="238" t="s">
        <v>6760</v>
      </c>
      <c r="AD251" s="238" t="s">
        <v>2851</v>
      </c>
      <c r="AE251" s="25" t="s">
        <v>7441</v>
      </c>
      <c r="AF251" s="344" t="s">
        <v>7145</v>
      </c>
      <c r="AG251" s="344" t="s">
        <v>7145</v>
      </c>
      <c r="AH251" s="348">
        <v>0</v>
      </c>
      <c r="AI251" s="341">
        <v>0</v>
      </c>
      <c r="AJ251" s="368"/>
    </row>
    <row r="252" spans="1:36" s="12" customFormat="1">
      <c r="A252" s="72"/>
      <c r="B252" s="72" t="s">
        <v>2941</v>
      </c>
      <c r="C252" s="73" t="s">
        <v>1691</v>
      </c>
      <c r="D252" s="74">
        <v>60</v>
      </c>
      <c r="E252" s="72" t="s">
        <v>5</v>
      </c>
      <c r="F252" s="74">
        <v>21.7</v>
      </c>
      <c r="G252" s="74"/>
      <c r="H252" s="77">
        <v>44909</v>
      </c>
      <c r="I252" s="72" t="s">
        <v>2940</v>
      </c>
      <c r="J252" s="72"/>
      <c r="K252" s="72" t="s">
        <v>2100</v>
      </c>
      <c r="L252" s="72" t="s">
        <v>2939</v>
      </c>
      <c r="M252" s="72">
        <v>2022</v>
      </c>
      <c r="N252" s="72"/>
      <c r="O252" s="72" t="s">
        <v>2938</v>
      </c>
      <c r="P252" s="76" t="s">
        <v>1</v>
      </c>
      <c r="Q252" s="76" t="s">
        <v>1</v>
      </c>
      <c r="R252" s="76" t="s">
        <v>1</v>
      </c>
      <c r="S252" s="76" t="s">
        <v>1</v>
      </c>
      <c r="T252" s="76" t="s">
        <v>1</v>
      </c>
      <c r="U252" s="76" t="s">
        <v>1</v>
      </c>
      <c r="V252" s="76" t="s">
        <v>1</v>
      </c>
      <c r="W252" s="76" t="s">
        <v>1</v>
      </c>
      <c r="X252" s="76" t="s">
        <v>1</v>
      </c>
      <c r="Y252" s="76" t="s">
        <v>1</v>
      </c>
      <c r="Z252" s="76" t="s">
        <v>1</v>
      </c>
      <c r="AA252" s="76" t="s">
        <v>1</v>
      </c>
      <c r="AB252" s="72" t="s">
        <v>2277</v>
      </c>
      <c r="AC252" s="72"/>
      <c r="AD252" s="72"/>
      <c r="AE252" s="25" t="s">
        <v>8976</v>
      </c>
      <c r="AF252" s="344" t="s">
        <v>7145</v>
      </c>
      <c r="AG252" s="344" t="s">
        <v>7145</v>
      </c>
      <c r="AH252" s="348">
        <v>6.1120000000000002E-3</v>
      </c>
      <c r="AI252" s="341">
        <v>1.4583333333333334E-2</v>
      </c>
      <c r="AJ252" s="368"/>
    </row>
    <row r="253" spans="1:36" s="12" customFormat="1">
      <c r="A253" s="72"/>
      <c r="B253" s="72" t="s">
        <v>302</v>
      </c>
      <c r="C253" s="73" t="s">
        <v>1691</v>
      </c>
      <c r="D253" s="74">
        <v>60</v>
      </c>
      <c r="E253" s="72" t="s">
        <v>5</v>
      </c>
      <c r="F253" s="74">
        <v>10</v>
      </c>
      <c r="G253" s="74"/>
      <c r="H253" s="77">
        <v>44637</v>
      </c>
      <c r="I253" s="72" t="s">
        <v>2937</v>
      </c>
      <c r="J253" s="72" t="s">
        <v>2936</v>
      </c>
      <c r="K253" s="72" t="s">
        <v>2045</v>
      </c>
      <c r="L253" s="72" t="s">
        <v>2935</v>
      </c>
      <c r="M253" s="72">
        <v>2014</v>
      </c>
      <c r="N253" s="72"/>
      <c r="O253" s="72" t="s">
        <v>2934</v>
      </c>
      <c r="P253" s="76" t="s">
        <v>4</v>
      </c>
      <c r="Q253" s="76">
        <v>4.5</v>
      </c>
      <c r="R253" s="76" t="s">
        <v>2933</v>
      </c>
      <c r="S253" s="76" t="s">
        <v>4</v>
      </c>
      <c r="T253" s="76">
        <v>1.8</v>
      </c>
      <c r="U253" s="76" t="s">
        <v>2932</v>
      </c>
      <c r="V253" s="76" t="s">
        <v>1</v>
      </c>
      <c r="W253" s="76" t="s">
        <v>1</v>
      </c>
      <c r="X253" s="76" t="s">
        <v>1</v>
      </c>
      <c r="Y253" s="76" t="s">
        <v>1</v>
      </c>
      <c r="Z253" s="76" t="s">
        <v>1</v>
      </c>
      <c r="AA253" s="76" t="s">
        <v>1</v>
      </c>
      <c r="AB253" s="72" t="s">
        <v>2048</v>
      </c>
      <c r="AC253" s="72"/>
      <c r="AD253" s="72"/>
      <c r="AE253" s="25" t="s">
        <v>8977</v>
      </c>
      <c r="AF253" s="344" t="s">
        <v>7145</v>
      </c>
      <c r="AG253" s="344" t="s">
        <v>7145</v>
      </c>
      <c r="AH253" s="348">
        <v>3.1357999999999997E-2</v>
      </c>
      <c r="AI253" s="341">
        <v>9.4444444444444442E-2</v>
      </c>
      <c r="AJ253" s="368"/>
    </row>
    <row r="254" spans="1:36" s="176" customFormat="1">
      <c r="A254" s="72"/>
      <c r="B254" s="72" t="s">
        <v>2049</v>
      </c>
      <c r="C254" s="73" t="s">
        <v>1691</v>
      </c>
      <c r="D254" s="74">
        <v>50</v>
      </c>
      <c r="E254" s="72" t="s">
        <v>5</v>
      </c>
      <c r="F254" s="74">
        <v>25</v>
      </c>
      <c r="G254" s="74">
        <f>F254+Z254</f>
        <v>30</v>
      </c>
      <c r="H254" s="77">
        <v>44594</v>
      </c>
      <c r="I254" s="134" t="s">
        <v>6290</v>
      </c>
      <c r="J254" s="134" t="s">
        <v>6288</v>
      </c>
      <c r="K254" s="134" t="s">
        <v>2100</v>
      </c>
      <c r="L254" s="134" t="s">
        <v>2079</v>
      </c>
      <c r="M254" s="83">
        <v>42887</v>
      </c>
      <c r="N254" s="72"/>
      <c r="O254" s="134" t="s">
        <v>6291</v>
      </c>
      <c r="P254" s="139" t="s">
        <v>4</v>
      </c>
      <c r="Q254" s="139" t="s">
        <v>1</v>
      </c>
      <c r="R254" s="139" t="s">
        <v>6297</v>
      </c>
      <c r="S254" s="145" t="s">
        <v>4</v>
      </c>
      <c r="T254" s="145" t="s">
        <v>1</v>
      </c>
      <c r="U254" s="139" t="s">
        <v>6298</v>
      </c>
      <c r="V254" s="139" t="s">
        <v>278</v>
      </c>
      <c r="W254" s="145" t="s">
        <v>1</v>
      </c>
      <c r="X254" s="139" t="s">
        <v>6299</v>
      </c>
      <c r="Y254" s="139" t="s">
        <v>4</v>
      </c>
      <c r="Z254" s="76">
        <v>5</v>
      </c>
      <c r="AA254" s="139" t="s">
        <v>6300</v>
      </c>
      <c r="AB254" s="72" t="s">
        <v>2048</v>
      </c>
      <c r="AC254" s="72"/>
      <c r="AD254" s="72"/>
      <c r="AE254" s="25" t="s">
        <v>2047</v>
      </c>
      <c r="AF254" s="344" t="s">
        <v>7145</v>
      </c>
      <c r="AG254" s="344" t="s">
        <v>7145</v>
      </c>
      <c r="AH254" s="348">
        <v>1.1686E-2</v>
      </c>
      <c r="AI254" s="341">
        <v>1.5972222222222221E-2</v>
      </c>
      <c r="AJ254" s="368"/>
    </row>
    <row r="255" spans="1:36" s="176" customFormat="1">
      <c r="A255" s="72"/>
      <c r="B255" s="72" t="s">
        <v>2931</v>
      </c>
      <c r="C255" s="73" t="s">
        <v>1691</v>
      </c>
      <c r="D255" s="74">
        <v>50</v>
      </c>
      <c r="E255" s="72" t="s">
        <v>5</v>
      </c>
      <c r="F255" s="74">
        <v>20.9</v>
      </c>
      <c r="G255" s="74"/>
      <c r="H255" s="77">
        <v>44411</v>
      </c>
      <c r="I255" s="72" t="s">
        <v>2930</v>
      </c>
      <c r="J255" s="72" t="s">
        <v>2929</v>
      </c>
      <c r="K255" s="72" t="s">
        <v>2045</v>
      </c>
      <c r="L255" s="72" t="s">
        <v>2928</v>
      </c>
      <c r="M255" s="72">
        <v>2018</v>
      </c>
      <c r="N255" s="72"/>
      <c r="O255" s="72" t="s">
        <v>2927</v>
      </c>
      <c r="P255" s="76" t="s">
        <v>4</v>
      </c>
      <c r="Q255" s="76">
        <v>1.5</v>
      </c>
      <c r="R255" s="76" t="s">
        <v>2926</v>
      </c>
      <c r="S255" s="76" t="s">
        <v>1</v>
      </c>
      <c r="T255" s="76" t="s">
        <v>1</v>
      </c>
      <c r="U255" s="76" t="s">
        <v>1</v>
      </c>
      <c r="V255" s="76" t="s">
        <v>1</v>
      </c>
      <c r="W255" s="76" t="s">
        <v>1</v>
      </c>
      <c r="X255" s="76" t="s">
        <v>1</v>
      </c>
      <c r="Y255" s="76" t="s">
        <v>1</v>
      </c>
      <c r="Z255" s="76" t="s">
        <v>1</v>
      </c>
      <c r="AA255" s="76" t="s">
        <v>1</v>
      </c>
      <c r="AB255" s="72" t="s">
        <v>2198</v>
      </c>
      <c r="AC255" s="72"/>
      <c r="AD255" s="72"/>
      <c r="AE255" s="25" t="s">
        <v>8978</v>
      </c>
      <c r="AF255" s="344" t="s">
        <v>7145</v>
      </c>
      <c r="AG255" s="344" t="s">
        <v>7145</v>
      </c>
      <c r="AH255" s="348">
        <v>2.8752E-2</v>
      </c>
      <c r="AI255" s="341">
        <v>8.7499999999999994E-2</v>
      </c>
      <c r="AJ255" s="368"/>
    </row>
    <row r="256" spans="1:36" s="176" customFormat="1">
      <c r="A256" s="72"/>
      <c r="B256" s="72" t="s">
        <v>1094</v>
      </c>
      <c r="C256" s="73" t="s">
        <v>1691</v>
      </c>
      <c r="D256" s="74">
        <v>50</v>
      </c>
      <c r="E256" s="72" t="s">
        <v>4</v>
      </c>
      <c r="F256" s="15">
        <v>18.5</v>
      </c>
      <c r="G256" s="15"/>
      <c r="H256" s="77">
        <v>45050</v>
      </c>
      <c r="I256" s="72" t="s">
        <v>2925</v>
      </c>
      <c r="J256" s="72" t="s">
        <v>2924</v>
      </c>
      <c r="K256" s="72" t="s">
        <v>2045</v>
      </c>
      <c r="L256" s="72" t="s">
        <v>2056</v>
      </c>
      <c r="M256" s="72">
        <v>2023</v>
      </c>
      <c r="N256" s="72"/>
      <c r="O256" s="72" t="s">
        <v>2923</v>
      </c>
      <c r="P256" s="76" t="s">
        <v>1</v>
      </c>
      <c r="Q256" s="76" t="s">
        <v>1</v>
      </c>
      <c r="R256" s="76" t="s">
        <v>1</v>
      </c>
      <c r="S256" s="76" t="s">
        <v>1</v>
      </c>
      <c r="T256" s="76" t="s">
        <v>1</v>
      </c>
      <c r="U256" s="76" t="s">
        <v>1</v>
      </c>
      <c r="V256" s="76" t="s">
        <v>1</v>
      </c>
      <c r="W256" s="76" t="s">
        <v>1</v>
      </c>
      <c r="X256" s="76" t="s">
        <v>1</v>
      </c>
      <c r="Y256" s="76" t="s">
        <v>1</v>
      </c>
      <c r="Z256" s="76" t="s">
        <v>1</v>
      </c>
      <c r="AA256" s="76" t="s">
        <v>1</v>
      </c>
      <c r="AB256" s="72" t="s">
        <v>2362</v>
      </c>
      <c r="AC256" s="72"/>
      <c r="AD256" s="72"/>
      <c r="AE256" s="25" t="s">
        <v>8979</v>
      </c>
      <c r="AF256" s="344" t="s">
        <v>7145</v>
      </c>
      <c r="AG256" s="344" t="s">
        <v>7145</v>
      </c>
      <c r="AH256" s="348">
        <v>1.4761E-2</v>
      </c>
      <c r="AI256" s="341">
        <v>1.3194444444444444E-2</v>
      </c>
      <c r="AJ256" s="368"/>
    </row>
    <row r="257" spans="1:36" s="176" customFormat="1">
      <c r="A257" s="72"/>
      <c r="B257" s="72" t="s">
        <v>2025</v>
      </c>
      <c r="C257" s="73" t="s">
        <v>1691</v>
      </c>
      <c r="D257" s="74">
        <v>50</v>
      </c>
      <c r="E257" s="72" t="s">
        <v>5</v>
      </c>
      <c r="F257" s="74">
        <v>18</v>
      </c>
      <c r="G257" s="74"/>
      <c r="H257" s="77">
        <v>44866</v>
      </c>
      <c r="I257" s="72" t="s">
        <v>4371</v>
      </c>
      <c r="J257" s="72" t="s">
        <v>4370</v>
      </c>
      <c r="K257" s="72" t="s">
        <v>2045</v>
      </c>
      <c r="L257" s="72" t="s">
        <v>2056</v>
      </c>
      <c r="M257" s="72">
        <v>2021</v>
      </c>
      <c r="N257" s="72"/>
      <c r="O257" s="72" t="s">
        <v>4372</v>
      </c>
      <c r="P257" s="76" t="s">
        <v>4</v>
      </c>
      <c r="Q257" s="76">
        <v>5.0999999999999996</v>
      </c>
      <c r="R257" s="76" t="s">
        <v>4374</v>
      </c>
      <c r="S257" s="76" t="s">
        <v>1</v>
      </c>
      <c r="T257" s="76" t="s">
        <v>1</v>
      </c>
      <c r="U257" s="76" t="s">
        <v>1</v>
      </c>
      <c r="V257" s="76" t="s">
        <v>1</v>
      </c>
      <c r="W257" s="76" t="s">
        <v>1</v>
      </c>
      <c r="X257" s="76" t="s">
        <v>1</v>
      </c>
      <c r="Y257" s="76" t="s">
        <v>1</v>
      </c>
      <c r="Z257" s="76" t="s">
        <v>1</v>
      </c>
      <c r="AA257" s="76" t="s">
        <v>1</v>
      </c>
      <c r="AB257" s="72" t="s">
        <v>2048</v>
      </c>
      <c r="AC257" s="72"/>
      <c r="AD257" s="72"/>
      <c r="AE257" s="25" t="s">
        <v>4369</v>
      </c>
      <c r="AF257" s="344" t="s">
        <v>7145</v>
      </c>
      <c r="AG257" s="344" t="s">
        <v>7145</v>
      </c>
      <c r="AH257" s="348">
        <v>0.112607</v>
      </c>
      <c r="AI257" s="341">
        <v>5.4166666666666669E-2</v>
      </c>
      <c r="AJ257" s="368"/>
    </row>
    <row r="258" spans="1:36" s="176" customFormat="1">
      <c r="A258" s="72"/>
      <c r="B258" s="72" t="s">
        <v>465</v>
      </c>
      <c r="C258" s="73" t="s">
        <v>1691</v>
      </c>
      <c r="D258" s="74">
        <v>50</v>
      </c>
      <c r="E258" s="72" t="s">
        <v>5</v>
      </c>
      <c r="F258" s="74">
        <v>15.5</v>
      </c>
      <c r="G258" s="74"/>
      <c r="H258" s="77">
        <v>44727</v>
      </c>
      <c r="I258" s="72" t="s">
        <v>2922</v>
      </c>
      <c r="J258" s="72" t="s">
        <v>2921</v>
      </c>
      <c r="K258" s="72" t="s">
        <v>2045</v>
      </c>
      <c r="L258" s="72" t="s">
        <v>2237</v>
      </c>
      <c r="M258" s="72">
        <v>2013</v>
      </c>
      <c r="N258" s="72"/>
      <c r="O258" s="72" t="s">
        <v>2920</v>
      </c>
      <c r="P258" s="76" t="s">
        <v>5</v>
      </c>
      <c r="Q258" s="76">
        <v>12</v>
      </c>
      <c r="R258" s="82" t="s">
        <v>2919</v>
      </c>
      <c r="S258" s="76" t="s">
        <v>4</v>
      </c>
      <c r="T258" s="76">
        <v>2</v>
      </c>
      <c r="U258" s="76" t="s">
        <v>1097</v>
      </c>
      <c r="V258" s="76" t="s">
        <v>1</v>
      </c>
      <c r="W258" s="76" t="s">
        <v>1</v>
      </c>
      <c r="X258" s="76" t="s">
        <v>1</v>
      </c>
      <c r="Y258" s="76" t="s">
        <v>1</v>
      </c>
      <c r="Z258" s="76" t="s">
        <v>1</v>
      </c>
      <c r="AA258" s="76" t="s">
        <v>1</v>
      </c>
      <c r="AB258" s="72" t="s">
        <v>2078</v>
      </c>
      <c r="AC258" s="72"/>
      <c r="AD258" s="72"/>
      <c r="AE258" s="25" t="s">
        <v>8980</v>
      </c>
      <c r="AF258" s="344" t="s">
        <v>7145</v>
      </c>
      <c r="AG258" s="344" t="s">
        <v>7145</v>
      </c>
      <c r="AH258" s="60">
        <v>1.0649999999999999</v>
      </c>
      <c r="AI258" s="341">
        <v>6.458333333333334E-2</v>
      </c>
      <c r="AJ258" s="368"/>
    </row>
    <row r="259" spans="1:36" s="176" customFormat="1">
      <c r="A259" s="72"/>
      <c r="B259" s="72" t="s">
        <v>355</v>
      </c>
      <c r="C259" s="73" t="s">
        <v>1691</v>
      </c>
      <c r="D259" s="74">
        <v>50</v>
      </c>
      <c r="E259" s="72" t="s">
        <v>5</v>
      </c>
      <c r="F259" s="74">
        <v>16</v>
      </c>
      <c r="G259" s="74"/>
      <c r="H259" s="77">
        <v>44663</v>
      </c>
      <c r="I259" s="72" t="s">
        <v>2918</v>
      </c>
      <c r="J259" s="72" t="s">
        <v>2917</v>
      </c>
      <c r="K259" s="72" t="s">
        <v>2045</v>
      </c>
      <c r="L259" s="72" t="s">
        <v>2226</v>
      </c>
      <c r="M259" s="72">
        <v>2019</v>
      </c>
      <c r="N259" s="72"/>
      <c r="O259" s="72" t="s">
        <v>2916</v>
      </c>
      <c r="P259" s="76" t="s">
        <v>4</v>
      </c>
      <c r="Q259" s="76">
        <v>12</v>
      </c>
      <c r="R259" s="76" t="s">
        <v>2915</v>
      </c>
      <c r="S259" s="76" t="s">
        <v>1</v>
      </c>
      <c r="T259" s="76" t="s">
        <v>1</v>
      </c>
      <c r="U259" s="76" t="s">
        <v>1</v>
      </c>
      <c r="V259" s="76" t="s">
        <v>1</v>
      </c>
      <c r="W259" s="76" t="s">
        <v>1</v>
      </c>
      <c r="X259" s="76" t="s">
        <v>1</v>
      </c>
      <c r="Y259" s="76" t="s">
        <v>1</v>
      </c>
      <c r="Z259" s="76" t="s">
        <v>1</v>
      </c>
      <c r="AA259" s="76" t="s">
        <v>1</v>
      </c>
      <c r="AB259" s="72" t="s">
        <v>2078</v>
      </c>
      <c r="AC259" s="72"/>
      <c r="AD259" s="72"/>
      <c r="AE259" s="25" t="s">
        <v>8981</v>
      </c>
      <c r="AF259" s="344" t="s">
        <v>7145</v>
      </c>
      <c r="AG259" s="344" t="s">
        <v>7145</v>
      </c>
      <c r="AH259" s="348">
        <v>0</v>
      </c>
      <c r="AI259" s="341">
        <v>0.1986111111111111</v>
      </c>
      <c r="AJ259" s="368"/>
    </row>
    <row r="260" spans="1:36" s="176" customFormat="1">
      <c r="B260" s="176" t="s">
        <v>2018</v>
      </c>
      <c r="C260" s="184" t="s">
        <v>1691</v>
      </c>
      <c r="D260" s="178">
        <v>50</v>
      </c>
      <c r="E260" s="176" t="s">
        <v>5</v>
      </c>
      <c r="F260" s="178">
        <v>16</v>
      </c>
      <c r="G260" s="178" t="e">
        <f>F260+Companies!Q246</f>
        <v>#VALUE!</v>
      </c>
      <c r="H260" s="185">
        <v>44966</v>
      </c>
      <c r="I260" s="176" t="s">
        <v>7040</v>
      </c>
      <c r="J260" s="176" t="s">
        <v>7038</v>
      </c>
      <c r="K260" s="176" t="s">
        <v>2045</v>
      </c>
      <c r="L260" s="176" t="s">
        <v>2265</v>
      </c>
      <c r="M260" s="176">
        <v>2020</v>
      </c>
      <c r="O260" s="176" t="s">
        <v>7039</v>
      </c>
      <c r="P260" s="179" t="s">
        <v>4</v>
      </c>
      <c r="Q260" s="179">
        <v>4.8</v>
      </c>
      <c r="R260" s="179" t="s">
        <v>7041</v>
      </c>
      <c r="S260" s="179" t="s">
        <v>1</v>
      </c>
      <c r="T260" s="179" t="s">
        <v>1</v>
      </c>
      <c r="U260" s="179" t="s">
        <v>1</v>
      </c>
      <c r="V260" s="179" t="s">
        <v>1</v>
      </c>
      <c r="W260" s="179" t="s">
        <v>1</v>
      </c>
      <c r="X260" s="179" t="s">
        <v>1</v>
      </c>
      <c r="Y260" s="179" t="s">
        <v>1</v>
      </c>
      <c r="Z260" s="179" t="s">
        <v>1</v>
      </c>
      <c r="AA260" s="179" t="s">
        <v>1</v>
      </c>
      <c r="AB260" s="176" t="s">
        <v>6600</v>
      </c>
      <c r="AC260" s="176" t="s">
        <v>6603</v>
      </c>
      <c r="AD260" s="176" t="s">
        <v>2362</v>
      </c>
      <c r="AE260" s="25" t="s">
        <v>7037</v>
      </c>
      <c r="AF260" s="344" t="s">
        <v>7145</v>
      </c>
      <c r="AG260" s="344" t="s">
        <v>7145</v>
      </c>
      <c r="AH260" s="348">
        <v>4.0409E-2</v>
      </c>
      <c r="AI260" s="362">
        <v>0.16597222222222222</v>
      </c>
      <c r="AJ260" s="368"/>
    </row>
    <row r="261" spans="1:36" s="176" customFormat="1">
      <c r="A261" s="72"/>
      <c r="B261" s="72" t="s">
        <v>298</v>
      </c>
      <c r="C261" s="73" t="s">
        <v>1691</v>
      </c>
      <c r="D261" s="74">
        <v>50</v>
      </c>
      <c r="E261" s="72" t="s">
        <v>5</v>
      </c>
      <c r="F261" s="74">
        <v>15</v>
      </c>
      <c r="G261" s="74"/>
      <c r="H261" s="77">
        <v>44314</v>
      </c>
      <c r="I261" s="72" t="s">
        <v>2914</v>
      </c>
      <c r="J261" s="72" t="s">
        <v>2913</v>
      </c>
      <c r="K261" s="72" t="s">
        <v>2045</v>
      </c>
      <c r="L261" s="72" t="s">
        <v>2912</v>
      </c>
      <c r="M261" s="72">
        <v>2017</v>
      </c>
      <c r="N261" s="72"/>
      <c r="O261" s="72" t="s">
        <v>2911</v>
      </c>
      <c r="P261" s="76" t="s">
        <v>278</v>
      </c>
      <c r="Q261" s="76" t="s">
        <v>1</v>
      </c>
      <c r="R261" s="76" t="s">
        <v>2910</v>
      </c>
      <c r="S261" s="76" t="s">
        <v>1</v>
      </c>
      <c r="T261" s="76" t="s">
        <v>1</v>
      </c>
      <c r="U261" s="76" t="s">
        <v>1</v>
      </c>
      <c r="V261" s="76" t="s">
        <v>1</v>
      </c>
      <c r="W261" s="76" t="s">
        <v>1</v>
      </c>
      <c r="X261" s="76" t="s">
        <v>1</v>
      </c>
      <c r="Y261" s="76" t="s">
        <v>1</v>
      </c>
      <c r="Z261" s="76" t="s">
        <v>1</v>
      </c>
      <c r="AA261" s="76" t="s">
        <v>1</v>
      </c>
      <c r="AB261" s="72" t="s">
        <v>2909</v>
      </c>
      <c r="AC261" s="72"/>
      <c r="AD261" s="72"/>
      <c r="AE261" s="25" t="s">
        <v>8982</v>
      </c>
      <c r="AF261" s="344" t="s">
        <v>7145</v>
      </c>
      <c r="AG261" s="344" t="s">
        <v>7145</v>
      </c>
      <c r="AH261" s="348">
        <v>0.50762099999999999</v>
      </c>
      <c r="AI261" s="341">
        <v>0.12847222222222221</v>
      </c>
      <c r="AJ261" s="368"/>
    </row>
    <row r="262" spans="1:36">
      <c r="B262" s="12" t="s">
        <v>2908</v>
      </c>
      <c r="C262" s="29" t="s">
        <v>1691</v>
      </c>
      <c r="D262" s="15">
        <v>50</v>
      </c>
      <c r="E262" s="12" t="s">
        <v>5</v>
      </c>
      <c r="F262" s="15">
        <v>11</v>
      </c>
      <c r="G262" s="15"/>
      <c r="H262" s="14">
        <v>45070</v>
      </c>
      <c r="I262" s="12" t="s">
        <v>2095</v>
      </c>
      <c r="J262" s="12"/>
      <c r="K262" s="32" t="s">
        <v>2045</v>
      </c>
      <c r="L262" s="32" t="s">
        <v>2456</v>
      </c>
      <c r="M262" s="12">
        <v>2018</v>
      </c>
      <c r="N262" s="12"/>
      <c r="O262" s="12" t="s">
        <v>2907</v>
      </c>
      <c r="P262" s="24" t="s">
        <v>4</v>
      </c>
      <c r="Q262" s="24" t="s">
        <v>1</v>
      </c>
      <c r="R262" s="24" t="s">
        <v>2906</v>
      </c>
      <c r="S262" s="24" t="s">
        <v>278</v>
      </c>
      <c r="T262" s="24" t="s">
        <v>1</v>
      </c>
      <c r="U262" s="24" t="s">
        <v>2905</v>
      </c>
      <c r="V262" s="76" t="s">
        <v>1</v>
      </c>
      <c r="W262" s="76" t="s">
        <v>1</v>
      </c>
      <c r="X262" s="76" t="s">
        <v>1</v>
      </c>
      <c r="Y262" s="76" t="s">
        <v>1</v>
      </c>
      <c r="Z262" s="76" t="s">
        <v>1</v>
      </c>
      <c r="AA262" s="76" t="s">
        <v>1</v>
      </c>
      <c r="AB262" s="12" t="s">
        <v>2904</v>
      </c>
      <c r="AC262" s="12"/>
      <c r="AD262" s="12"/>
      <c r="AE262" s="37" t="s">
        <v>8983</v>
      </c>
      <c r="AF262" s="370" t="s">
        <v>7145</v>
      </c>
      <c r="AG262" s="370" t="s">
        <v>7145</v>
      </c>
      <c r="AH262" s="376">
        <v>0.23879800000000001</v>
      </c>
      <c r="AI262" s="364">
        <v>2.7083333333333334E-2</v>
      </c>
      <c r="AJ262" s="368"/>
    </row>
    <row r="263" spans="1:36">
      <c r="B263" s="72" t="s">
        <v>682</v>
      </c>
      <c r="C263" s="73" t="s">
        <v>1691</v>
      </c>
      <c r="D263" s="74">
        <v>50</v>
      </c>
      <c r="E263" s="72" t="s">
        <v>5</v>
      </c>
      <c r="F263" s="74">
        <v>15</v>
      </c>
      <c r="H263" s="77">
        <v>44838</v>
      </c>
      <c r="I263" s="72" t="s">
        <v>2903</v>
      </c>
      <c r="J263" s="72" t="s">
        <v>2902</v>
      </c>
      <c r="K263" s="72" t="s">
        <v>2045</v>
      </c>
      <c r="L263" s="72" t="s">
        <v>2733</v>
      </c>
      <c r="M263" s="72">
        <v>2020</v>
      </c>
      <c r="O263" s="72" t="s">
        <v>2901</v>
      </c>
      <c r="P263" s="76" t="s">
        <v>1</v>
      </c>
      <c r="Q263" s="76" t="s">
        <v>1</v>
      </c>
      <c r="R263" s="76" t="s">
        <v>1</v>
      </c>
      <c r="S263" s="76" t="s">
        <v>1</v>
      </c>
      <c r="T263" s="76" t="s">
        <v>1</v>
      </c>
      <c r="U263" s="76" t="s">
        <v>1</v>
      </c>
      <c r="V263" s="76" t="s">
        <v>1</v>
      </c>
      <c r="W263" s="76" t="s">
        <v>1</v>
      </c>
      <c r="X263" s="76" t="s">
        <v>1</v>
      </c>
      <c r="Y263" s="76" t="s">
        <v>1</v>
      </c>
      <c r="Z263" s="76" t="s">
        <v>1</v>
      </c>
      <c r="AA263" s="76" t="s">
        <v>1</v>
      </c>
      <c r="AB263" s="72" t="s">
        <v>2900</v>
      </c>
      <c r="AE263" s="377" t="s">
        <v>8984</v>
      </c>
      <c r="AF263" s="344" t="s">
        <v>7145</v>
      </c>
      <c r="AG263" s="344" t="s">
        <v>7145</v>
      </c>
      <c r="AH263" s="348">
        <v>0.119543</v>
      </c>
      <c r="AI263" s="341">
        <v>3.1944444444444442E-2</v>
      </c>
      <c r="AJ263" s="368"/>
    </row>
    <row r="264" spans="1:36">
      <c r="B264" s="12" t="s">
        <v>716</v>
      </c>
      <c r="C264" s="29" t="s">
        <v>1691</v>
      </c>
      <c r="D264" s="15">
        <v>50</v>
      </c>
      <c r="E264" s="12" t="s">
        <v>5</v>
      </c>
      <c r="F264" s="15">
        <v>12.5</v>
      </c>
      <c r="G264" s="15"/>
      <c r="H264" s="14">
        <v>44784</v>
      </c>
      <c r="I264" s="12" t="s">
        <v>2899</v>
      </c>
      <c r="J264" s="12" t="s">
        <v>2898</v>
      </c>
      <c r="K264" s="12" t="s">
        <v>2045</v>
      </c>
      <c r="L264" s="12" t="s">
        <v>2062</v>
      </c>
      <c r="M264" s="31">
        <v>2018</v>
      </c>
      <c r="N264" s="12"/>
      <c r="O264" s="12" t="s">
        <v>2897</v>
      </c>
      <c r="P264" s="24" t="s">
        <v>5</v>
      </c>
      <c r="Q264" s="24">
        <v>10</v>
      </c>
      <c r="R264" s="24" t="s">
        <v>2896</v>
      </c>
      <c r="S264" s="24" t="s">
        <v>278</v>
      </c>
      <c r="T264" s="24" t="s">
        <v>1</v>
      </c>
      <c r="U264" s="24" t="s">
        <v>2895</v>
      </c>
      <c r="V264" s="24" t="s">
        <v>4</v>
      </c>
      <c r="W264" s="24" t="s">
        <v>1</v>
      </c>
      <c r="X264" s="24" t="s">
        <v>2894</v>
      </c>
      <c r="Y264" s="24" t="s">
        <v>1</v>
      </c>
      <c r="Z264" s="24" t="s">
        <v>1</v>
      </c>
      <c r="AA264" s="24" t="s">
        <v>1</v>
      </c>
      <c r="AB264" s="12" t="s">
        <v>2893</v>
      </c>
      <c r="AC264" s="12"/>
      <c r="AD264" s="12"/>
      <c r="AE264" s="37" t="s">
        <v>8985</v>
      </c>
      <c r="AF264" s="370" t="s">
        <v>7145</v>
      </c>
      <c r="AG264" s="370" t="s">
        <v>7145</v>
      </c>
      <c r="AH264" s="376">
        <v>6.0565000000000001E-2</v>
      </c>
      <c r="AI264" s="364">
        <v>3.3333333333333333E-2</v>
      </c>
      <c r="AJ264" s="368"/>
    </row>
    <row r="265" spans="1:36" s="12" customFormat="1">
      <c r="A265" s="72"/>
      <c r="B265" s="12" t="s">
        <v>680</v>
      </c>
      <c r="C265" s="29" t="s">
        <v>1691</v>
      </c>
      <c r="D265" s="15">
        <v>50</v>
      </c>
      <c r="E265" s="12" t="s">
        <v>4</v>
      </c>
      <c r="F265" s="15">
        <v>5.3</v>
      </c>
      <c r="G265" s="15"/>
      <c r="H265" s="14">
        <v>45069</v>
      </c>
      <c r="I265" s="12" t="s">
        <v>2892</v>
      </c>
      <c r="J265" s="12" t="s">
        <v>2891</v>
      </c>
      <c r="K265" s="12" t="s">
        <v>2045</v>
      </c>
      <c r="L265" s="12" t="s">
        <v>2302</v>
      </c>
      <c r="M265" s="30">
        <v>44531</v>
      </c>
      <c r="O265" s="12" t="s">
        <v>2890</v>
      </c>
      <c r="P265" s="24" t="s">
        <v>278</v>
      </c>
      <c r="Q265" s="24" t="s">
        <v>1</v>
      </c>
      <c r="R265" s="24" t="s">
        <v>681</v>
      </c>
      <c r="S265" s="24" t="s">
        <v>1</v>
      </c>
      <c r="T265" s="24" t="s">
        <v>1</v>
      </c>
      <c r="U265" s="24" t="s">
        <v>1</v>
      </c>
      <c r="V265" s="24" t="s">
        <v>1</v>
      </c>
      <c r="W265" s="24" t="s">
        <v>1</v>
      </c>
      <c r="X265" s="24" t="s">
        <v>1</v>
      </c>
      <c r="Y265" s="24" t="s">
        <v>1</v>
      </c>
      <c r="Z265" s="24" t="s">
        <v>1</v>
      </c>
      <c r="AA265" s="24" t="s">
        <v>1</v>
      </c>
      <c r="AB265" s="12" t="s">
        <v>2889</v>
      </c>
      <c r="AE265" s="37" t="s">
        <v>8986</v>
      </c>
      <c r="AF265" s="344" t="s">
        <v>7145</v>
      </c>
      <c r="AG265" s="344" t="s">
        <v>7145</v>
      </c>
      <c r="AH265" s="376">
        <v>5.8719E-2</v>
      </c>
      <c r="AI265" s="364">
        <v>3.5416666666666666E-2</v>
      </c>
      <c r="AJ265" s="368"/>
    </row>
    <row r="266" spans="1:36">
      <c r="A266" s="176"/>
      <c r="B266" s="176" t="s">
        <v>678</v>
      </c>
      <c r="C266" s="184" t="s">
        <v>1691</v>
      </c>
      <c r="D266" s="178">
        <v>50</v>
      </c>
      <c r="E266" s="176" t="s">
        <v>4</v>
      </c>
      <c r="F266" s="178">
        <v>15</v>
      </c>
      <c r="G266" s="178"/>
      <c r="H266" s="185">
        <v>44691</v>
      </c>
      <c r="I266" s="176" t="s">
        <v>2873</v>
      </c>
      <c r="J266" s="176" t="s">
        <v>2888</v>
      </c>
      <c r="K266" s="176" t="s">
        <v>2045</v>
      </c>
      <c r="L266" s="176" t="s">
        <v>2630</v>
      </c>
      <c r="M266" s="191">
        <v>44362</v>
      </c>
      <c r="N266" s="176"/>
      <c r="O266" s="176" t="s">
        <v>2887</v>
      </c>
      <c r="P266" s="179" t="s">
        <v>1</v>
      </c>
      <c r="Q266" s="179" t="s">
        <v>1</v>
      </c>
      <c r="R266" s="179" t="s">
        <v>1</v>
      </c>
      <c r="S266" s="179" t="s">
        <v>1</v>
      </c>
      <c r="T266" s="179" t="s">
        <v>1</v>
      </c>
      <c r="U266" s="179" t="s">
        <v>1</v>
      </c>
      <c r="V266" s="179" t="s">
        <v>1</v>
      </c>
      <c r="W266" s="179" t="s">
        <v>1</v>
      </c>
      <c r="X266" s="179" t="s">
        <v>1</v>
      </c>
      <c r="Y266" s="179" t="s">
        <v>1</v>
      </c>
      <c r="Z266" s="179" t="s">
        <v>1</v>
      </c>
      <c r="AA266" s="179" t="s">
        <v>1</v>
      </c>
      <c r="AB266" s="176" t="s">
        <v>2152</v>
      </c>
      <c r="AC266" s="176"/>
      <c r="AD266" s="176"/>
      <c r="AE266" s="25" t="s">
        <v>8987</v>
      </c>
      <c r="AF266" s="344" t="s">
        <v>7145</v>
      </c>
      <c r="AG266" s="344" t="s">
        <v>7145</v>
      </c>
      <c r="AH266" s="348">
        <v>0</v>
      </c>
      <c r="AI266" s="362">
        <v>3.125E-2</v>
      </c>
      <c r="AJ266" s="368"/>
    </row>
    <row r="267" spans="1:36">
      <c r="A267" s="176"/>
      <c r="B267" s="176" t="s">
        <v>676</v>
      </c>
      <c r="C267" s="184" t="s">
        <v>1691</v>
      </c>
      <c r="D267" s="178">
        <v>50</v>
      </c>
      <c r="E267" s="176" t="s">
        <v>5</v>
      </c>
      <c r="F267" s="178">
        <v>15</v>
      </c>
      <c r="G267" s="178"/>
      <c r="H267" s="185">
        <v>44482</v>
      </c>
      <c r="I267" s="176" t="s">
        <v>2886</v>
      </c>
      <c r="J267" s="176" t="s">
        <v>2885</v>
      </c>
      <c r="K267" s="176" t="s">
        <v>2045</v>
      </c>
      <c r="L267" s="176" t="s">
        <v>2056</v>
      </c>
      <c r="M267" s="176">
        <v>2020</v>
      </c>
      <c r="N267" s="176"/>
      <c r="O267" s="176" t="s">
        <v>2884</v>
      </c>
      <c r="P267" s="179" t="s">
        <v>4</v>
      </c>
      <c r="Q267" s="179">
        <v>4.5</v>
      </c>
      <c r="R267" s="179" t="s">
        <v>2883</v>
      </c>
      <c r="S267" s="179" t="s">
        <v>278</v>
      </c>
      <c r="T267" s="179">
        <v>0.125</v>
      </c>
      <c r="U267" s="179" t="s">
        <v>1068</v>
      </c>
      <c r="V267" s="179" t="s">
        <v>1</v>
      </c>
      <c r="W267" s="179" t="s">
        <v>1</v>
      </c>
      <c r="X267" s="179" t="s">
        <v>1</v>
      </c>
      <c r="Y267" s="179" t="s">
        <v>1</v>
      </c>
      <c r="Z267" s="179" t="s">
        <v>1</v>
      </c>
      <c r="AA267" s="179" t="s">
        <v>1</v>
      </c>
      <c r="AB267" s="176" t="s">
        <v>2094</v>
      </c>
      <c r="AC267" s="176"/>
      <c r="AD267" s="176"/>
      <c r="AE267" s="25" t="s">
        <v>8988</v>
      </c>
      <c r="AF267" s="344" t="s">
        <v>7145</v>
      </c>
      <c r="AG267" s="344" t="s">
        <v>7145</v>
      </c>
      <c r="AH267" s="348">
        <v>0.160469</v>
      </c>
      <c r="AI267" s="362">
        <v>0.15416666666666667</v>
      </c>
      <c r="AJ267" s="368"/>
    </row>
    <row r="268" spans="1:36">
      <c r="A268" s="176"/>
      <c r="B268" s="176" t="s">
        <v>672</v>
      </c>
      <c r="C268" s="184" t="s">
        <v>1691</v>
      </c>
      <c r="D268" s="178">
        <v>50</v>
      </c>
      <c r="E268" s="176" t="s">
        <v>5</v>
      </c>
      <c r="F268" s="178">
        <v>14.5</v>
      </c>
      <c r="G268" s="178"/>
      <c r="H268" s="185">
        <v>44389</v>
      </c>
      <c r="I268" s="176" t="s">
        <v>2882</v>
      </c>
      <c r="J268" s="176" t="s">
        <v>2881</v>
      </c>
      <c r="K268" s="176" t="s">
        <v>2045</v>
      </c>
      <c r="L268" s="176" t="s">
        <v>2056</v>
      </c>
      <c r="M268" s="176">
        <v>2019</v>
      </c>
      <c r="N268" s="176"/>
      <c r="O268" s="176" t="s">
        <v>2880</v>
      </c>
      <c r="P268" s="179" t="s">
        <v>4</v>
      </c>
      <c r="Q268" s="179">
        <v>3</v>
      </c>
      <c r="R268" s="179" t="s">
        <v>2879</v>
      </c>
      <c r="S268" s="179" t="s">
        <v>278</v>
      </c>
      <c r="T268" s="179" t="s">
        <v>1</v>
      </c>
      <c r="U268" s="179" t="s">
        <v>2878</v>
      </c>
      <c r="V268" s="179" t="s">
        <v>1</v>
      </c>
      <c r="W268" s="179" t="s">
        <v>1</v>
      </c>
      <c r="X268" s="179" t="s">
        <v>1</v>
      </c>
      <c r="Y268" s="179" t="s">
        <v>1</v>
      </c>
      <c r="Z268" s="179" t="s">
        <v>1</v>
      </c>
      <c r="AA268" s="179" t="s">
        <v>1</v>
      </c>
      <c r="AB268" s="176" t="s">
        <v>2362</v>
      </c>
      <c r="AC268" s="176"/>
      <c r="AD268" s="176"/>
      <c r="AE268" s="25" t="s">
        <v>8989</v>
      </c>
      <c r="AF268" s="344" t="s">
        <v>7145</v>
      </c>
      <c r="AG268" s="344" t="s">
        <v>7145</v>
      </c>
      <c r="AH268" s="348">
        <v>0.122166</v>
      </c>
      <c r="AI268" s="362">
        <v>0.16666666666666666</v>
      </c>
      <c r="AJ268" s="368"/>
    </row>
    <row r="269" spans="1:36">
      <c r="A269" s="176"/>
      <c r="B269" s="176" t="s">
        <v>776</v>
      </c>
      <c r="C269" s="184" t="s">
        <v>1691</v>
      </c>
      <c r="D269" s="178">
        <v>50</v>
      </c>
      <c r="E269" s="176" t="s">
        <v>4</v>
      </c>
      <c r="F269" s="178">
        <v>15</v>
      </c>
      <c r="G269" s="178"/>
      <c r="H269" s="185">
        <v>44999</v>
      </c>
      <c r="I269" s="176" t="s">
        <v>2877</v>
      </c>
      <c r="J269" s="176" t="s">
        <v>2876</v>
      </c>
      <c r="K269" s="176" t="s">
        <v>2045</v>
      </c>
      <c r="L269" s="176" t="s">
        <v>2056</v>
      </c>
      <c r="M269" s="176">
        <v>2021</v>
      </c>
      <c r="N269" s="176" t="s">
        <v>2875</v>
      </c>
      <c r="O269" s="176" t="s">
        <v>1</v>
      </c>
      <c r="P269" s="179" t="s">
        <v>278</v>
      </c>
      <c r="Q269" s="179">
        <v>4.5</v>
      </c>
      <c r="R269" s="179" t="s">
        <v>2874</v>
      </c>
      <c r="S269" s="179" t="s">
        <v>1</v>
      </c>
      <c r="T269" s="179" t="s">
        <v>1</v>
      </c>
      <c r="U269" s="179" t="s">
        <v>1</v>
      </c>
      <c r="V269" s="179" t="s">
        <v>1</v>
      </c>
      <c r="W269" s="179" t="s">
        <v>1</v>
      </c>
      <c r="X269" s="179" t="s">
        <v>1</v>
      </c>
      <c r="Y269" s="179" t="s">
        <v>1</v>
      </c>
      <c r="Z269" s="179" t="s">
        <v>1</v>
      </c>
      <c r="AA269" s="179" t="s">
        <v>1</v>
      </c>
      <c r="AB269" s="176" t="s">
        <v>2362</v>
      </c>
      <c r="AC269" s="176"/>
      <c r="AD269" s="176"/>
      <c r="AE269" s="25" t="s">
        <v>8990</v>
      </c>
      <c r="AF269" s="344" t="s">
        <v>7145</v>
      </c>
      <c r="AG269" s="344" t="s">
        <v>7145</v>
      </c>
      <c r="AH269" s="348">
        <v>1.7027E-2</v>
      </c>
      <c r="AI269" s="362">
        <v>1.5972222222222221E-2</v>
      </c>
      <c r="AJ269" s="368"/>
    </row>
    <row r="270" spans="1:36">
      <c r="A270" s="176"/>
      <c r="B270" s="176" t="s">
        <v>669</v>
      </c>
      <c r="C270" s="184" t="s">
        <v>1691</v>
      </c>
      <c r="D270" s="178">
        <v>50</v>
      </c>
      <c r="E270" s="176" t="s">
        <v>5</v>
      </c>
      <c r="F270" s="178">
        <v>14</v>
      </c>
      <c r="G270" s="178"/>
      <c r="H270" s="185">
        <v>44705</v>
      </c>
      <c r="I270" s="176" t="s">
        <v>2873</v>
      </c>
      <c r="J270" s="176" t="s">
        <v>2872</v>
      </c>
      <c r="K270" s="176" t="s">
        <v>2045</v>
      </c>
      <c r="L270" s="176" t="s">
        <v>2630</v>
      </c>
      <c r="M270" s="176">
        <v>2019</v>
      </c>
      <c r="N270" s="176"/>
      <c r="O270" s="176" t="s">
        <v>2871</v>
      </c>
      <c r="P270" s="179" t="s">
        <v>4</v>
      </c>
      <c r="Q270" s="179">
        <v>5</v>
      </c>
      <c r="R270" s="179" t="s">
        <v>2870</v>
      </c>
      <c r="S270" s="179" t="s">
        <v>278</v>
      </c>
      <c r="T270" s="179">
        <v>0.62</v>
      </c>
      <c r="U270" s="179" t="s">
        <v>2869</v>
      </c>
      <c r="V270" s="179" t="s">
        <v>1</v>
      </c>
      <c r="W270" s="179" t="s">
        <v>1</v>
      </c>
      <c r="X270" s="179" t="s">
        <v>1</v>
      </c>
      <c r="Y270" s="179" t="s">
        <v>1</v>
      </c>
      <c r="Z270" s="179" t="s">
        <v>1</v>
      </c>
      <c r="AA270" s="179" t="s">
        <v>1</v>
      </c>
      <c r="AB270" s="176" t="s">
        <v>2690</v>
      </c>
      <c r="AC270" s="176"/>
      <c r="AD270" s="176"/>
      <c r="AE270" s="25" t="s">
        <v>8991</v>
      </c>
      <c r="AF270" s="344" t="s">
        <v>7145</v>
      </c>
      <c r="AG270" s="344" t="s">
        <v>7145</v>
      </c>
      <c r="AH270" s="348">
        <v>4.2744999999999998E-2</v>
      </c>
      <c r="AI270" s="345">
        <v>0.19930555555555557</v>
      </c>
      <c r="AJ270" s="368"/>
    </row>
    <row r="271" spans="1:36">
      <c r="A271" s="176"/>
      <c r="B271" s="176" t="s">
        <v>2868</v>
      </c>
      <c r="C271" s="184" t="s">
        <v>1691</v>
      </c>
      <c r="D271" s="178">
        <v>50</v>
      </c>
      <c r="E271" s="176" t="s">
        <v>5</v>
      </c>
      <c r="F271" s="178">
        <v>13.6</v>
      </c>
      <c r="G271" s="178"/>
      <c r="H271" s="185">
        <v>44134</v>
      </c>
      <c r="I271" s="176" t="s">
        <v>2867</v>
      </c>
      <c r="J271" s="176" t="s">
        <v>2866</v>
      </c>
      <c r="K271" s="176" t="s">
        <v>2045</v>
      </c>
      <c r="L271" s="176" t="s">
        <v>2850</v>
      </c>
      <c r="M271" s="176">
        <v>2016</v>
      </c>
      <c r="N271" s="176"/>
      <c r="O271" s="176" t="s">
        <v>2865</v>
      </c>
      <c r="P271" s="179" t="s">
        <v>5</v>
      </c>
      <c r="Q271" s="179">
        <v>6</v>
      </c>
      <c r="R271" s="179" t="s">
        <v>2864</v>
      </c>
      <c r="S271" s="179" t="s">
        <v>4</v>
      </c>
      <c r="T271" s="179">
        <v>5</v>
      </c>
      <c r="U271" s="179" t="s">
        <v>2864</v>
      </c>
      <c r="V271" s="179" t="s">
        <v>4</v>
      </c>
      <c r="W271" s="179">
        <v>3</v>
      </c>
      <c r="X271" s="179" t="s">
        <v>2863</v>
      </c>
      <c r="Y271" s="179" t="s">
        <v>4</v>
      </c>
      <c r="Z271" s="179">
        <v>2</v>
      </c>
      <c r="AA271" s="179" t="s">
        <v>2863</v>
      </c>
      <c r="AB271" s="176" t="s">
        <v>2206</v>
      </c>
      <c r="AC271" s="176"/>
      <c r="AD271" s="176"/>
      <c r="AE271" s="25" t="s">
        <v>8992</v>
      </c>
      <c r="AF271" s="344" t="s">
        <v>7145</v>
      </c>
      <c r="AG271" s="344" t="s">
        <v>7145</v>
      </c>
      <c r="AH271" s="348">
        <v>6.5459999999999997E-3</v>
      </c>
      <c r="AI271" s="362">
        <v>0.05</v>
      </c>
      <c r="AJ271" s="368"/>
    </row>
    <row r="272" spans="1:36">
      <c r="A272" s="176"/>
      <c r="B272" s="176" t="s">
        <v>2862</v>
      </c>
      <c r="C272" s="184" t="s">
        <v>1691</v>
      </c>
      <c r="D272" s="178">
        <v>50</v>
      </c>
      <c r="E272" s="176" t="s">
        <v>4</v>
      </c>
      <c r="F272" s="178">
        <v>13.75</v>
      </c>
      <c r="G272" s="178"/>
      <c r="H272" s="185">
        <v>45014</v>
      </c>
      <c r="I272" s="176" t="s">
        <v>2861</v>
      </c>
      <c r="J272" s="176" t="s">
        <v>2860</v>
      </c>
      <c r="K272" s="176" t="s">
        <v>2569</v>
      </c>
      <c r="L272" s="176" t="s">
        <v>2859</v>
      </c>
      <c r="M272" s="176">
        <v>2021</v>
      </c>
      <c r="N272" s="176" t="s">
        <v>2858</v>
      </c>
      <c r="O272" s="176" t="s">
        <v>1</v>
      </c>
      <c r="P272" s="179" t="s">
        <v>4</v>
      </c>
      <c r="Q272" s="179">
        <v>5.4</v>
      </c>
      <c r="R272" s="179" t="s">
        <v>1</v>
      </c>
      <c r="S272" s="179" t="s">
        <v>1</v>
      </c>
      <c r="T272" s="179" t="s">
        <v>1</v>
      </c>
      <c r="U272" s="179" t="s">
        <v>1</v>
      </c>
      <c r="V272" s="179" t="s">
        <v>1</v>
      </c>
      <c r="W272" s="179" t="s">
        <v>1</v>
      </c>
      <c r="X272" s="179" t="s">
        <v>1</v>
      </c>
      <c r="Y272" s="179" t="s">
        <v>1</v>
      </c>
      <c r="Z272" s="179" t="s">
        <v>1</v>
      </c>
      <c r="AA272" s="179" t="s">
        <v>1</v>
      </c>
      <c r="AB272" s="176" t="s">
        <v>2094</v>
      </c>
      <c r="AC272" s="176"/>
      <c r="AD272" s="176"/>
      <c r="AE272" s="25" t="s">
        <v>8993</v>
      </c>
      <c r="AF272" s="344" t="s">
        <v>7145</v>
      </c>
      <c r="AG272" s="344" t="s">
        <v>7145</v>
      </c>
      <c r="AH272" s="348">
        <v>1.0267E-2</v>
      </c>
      <c r="AI272" s="362">
        <v>0.16041666666666668</v>
      </c>
      <c r="AJ272" s="368"/>
    </row>
    <row r="273" spans="1:36">
      <c r="A273" s="176"/>
      <c r="B273" s="176" t="s">
        <v>666</v>
      </c>
      <c r="C273" s="184" t="s">
        <v>1691</v>
      </c>
      <c r="D273" s="178">
        <v>50</v>
      </c>
      <c r="E273" s="176" t="s">
        <v>5</v>
      </c>
      <c r="F273" s="178">
        <v>12.7</v>
      </c>
      <c r="G273" s="178"/>
      <c r="H273" s="185">
        <v>44952</v>
      </c>
      <c r="I273" s="176" t="s">
        <v>2857</v>
      </c>
      <c r="J273" s="176" t="s">
        <v>2856</v>
      </c>
      <c r="K273" s="176" t="s">
        <v>2045</v>
      </c>
      <c r="L273" s="176" t="s">
        <v>2527</v>
      </c>
      <c r="M273" s="176">
        <v>2021</v>
      </c>
      <c r="N273" s="176"/>
      <c r="O273" s="176" t="s">
        <v>2855</v>
      </c>
      <c r="P273" s="179" t="s">
        <v>4</v>
      </c>
      <c r="Q273" s="179">
        <v>5</v>
      </c>
      <c r="R273" s="179" t="s">
        <v>667</v>
      </c>
      <c r="S273" s="179" t="s">
        <v>1</v>
      </c>
      <c r="T273" s="179" t="s">
        <v>1</v>
      </c>
      <c r="U273" s="179" t="s">
        <v>1</v>
      </c>
      <c r="V273" s="179" t="s">
        <v>1</v>
      </c>
      <c r="W273" s="179" t="s">
        <v>1</v>
      </c>
      <c r="X273" s="179" t="s">
        <v>1</v>
      </c>
      <c r="Y273" s="179" t="s">
        <v>1</v>
      </c>
      <c r="Z273" s="179" t="s">
        <v>1</v>
      </c>
      <c r="AA273" s="179" t="s">
        <v>1</v>
      </c>
      <c r="AB273" s="176" t="s">
        <v>2055</v>
      </c>
      <c r="AC273" s="176"/>
      <c r="AD273" s="176"/>
      <c r="AE273" s="25" t="s">
        <v>8994</v>
      </c>
      <c r="AF273" s="344" t="s">
        <v>7145</v>
      </c>
      <c r="AG273" s="344" t="s">
        <v>7145</v>
      </c>
      <c r="AH273" s="348">
        <v>7.0535E-2</v>
      </c>
      <c r="AI273" s="362">
        <v>0.10138888888888889</v>
      </c>
      <c r="AJ273" s="368"/>
    </row>
    <row r="274" spans="1:36" s="176" customFormat="1">
      <c r="A274" s="72"/>
      <c r="B274" s="12" t="s">
        <v>661</v>
      </c>
      <c r="C274" s="29" t="s">
        <v>1691</v>
      </c>
      <c r="D274" s="15">
        <v>50</v>
      </c>
      <c r="E274" s="12" t="s">
        <v>4</v>
      </c>
      <c r="F274" s="15">
        <v>13</v>
      </c>
      <c r="G274" s="15"/>
      <c r="H274" s="14">
        <v>44896</v>
      </c>
      <c r="I274" s="12" t="s">
        <v>2854</v>
      </c>
      <c r="J274" s="72" t="s">
        <v>2853</v>
      </c>
      <c r="K274" s="12" t="s">
        <v>2045</v>
      </c>
      <c r="L274" s="12" t="s">
        <v>2451</v>
      </c>
      <c r="M274" s="12">
        <v>2019</v>
      </c>
      <c r="N274" s="72"/>
      <c r="O274" s="72" t="s">
        <v>2852</v>
      </c>
      <c r="P274" s="76" t="s">
        <v>278</v>
      </c>
      <c r="Q274" s="76">
        <v>1</v>
      </c>
      <c r="R274" s="76" t="s">
        <v>1</v>
      </c>
      <c r="S274" s="76" t="s">
        <v>1</v>
      </c>
      <c r="T274" s="76" t="s">
        <v>1</v>
      </c>
      <c r="U274" s="76" t="s">
        <v>1</v>
      </c>
      <c r="V274" s="76" t="s">
        <v>1</v>
      </c>
      <c r="W274" s="76" t="s">
        <v>1</v>
      </c>
      <c r="X274" s="76" t="s">
        <v>1</v>
      </c>
      <c r="Y274" s="76" t="s">
        <v>1</v>
      </c>
      <c r="Z274" s="76" t="s">
        <v>1</v>
      </c>
      <c r="AA274" s="76" t="s">
        <v>1</v>
      </c>
      <c r="AB274" s="72" t="s">
        <v>2851</v>
      </c>
      <c r="AC274" s="72"/>
      <c r="AD274" s="72"/>
      <c r="AE274" s="25" t="s">
        <v>8995</v>
      </c>
      <c r="AF274" s="344" t="s">
        <v>7145</v>
      </c>
      <c r="AG274" s="344" t="s">
        <v>7145</v>
      </c>
      <c r="AH274" s="348">
        <v>1.5398999999999999E-2</v>
      </c>
      <c r="AI274" s="341">
        <v>0.14583333333333334</v>
      </c>
      <c r="AJ274" s="368"/>
    </row>
    <row r="275" spans="1:36" s="176" customFormat="1">
      <c r="A275" s="72"/>
      <c r="B275" s="72" t="s">
        <v>656</v>
      </c>
      <c r="C275" s="73" t="s">
        <v>1691</v>
      </c>
      <c r="D275" s="74">
        <v>50</v>
      </c>
      <c r="E275" s="72" t="s">
        <v>5</v>
      </c>
      <c r="F275" s="74">
        <v>12.6</v>
      </c>
      <c r="G275" s="74"/>
      <c r="H275" s="77">
        <v>44579</v>
      </c>
      <c r="I275" s="72" t="s">
        <v>2850</v>
      </c>
      <c r="J275" s="72" t="s">
        <v>2849</v>
      </c>
      <c r="K275" s="72" t="s">
        <v>2045</v>
      </c>
      <c r="L275" s="72" t="s">
        <v>2056</v>
      </c>
      <c r="M275" s="72">
        <v>2020</v>
      </c>
      <c r="N275" s="72"/>
      <c r="O275" s="72" t="s">
        <v>2848</v>
      </c>
      <c r="P275" s="76" t="s">
        <v>4</v>
      </c>
      <c r="Q275" s="76">
        <v>3</v>
      </c>
      <c r="R275" s="76" t="s">
        <v>2847</v>
      </c>
      <c r="S275" s="72" t="s">
        <v>1</v>
      </c>
      <c r="T275" s="72" t="s">
        <v>1</v>
      </c>
      <c r="U275" s="72" t="s">
        <v>1</v>
      </c>
      <c r="V275" s="72" t="s">
        <v>1</v>
      </c>
      <c r="W275" s="72" t="s">
        <v>1</v>
      </c>
      <c r="X275" s="72" t="s">
        <v>1</v>
      </c>
      <c r="Y275" s="72" t="s">
        <v>1</v>
      </c>
      <c r="Z275" s="72" t="s">
        <v>1</v>
      </c>
      <c r="AA275" s="72" t="s">
        <v>1</v>
      </c>
      <c r="AB275" s="72" t="s">
        <v>2362</v>
      </c>
      <c r="AC275" s="72"/>
      <c r="AD275" s="72"/>
      <c r="AE275" s="25" t="s">
        <v>8996</v>
      </c>
      <c r="AF275" s="344" t="s">
        <v>7145</v>
      </c>
      <c r="AG275" s="344" t="s">
        <v>7145</v>
      </c>
      <c r="AH275" s="348">
        <v>0</v>
      </c>
      <c r="AI275" s="341">
        <v>1.6666666666666666E-2</v>
      </c>
      <c r="AJ275" s="368"/>
    </row>
    <row r="276" spans="1:36" s="176" customFormat="1">
      <c r="A276" s="72"/>
      <c r="B276" s="72" t="s">
        <v>688</v>
      </c>
      <c r="C276" s="73" t="s">
        <v>1691</v>
      </c>
      <c r="D276" s="74">
        <v>50</v>
      </c>
      <c r="E276" s="72" t="s">
        <v>5</v>
      </c>
      <c r="F276" s="74">
        <v>12.5</v>
      </c>
      <c r="G276" s="74"/>
      <c r="H276" s="77">
        <v>45005</v>
      </c>
      <c r="I276" s="72" t="s">
        <v>2846</v>
      </c>
      <c r="J276" s="72"/>
      <c r="K276" s="72" t="s">
        <v>2045</v>
      </c>
      <c r="L276" s="72" t="s">
        <v>2056</v>
      </c>
      <c r="M276" s="72">
        <v>2021</v>
      </c>
      <c r="N276" s="72"/>
      <c r="O276" s="72" t="s">
        <v>2845</v>
      </c>
      <c r="P276" s="76" t="s">
        <v>4</v>
      </c>
      <c r="Q276" s="76">
        <v>5</v>
      </c>
      <c r="R276" s="76" t="s">
        <v>698</v>
      </c>
      <c r="S276" s="76" t="s">
        <v>1</v>
      </c>
      <c r="T276" s="76" t="s">
        <v>1</v>
      </c>
      <c r="U276" s="76" t="s">
        <v>1</v>
      </c>
      <c r="V276" s="76" t="s">
        <v>1</v>
      </c>
      <c r="W276" s="76" t="s">
        <v>1</v>
      </c>
      <c r="X276" s="76" t="s">
        <v>1</v>
      </c>
      <c r="Y276" s="76" t="s">
        <v>1</v>
      </c>
      <c r="Z276" s="76" t="s">
        <v>1</v>
      </c>
      <c r="AA276" s="76" t="s">
        <v>1</v>
      </c>
      <c r="AB276" s="72" t="s">
        <v>2646</v>
      </c>
      <c r="AC276" s="72"/>
      <c r="AD276" s="72"/>
      <c r="AE276" s="25" t="s">
        <v>8997</v>
      </c>
      <c r="AF276" s="344" t="s">
        <v>7145</v>
      </c>
      <c r="AG276" s="344" t="s">
        <v>7145</v>
      </c>
      <c r="AH276" s="348">
        <v>1.455E-2</v>
      </c>
      <c r="AI276" s="341">
        <v>0.10972222222222222</v>
      </c>
      <c r="AJ276" s="368"/>
    </row>
    <row r="277" spans="1:36" s="176" customFormat="1">
      <c r="A277" s="72"/>
      <c r="B277" s="72" t="s">
        <v>773</v>
      </c>
      <c r="C277" s="73" t="s">
        <v>1691</v>
      </c>
      <c r="D277" s="74">
        <v>50</v>
      </c>
      <c r="E277" s="72" t="s">
        <v>5</v>
      </c>
      <c r="F277" s="74">
        <v>12.8</v>
      </c>
      <c r="G277" s="74"/>
      <c r="H277" s="77">
        <v>44698</v>
      </c>
      <c r="I277" s="72" t="s">
        <v>2841</v>
      </c>
      <c r="J277" s="72"/>
      <c r="K277" s="72" t="s">
        <v>2045</v>
      </c>
      <c r="L277" s="72" t="s">
        <v>2056</v>
      </c>
      <c r="M277" s="72">
        <v>2020</v>
      </c>
      <c r="N277" s="72"/>
      <c r="O277" s="72" t="s">
        <v>2840</v>
      </c>
      <c r="P277" s="76" t="s">
        <v>4</v>
      </c>
      <c r="Q277" s="76">
        <v>5.5</v>
      </c>
      <c r="R277" s="76" t="s">
        <v>2839</v>
      </c>
      <c r="S277" s="72" t="s">
        <v>1</v>
      </c>
      <c r="T277" s="72" t="s">
        <v>1</v>
      </c>
      <c r="U277" s="72" t="s">
        <v>1</v>
      </c>
      <c r="V277" s="72" t="s">
        <v>1</v>
      </c>
      <c r="W277" s="72" t="s">
        <v>1</v>
      </c>
      <c r="X277" s="72" t="s">
        <v>1</v>
      </c>
      <c r="Y277" s="72" t="s">
        <v>1</v>
      </c>
      <c r="Z277" s="72" t="s">
        <v>1</v>
      </c>
      <c r="AA277" s="72" t="s">
        <v>1</v>
      </c>
      <c r="AB277" s="72" t="s">
        <v>2362</v>
      </c>
      <c r="AC277" s="72"/>
      <c r="AD277" s="72"/>
      <c r="AE277" s="25" t="s">
        <v>8999</v>
      </c>
      <c r="AF277" s="344" t="s">
        <v>7145</v>
      </c>
      <c r="AG277" s="344" t="s">
        <v>7145</v>
      </c>
      <c r="AH277" s="348">
        <v>1.5869999999999999E-2</v>
      </c>
      <c r="AI277" s="341">
        <v>9.166666666666666E-2</v>
      </c>
      <c r="AJ277" s="368"/>
    </row>
    <row r="278" spans="1:36" s="176" customFormat="1">
      <c r="A278" s="72"/>
      <c r="B278" s="72" t="s">
        <v>644</v>
      </c>
      <c r="C278" s="73" t="s">
        <v>1691</v>
      </c>
      <c r="D278" s="74">
        <v>50</v>
      </c>
      <c r="E278" s="72" t="s">
        <v>5</v>
      </c>
      <c r="F278" s="74">
        <v>12.5</v>
      </c>
      <c r="G278" s="74"/>
      <c r="H278" s="77">
        <v>43391</v>
      </c>
      <c r="I278" s="72" t="s">
        <v>2838</v>
      </c>
      <c r="J278" s="72" t="s">
        <v>2837</v>
      </c>
      <c r="K278" s="72" t="s">
        <v>2045</v>
      </c>
      <c r="L278" s="72" t="s">
        <v>2056</v>
      </c>
      <c r="M278" s="72">
        <v>2018</v>
      </c>
      <c r="N278" s="72"/>
      <c r="O278" s="72" t="s">
        <v>2836</v>
      </c>
      <c r="P278" s="76" t="s">
        <v>4</v>
      </c>
      <c r="Q278" s="76">
        <v>2</v>
      </c>
      <c r="R278" s="76" t="s">
        <v>816</v>
      </c>
      <c r="S278" s="76" t="s">
        <v>1</v>
      </c>
      <c r="T278" s="76" t="s">
        <v>1</v>
      </c>
      <c r="U278" s="76" t="s">
        <v>1</v>
      </c>
      <c r="V278" s="76" t="s">
        <v>1</v>
      </c>
      <c r="W278" s="76" t="s">
        <v>1</v>
      </c>
      <c r="X278" s="76" t="s">
        <v>1</v>
      </c>
      <c r="Y278" s="76" t="s">
        <v>1</v>
      </c>
      <c r="Z278" s="76" t="s">
        <v>1</v>
      </c>
      <c r="AA278" s="76" t="s">
        <v>1</v>
      </c>
      <c r="AB278" s="72" t="s">
        <v>2835</v>
      </c>
      <c r="AC278" s="72"/>
      <c r="AD278" s="72"/>
      <c r="AE278" s="25" t="s">
        <v>9000</v>
      </c>
      <c r="AF278" s="344" t="s">
        <v>7145</v>
      </c>
      <c r="AG278" s="344" t="s">
        <v>7145</v>
      </c>
      <c r="AH278" s="348">
        <v>2.2218000000000002E-2</v>
      </c>
      <c r="AI278" s="341">
        <v>0.25138888888888888</v>
      </c>
      <c r="AJ278" s="368"/>
    </row>
    <row r="279" spans="1:36" s="176" customFormat="1">
      <c r="A279" s="72"/>
      <c r="B279" s="72" t="s">
        <v>646</v>
      </c>
      <c r="C279" s="73" t="s">
        <v>1691</v>
      </c>
      <c r="D279" s="74">
        <v>50</v>
      </c>
      <c r="E279" s="72" t="s">
        <v>5</v>
      </c>
      <c r="F279" s="74">
        <v>13</v>
      </c>
      <c r="G279" s="74"/>
      <c r="H279" s="77">
        <v>44642</v>
      </c>
      <c r="I279" s="72" t="s">
        <v>2834</v>
      </c>
      <c r="J279" s="72" t="s">
        <v>2833</v>
      </c>
      <c r="K279" s="72" t="s">
        <v>2045</v>
      </c>
      <c r="L279" s="72" t="s">
        <v>2056</v>
      </c>
      <c r="M279" s="72">
        <v>2019</v>
      </c>
      <c r="N279" s="72"/>
      <c r="O279" s="72" t="s">
        <v>2832</v>
      </c>
      <c r="P279" s="76" t="s">
        <v>4</v>
      </c>
      <c r="Q279" s="76">
        <v>3.5</v>
      </c>
      <c r="R279" s="76" t="s">
        <v>2831</v>
      </c>
      <c r="S279" s="76" t="s">
        <v>278</v>
      </c>
      <c r="T279" s="76">
        <v>1</v>
      </c>
      <c r="U279" s="76" t="s">
        <v>2830</v>
      </c>
      <c r="V279" s="76" t="s">
        <v>1</v>
      </c>
      <c r="W279" s="76" t="s">
        <v>1</v>
      </c>
      <c r="X279" s="76" t="s">
        <v>1</v>
      </c>
      <c r="Y279" s="76" t="s">
        <v>1</v>
      </c>
      <c r="Z279" s="76" t="s">
        <v>1</v>
      </c>
      <c r="AA279" s="76" t="s">
        <v>1</v>
      </c>
      <c r="AB279" s="72" t="s">
        <v>2829</v>
      </c>
      <c r="AC279" s="72"/>
      <c r="AD279" s="72"/>
      <c r="AE279" s="25" t="s">
        <v>9001</v>
      </c>
      <c r="AF279" s="344" t="s">
        <v>7145</v>
      </c>
      <c r="AG279" s="344" t="s">
        <v>7145</v>
      </c>
      <c r="AH279" s="348">
        <v>0</v>
      </c>
      <c r="AI279" s="341">
        <v>6.5277777777777782E-2</v>
      </c>
      <c r="AJ279" s="368"/>
    </row>
    <row r="280" spans="1:36" s="176" customFormat="1">
      <c r="A280" s="72"/>
      <c r="B280" s="72" t="s">
        <v>651</v>
      </c>
      <c r="C280" s="73" t="s">
        <v>1691</v>
      </c>
      <c r="D280" s="74">
        <v>50</v>
      </c>
      <c r="E280" s="72" t="s">
        <v>4</v>
      </c>
      <c r="F280" s="74">
        <v>12.25</v>
      </c>
      <c r="G280" s="74"/>
      <c r="H280" s="77">
        <v>44622</v>
      </c>
      <c r="I280" s="72" t="s">
        <v>2828</v>
      </c>
      <c r="J280" s="72" t="s">
        <v>2827</v>
      </c>
      <c r="K280" s="72" t="s">
        <v>2045</v>
      </c>
      <c r="L280" s="72" t="s">
        <v>2056</v>
      </c>
      <c r="M280" s="72">
        <v>2019</v>
      </c>
      <c r="N280" s="72" t="s">
        <v>2826</v>
      </c>
      <c r="O280" s="72" t="s">
        <v>2825</v>
      </c>
      <c r="P280" s="76" t="s">
        <v>4</v>
      </c>
      <c r="Q280" s="76">
        <v>3.8</v>
      </c>
      <c r="R280" s="76" t="s">
        <v>1</v>
      </c>
      <c r="S280" s="76" t="s">
        <v>1</v>
      </c>
      <c r="T280" s="76" t="s">
        <v>1</v>
      </c>
      <c r="U280" s="76" t="s">
        <v>1</v>
      </c>
      <c r="V280" s="76" t="s">
        <v>1</v>
      </c>
      <c r="W280" s="76" t="s">
        <v>1</v>
      </c>
      <c r="X280" s="76" t="s">
        <v>1</v>
      </c>
      <c r="Y280" s="76" t="s">
        <v>1</v>
      </c>
      <c r="Z280" s="76" t="s">
        <v>1</v>
      </c>
      <c r="AA280" s="76" t="s">
        <v>1</v>
      </c>
      <c r="AB280" s="72" t="s">
        <v>2362</v>
      </c>
      <c r="AC280" s="72"/>
      <c r="AD280" s="72"/>
      <c r="AE280" s="25" t="s">
        <v>9002</v>
      </c>
      <c r="AF280" s="344" t="s">
        <v>7145</v>
      </c>
      <c r="AG280" s="344" t="s">
        <v>7145</v>
      </c>
      <c r="AH280" s="348">
        <v>0</v>
      </c>
      <c r="AI280" s="341">
        <v>3.125E-2</v>
      </c>
      <c r="AJ280" s="368"/>
    </row>
    <row r="281" spans="1:36" s="176" customFormat="1">
      <c r="A281" s="72"/>
      <c r="B281" s="72" t="s">
        <v>516</v>
      </c>
      <c r="C281" s="73" t="s">
        <v>1691</v>
      </c>
      <c r="D281" s="74">
        <v>50</v>
      </c>
      <c r="E281" s="72" t="s">
        <v>5</v>
      </c>
      <c r="F281" s="74">
        <v>12</v>
      </c>
      <c r="G281" s="74"/>
      <c r="H281" s="77">
        <v>44340</v>
      </c>
      <c r="I281" s="72" t="s">
        <v>2824</v>
      </c>
      <c r="J281" s="72" t="s">
        <v>2823</v>
      </c>
      <c r="K281" s="72" t="s">
        <v>2045</v>
      </c>
      <c r="L281" s="72" t="s">
        <v>2079</v>
      </c>
      <c r="M281" s="72">
        <v>2014</v>
      </c>
      <c r="N281" s="72"/>
      <c r="O281" s="72" t="s">
        <v>2822</v>
      </c>
      <c r="P281" s="76" t="s">
        <v>4</v>
      </c>
      <c r="Q281" s="76">
        <v>4</v>
      </c>
      <c r="R281" s="76" t="s">
        <v>2821</v>
      </c>
      <c r="S281" s="76" t="s">
        <v>4</v>
      </c>
      <c r="T281" s="76">
        <v>1.7</v>
      </c>
      <c r="U281" s="76" t="s">
        <v>2820</v>
      </c>
      <c r="V281" s="76" t="s">
        <v>4</v>
      </c>
      <c r="W281" s="76" t="s">
        <v>1</v>
      </c>
      <c r="X281" s="76" t="s">
        <v>2819</v>
      </c>
      <c r="Y281" s="76" t="s">
        <v>4</v>
      </c>
      <c r="Z281" s="76" t="s">
        <v>1</v>
      </c>
      <c r="AA281" s="76" t="s">
        <v>2818</v>
      </c>
      <c r="AB281" s="72" t="s">
        <v>2817</v>
      </c>
      <c r="AC281" s="72"/>
      <c r="AD281" s="72"/>
      <c r="AE281" s="25" t="s">
        <v>9003</v>
      </c>
      <c r="AF281" s="344" t="s">
        <v>7145</v>
      </c>
      <c r="AG281" s="344" t="s">
        <v>7145</v>
      </c>
      <c r="AH281" s="348">
        <v>0.53059000000000001</v>
      </c>
      <c r="AI281" s="341">
        <v>0.21180555555555555</v>
      </c>
      <c r="AJ281" s="368"/>
    </row>
    <row r="282" spans="1:36" s="176" customFormat="1">
      <c r="A282" s="72"/>
      <c r="B282" s="72" t="s">
        <v>649</v>
      </c>
      <c r="C282" s="73" t="s">
        <v>1691</v>
      </c>
      <c r="D282" s="74">
        <v>50</v>
      </c>
      <c r="E282" s="72" t="s">
        <v>5</v>
      </c>
      <c r="F282" s="74">
        <v>12</v>
      </c>
      <c r="G282" s="74"/>
      <c r="H282" s="77">
        <v>44677</v>
      </c>
      <c r="I282" s="72" t="s">
        <v>2816</v>
      </c>
      <c r="J282" s="72" t="s">
        <v>2815</v>
      </c>
      <c r="K282" s="72" t="s">
        <v>2045</v>
      </c>
      <c r="L282" s="72" t="s">
        <v>2056</v>
      </c>
      <c r="M282" s="72">
        <v>2019</v>
      </c>
      <c r="N282" s="72"/>
      <c r="O282" s="72" t="s">
        <v>2814</v>
      </c>
      <c r="P282" s="76" t="s">
        <v>4</v>
      </c>
      <c r="Q282" s="76">
        <v>8</v>
      </c>
      <c r="R282" s="72" t="s">
        <v>2813</v>
      </c>
      <c r="S282" s="76" t="s">
        <v>1</v>
      </c>
      <c r="T282" s="76" t="s">
        <v>1</v>
      </c>
      <c r="U282" s="76" t="s">
        <v>1</v>
      </c>
      <c r="V282" s="76" t="s">
        <v>1</v>
      </c>
      <c r="W282" s="76" t="s">
        <v>1</v>
      </c>
      <c r="X282" s="76" t="s">
        <v>1</v>
      </c>
      <c r="Y282" s="76" t="s">
        <v>1</v>
      </c>
      <c r="Z282" s="76" t="s">
        <v>1</v>
      </c>
      <c r="AA282" s="76" t="s">
        <v>1</v>
      </c>
      <c r="AB282" s="72" t="s">
        <v>2362</v>
      </c>
      <c r="AC282" s="72"/>
      <c r="AD282" s="72"/>
      <c r="AE282" s="25" t="s">
        <v>9004</v>
      </c>
      <c r="AF282" s="344" t="s">
        <v>7145</v>
      </c>
      <c r="AG282" s="344" t="s">
        <v>7145</v>
      </c>
      <c r="AH282" s="348">
        <v>9.0003E-2</v>
      </c>
      <c r="AI282" s="341">
        <v>0.12291666666666666</v>
      </c>
      <c r="AJ282" s="368"/>
    </row>
    <row r="283" spans="1:36" s="176" customFormat="1">
      <c r="A283" s="72"/>
      <c r="B283" s="72" t="s">
        <v>642</v>
      </c>
      <c r="C283" s="73" t="s">
        <v>1691</v>
      </c>
      <c r="D283" s="74">
        <v>50</v>
      </c>
      <c r="E283" s="72" t="s">
        <v>5</v>
      </c>
      <c r="F283" s="74">
        <v>12</v>
      </c>
      <c r="G283" s="74"/>
      <c r="H283" s="77">
        <v>44860</v>
      </c>
      <c r="I283" s="72" t="s">
        <v>2395</v>
      </c>
      <c r="J283" s="72" t="s">
        <v>2812</v>
      </c>
      <c r="K283" s="72" t="s">
        <v>2045</v>
      </c>
      <c r="L283" s="72" t="s">
        <v>2056</v>
      </c>
      <c r="M283" s="72">
        <v>2020</v>
      </c>
      <c r="N283" s="72" t="s">
        <v>2811</v>
      </c>
      <c r="O283" s="72" t="s">
        <v>2810</v>
      </c>
      <c r="P283" s="76" t="s">
        <v>4</v>
      </c>
      <c r="Q283" s="76">
        <v>2.8</v>
      </c>
      <c r="R283" s="76" t="s">
        <v>2809</v>
      </c>
      <c r="S283" s="76" t="s">
        <v>1</v>
      </c>
      <c r="T283" s="76" t="s">
        <v>1</v>
      </c>
      <c r="U283" s="76" t="s">
        <v>1</v>
      </c>
      <c r="V283" s="76" t="s">
        <v>1</v>
      </c>
      <c r="W283" s="76" t="s">
        <v>1</v>
      </c>
      <c r="X283" s="76" t="s">
        <v>1</v>
      </c>
      <c r="Y283" s="76" t="s">
        <v>1</v>
      </c>
      <c r="Z283" s="76" t="s">
        <v>1</v>
      </c>
      <c r="AA283" s="76" t="s">
        <v>1</v>
      </c>
      <c r="AB283" s="72" t="s">
        <v>2808</v>
      </c>
      <c r="AC283" s="72"/>
      <c r="AD283" s="72"/>
      <c r="AE283" s="25" t="s">
        <v>9005</v>
      </c>
      <c r="AF283" s="344" t="s">
        <v>7145</v>
      </c>
      <c r="AG283" s="344" t="s">
        <v>7145</v>
      </c>
      <c r="AH283" s="348">
        <v>1.0652999999999999E-2</v>
      </c>
      <c r="AI283" s="341">
        <v>2.2916666666666665E-2</v>
      </c>
      <c r="AJ283" s="368"/>
    </row>
    <row r="284" spans="1:36" s="176" customFormat="1">
      <c r="A284" s="72"/>
      <c r="B284" s="72" t="s">
        <v>652</v>
      </c>
      <c r="C284" s="73" t="s">
        <v>1691</v>
      </c>
      <c r="D284" s="74">
        <v>50</v>
      </c>
      <c r="E284" s="72" t="s">
        <v>5</v>
      </c>
      <c r="F284" s="74">
        <v>12</v>
      </c>
      <c r="G284" s="74"/>
      <c r="H284" s="77">
        <v>44971</v>
      </c>
      <c r="I284" s="72" t="s">
        <v>2807</v>
      </c>
      <c r="J284" s="72" t="s">
        <v>2806</v>
      </c>
      <c r="K284" s="72" t="s">
        <v>2045</v>
      </c>
      <c r="L284" s="72" t="s">
        <v>2056</v>
      </c>
      <c r="M284" s="72">
        <v>2022</v>
      </c>
      <c r="N284" s="72"/>
      <c r="O284" s="72" t="s">
        <v>2805</v>
      </c>
      <c r="P284" s="76" t="s">
        <v>4</v>
      </c>
      <c r="Q284" s="76">
        <v>5</v>
      </c>
      <c r="R284" s="76" t="s">
        <v>2804</v>
      </c>
      <c r="S284" s="76" t="s">
        <v>1</v>
      </c>
      <c r="T284" s="76" t="s">
        <v>1</v>
      </c>
      <c r="U284" s="76" t="s">
        <v>1</v>
      </c>
      <c r="V284" s="76" t="s">
        <v>1</v>
      </c>
      <c r="W284" s="76" t="s">
        <v>1</v>
      </c>
      <c r="X284" s="76" t="s">
        <v>1</v>
      </c>
      <c r="Y284" s="76" t="s">
        <v>1</v>
      </c>
      <c r="Z284" s="76" t="s">
        <v>1</v>
      </c>
      <c r="AA284" s="76" t="s">
        <v>1</v>
      </c>
      <c r="AB284" s="72" t="s">
        <v>2122</v>
      </c>
      <c r="AC284" s="72"/>
      <c r="AD284" s="72"/>
      <c r="AE284" s="25" t="s">
        <v>9006</v>
      </c>
      <c r="AF284" s="344" t="s">
        <v>7145</v>
      </c>
      <c r="AG284" s="344" t="s">
        <v>7145</v>
      </c>
      <c r="AH284" s="348">
        <v>2.4145E-2</v>
      </c>
      <c r="AI284" s="341">
        <v>0.15555555555555556</v>
      </c>
      <c r="AJ284" s="368"/>
    </row>
    <row r="285" spans="1:36" s="176" customFormat="1">
      <c r="B285" s="176" t="s">
        <v>719</v>
      </c>
      <c r="C285" s="184" t="s">
        <v>1691</v>
      </c>
      <c r="D285" s="178">
        <v>50</v>
      </c>
      <c r="E285" s="176" t="s">
        <v>5</v>
      </c>
      <c r="F285" s="178">
        <v>11</v>
      </c>
      <c r="G285" s="178"/>
      <c r="H285" s="185">
        <v>44483</v>
      </c>
      <c r="I285" s="176" t="s">
        <v>2803</v>
      </c>
      <c r="J285" s="176" t="s">
        <v>2802</v>
      </c>
      <c r="K285" s="176" t="s">
        <v>2045</v>
      </c>
      <c r="L285" s="176" t="s">
        <v>2123</v>
      </c>
      <c r="M285" s="176">
        <v>2020</v>
      </c>
      <c r="O285" s="176" t="s">
        <v>2801</v>
      </c>
      <c r="P285" s="179" t="s">
        <v>4</v>
      </c>
      <c r="Q285" s="179">
        <v>2.9</v>
      </c>
      <c r="R285" s="179" t="s">
        <v>2800</v>
      </c>
      <c r="S285" s="179" t="s">
        <v>278</v>
      </c>
      <c r="T285" s="179" t="s">
        <v>1</v>
      </c>
      <c r="U285" s="179" t="s">
        <v>2799</v>
      </c>
      <c r="V285" s="179" t="s">
        <v>1</v>
      </c>
      <c r="W285" s="179" t="s">
        <v>1</v>
      </c>
      <c r="X285" s="179" t="s">
        <v>1</v>
      </c>
      <c r="Y285" s="179" t="s">
        <v>1</v>
      </c>
      <c r="Z285" s="179" t="s">
        <v>1</v>
      </c>
      <c r="AA285" s="179" t="s">
        <v>1</v>
      </c>
      <c r="AB285" s="176" t="s">
        <v>2798</v>
      </c>
      <c r="AE285" s="25" t="s">
        <v>9007</v>
      </c>
      <c r="AF285" s="344" t="s">
        <v>7145</v>
      </c>
      <c r="AG285" s="344" t="s">
        <v>7145</v>
      </c>
      <c r="AH285" s="376">
        <v>2.714</v>
      </c>
      <c r="AI285" s="362">
        <v>0.1763888888888889</v>
      </c>
      <c r="AJ285" s="368"/>
    </row>
    <row r="286" spans="1:36" s="176" customFormat="1">
      <c r="B286" s="176" t="s">
        <v>6763</v>
      </c>
      <c r="C286" s="184" t="s">
        <v>1691</v>
      </c>
      <c r="D286" s="178">
        <v>50</v>
      </c>
      <c r="E286" s="176" t="s">
        <v>5</v>
      </c>
      <c r="F286" s="178">
        <v>11</v>
      </c>
      <c r="G286" s="178">
        <f>F286</f>
        <v>11</v>
      </c>
      <c r="H286" s="27">
        <v>43215</v>
      </c>
      <c r="I286" s="176" t="s">
        <v>6764</v>
      </c>
      <c r="J286" s="176" t="s">
        <v>6762</v>
      </c>
      <c r="K286" s="176" t="s">
        <v>2045</v>
      </c>
      <c r="L286" s="176" t="s">
        <v>2056</v>
      </c>
      <c r="M286" s="176">
        <v>2016</v>
      </c>
      <c r="O286" s="176" t="s">
        <v>6765</v>
      </c>
      <c r="P286" s="179" t="s">
        <v>1</v>
      </c>
      <c r="Q286" s="179" t="s">
        <v>1</v>
      </c>
      <c r="R286" s="179" t="s">
        <v>1</v>
      </c>
      <c r="S286" s="179" t="s">
        <v>1</v>
      </c>
      <c r="T286" s="179" t="s">
        <v>1</v>
      </c>
      <c r="U286" s="179" t="s">
        <v>1</v>
      </c>
      <c r="V286" s="179" t="s">
        <v>1</v>
      </c>
      <c r="W286" s="179" t="s">
        <v>1</v>
      </c>
      <c r="X286" s="179" t="s">
        <v>1</v>
      </c>
      <c r="Y286" s="179" t="s">
        <v>1</v>
      </c>
      <c r="Z286" s="179" t="s">
        <v>1</v>
      </c>
      <c r="AA286" s="179" t="s">
        <v>1</v>
      </c>
      <c r="AB286" s="176" t="s">
        <v>6760</v>
      </c>
      <c r="AC286" s="176" t="s">
        <v>2851</v>
      </c>
      <c r="AD286" s="176" t="s">
        <v>2851</v>
      </c>
      <c r="AE286" s="25" t="s">
        <v>6761</v>
      </c>
      <c r="AF286" s="344" t="s">
        <v>7145</v>
      </c>
      <c r="AG286" s="344" t="s">
        <v>7145</v>
      </c>
      <c r="AH286" s="348">
        <v>3.5320999999999998E-2</v>
      </c>
      <c r="AI286" s="362">
        <v>0.15486111111111112</v>
      </c>
      <c r="AJ286" s="368"/>
    </row>
    <row r="287" spans="1:36" s="176" customFormat="1">
      <c r="B287" s="176" t="s">
        <v>2797</v>
      </c>
      <c r="C287" s="184" t="s">
        <v>1691</v>
      </c>
      <c r="D287" s="178">
        <v>50</v>
      </c>
      <c r="E287" s="176" t="s">
        <v>5</v>
      </c>
      <c r="F287" s="178">
        <v>11</v>
      </c>
      <c r="G287" s="178"/>
      <c r="H287" s="185">
        <v>44959</v>
      </c>
      <c r="I287" s="176" t="s">
        <v>2796</v>
      </c>
      <c r="J287" s="176" t="s">
        <v>2795</v>
      </c>
      <c r="K287" s="176" t="s">
        <v>2045</v>
      </c>
      <c r="L287" s="176" t="s">
        <v>2123</v>
      </c>
      <c r="M287" s="176">
        <v>2020</v>
      </c>
      <c r="O287" s="176" t="s">
        <v>2794</v>
      </c>
      <c r="P287" s="179" t="s">
        <v>4</v>
      </c>
      <c r="Q287" s="179">
        <v>2.2000000000000002</v>
      </c>
      <c r="R287" s="179" t="s">
        <v>2793</v>
      </c>
      <c r="S287" s="179" t="s">
        <v>1</v>
      </c>
      <c r="T287" s="179" t="s">
        <v>1</v>
      </c>
      <c r="U287" s="179" t="s">
        <v>1</v>
      </c>
      <c r="V287" s="179" t="s">
        <v>1</v>
      </c>
      <c r="W287" s="179" t="s">
        <v>1</v>
      </c>
      <c r="X287" s="179" t="s">
        <v>1</v>
      </c>
      <c r="Y287" s="179" t="s">
        <v>1</v>
      </c>
      <c r="Z287" s="179" t="s">
        <v>1</v>
      </c>
      <c r="AA287" s="179" t="s">
        <v>1</v>
      </c>
      <c r="AB287" s="176" t="s">
        <v>2055</v>
      </c>
      <c r="AE287" s="25" t="s">
        <v>9008</v>
      </c>
      <c r="AF287" s="344" t="s">
        <v>7145</v>
      </c>
      <c r="AG287" s="344" t="s">
        <v>7145</v>
      </c>
      <c r="AH287" s="348">
        <v>6.8808999999999995E-2</v>
      </c>
      <c r="AI287" s="362">
        <v>5.9722222222222225E-2</v>
      </c>
      <c r="AJ287" s="368"/>
    </row>
    <row r="288" spans="1:36" s="12" customFormat="1">
      <c r="B288" s="12" t="s">
        <v>2792</v>
      </c>
      <c r="C288" s="29" t="s">
        <v>1691</v>
      </c>
      <c r="D288" s="15">
        <v>50</v>
      </c>
      <c r="E288" s="12" t="s">
        <v>5</v>
      </c>
      <c r="F288" s="15">
        <v>10.6</v>
      </c>
      <c r="G288" s="15"/>
      <c r="H288" s="14">
        <v>44819</v>
      </c>
      <c r="I288" s="12" t="s">
        <v>2791</v>
      </c>
      <c r="J288" s="12" t="s">
        <v>2790</v>
      </c>
      <c r="K288" s="12" t="s">
        <v>2045</v>
      </c>
      <c r="L288" s="12" t="s">
        <v>2302</v>
      </c>
      <c r="M288" s="12">
        <v>2019</v>
      </c>
      <c r="O288" s="12" t="s">
        <v>2789</v>
      </c>
      <c r="P288" s="24" t="s">
        <v>4</v>
      </c>
      <c r="Q288" s="24">
        <v>1.5</v>
      </c>
      <c r="R288" s="24" t="s">
        <v>2788</v>
      </c>
      <c r="S288" s="24" t="s">
        <v>278</v>
      </c>
      <c r="T288" s="24">
        <v>0.1</v>
      </c>
      <c r="U288" s="24" t="s">
        <v>639</v>
      </c>
      <c r="V288" s="24" t="s">
        <v>1</v>
      </c>
      <c r="W288" s="24" t="s">
        <v>1</v>
      </c>
      <c r="X288" s="24" t="s">
        <v>1</v>
      </c>
      <c r="Y288" s="24" t="s">
        <v>1</v>
      </c>
      <c r="Z288" s="24" t="s">
        <v>1</v>
      </c>
      <c r="AA288" s="24" t="s">
        <v>1</v>
      </c>
      <c r="AB288" s="12" t="s">
        <v>2048</v>
      </c>
      <c r="AE288" s="25" t="s">
        <v>9009</v>
      </c>
      <c r="AF288" s="344" t="s">
        <v>7145</v>
      </c>
      <c r="AG288" s="344" t="s">
        <v>7145</v>
      </c>
      <c r="AH288" s="376">
        <v>4.4817999999999997E-2</v>
      </c>
      <c r="AI288" s="364">
        <v>5.5555555555555552E-2</v>
      </c>
      <c r="AJ288" s="368"/>
    </row>
    <row r="289" spans="2:36" s="176" customFormat="1">
      <c r="B289" s="176" t="s">
        <v>635</v>
      </c>
      <c r="C289" s="184" t="s">
        <v>1691</v>
      </c>
      <c r="D289" s="178">
        <v>50</v>
      </c>
      <c r="E289" s="176" t="s">
        <v>4</v>
      </c>
      <c r="F289" s="178">
        <v>10.6</v>
      </c>
      <c r="G289" s="178"/>
      <c r="H289" s="185">
        <v>45007</v>
      </c>
      <c r="I289" s="176" t="s">
        <v>2787</v>
      </c>
      <c r="J289" s="176" t="s">
        <v>2786</v>
      </c>
      <c r="K289" s="176" t="s">
        <v>2045</v>
      </c>
      <c r="L289" s="176" t="s">
        <v>2237</v>
      </c>
      <c r="M289" s="176">
        <v>2022</v>
      </c>
      <c r="O289" s="176" t="s">
        <v>2785</v>
      </c>
      <c r="P289" s="179" t="s">
        <v>1</v>
      </c>
      <c r="Q289" s="179" t="s">
        <v>1</v>
      </c>
      <c r="R289" s="179" t="s">
        <v>1</v>
      </c>
      <c r="S289" s="179" t="s">
        <v>1</v>
      </c>
      <c r="T289" s="179" t="s">
        <v>1</v>
      </c>
      <c r="U289" s="179" t="s">
        <v>1</v>
      </c>
      <c r="V289" s="179" t="s">
        <v>1</v>
      </c>
      <c r="W289" s="179" t="s">
        <v>1</v>
      </c>
      <c r="X289" s="179" t="s">
        <v>1</v>
      </c>
      <c r="Y289" s="179" t="s">
        <v>1</v>
      </c>
      <c r="Z289" s="179" t="s">
        <v>1</v>
      </c>
      <c r="AA289" s="179" t="s">
        <v>1</v>
      </c>
      <c r="AB289" s="176" t="s">
        <v>2078</v>
      </c>
      <c r="AE289" s="25" t="s">
        <v>9080</v>
      </c>
      <c r="AF289" s="344" t="s">
        <v>7145</v>
      </c>
      <c r="AG289" s="344" t="s">
        <v>7145</v>
      </c>
      <c r="AH289" s="58"/>
      <c r="AJ289" s="368"/>
    </row>
    <row r="290" spans="2:36" s="176" customFormat="1">
      <c r="B290" s="176" t="s">
        <v>632</v>
      </c>
      <c r="C290" s="184" t="s">
        <v>1691</v>
      </c>
      <c r="D290" s="178">
        <v>50</v>
      </c>
      <c r="E290" s="176" t="s">
        <v>4</v>
      </c>
      <c r="F290" s="178">
        <v>10.5</v>
      </c>
      <c r="G290" s="178"/>
      <c r="H290" s="185">
        <v>44984</v>
      </c>
      <c r="I290" s="176" t="s">
        <v>2095</v>
      </c>
      <c r="J290" s="176" t="s">
        <v>2784</v>
      </c>
      <c r="K290" s="176" t="s">
        <v>2045</v>
      </c>
      <c r="L290" s="176" t="s">
        <v>2456</v>
      </c>
      <c r="M290" s="176">
        <v>2019</v>
      </c>
      <c r="O290" s="176" t="s">
        <v>2783</v>
      </c>
      <c r="P290" s="179" t="s">
        <v>4</v>
      </c>
      <c r="Q290" s="179">
        <v>3</v>
      </c>
      <c r="R290" s="179" t="s">
        <v>2782</v>
      </c>
      <c r="S290" s="179" t="s">
        <v>4</v>
      </c>
      <c r="T290" s="179">
        <v>2</v>
      </c>
      <c r="U290" s="179" t="s">
        <v>2781</v>
      </c>
      <c r="V290" s="179" t="s">
        <v>278</v>
      </c>
      <c r="W290" s="179">
        <v>0.6</v>
      </c>
      <c r="X290" s="179" t="s">
        <v>1</v>
      </c>
      <c r="Y290" s="179" t="s">
        <v>1</v>
      </c>
      <c r="Z290" s="179" t="s">
        <v>1</v>
      </c>
      <c r="AA290" s="179" t="s">
        <v>1</v>
      </c>
      <c r="AB290" s="176" t="s">
        <v>2094</v>
      </c>
      <c r="AE290" s="25" t="s">
        <v>9081</v>
      </c>
      <c r="AF290" s="344" t="s">
        <v>7145</v>
      </c>
      <c r="AG290" s="344" t="s">
        <v>7145</v>
      </c>
      <c r="AH290" s="58"/>
      <c r="AJ290" s="368"/>
    </row>
    <row r="291" spans="2:36">
      <c r="B291" s="72" t="s">
        <v>2013</v>
      </c>
      <c r="C291" s="237" t="s">
        <v>1691</v>
      </c>
      <c r="D291" s="72">
        <v>50</v>
      </c>
      <c r="E291" s="238" t="s">
        <v>4</v>
      </c>
      <c r="F291" s="72">
        <v>11</v>
      </c>
      <c r="G291" s="72">
        <f>F291</f>
        <v>11</v>
      </c>
      <c r="H291" s="78">
        <v>44686</v>
      </c>
      <c r="I291" s="238" t="s">
        <v>7395</v>
      </c>
      <c r="J291" s="238" t="s">
        <v>7392</v>
      </c>
      <c r="K291" s="238" t="s">
        <v>2045</v>
      </c>
      <c r="L291" s="238" t="s">
        <v>3257</v>
      </c>
      <c r="M291" s="72">
        <v>2020</v>
      </c>
      <c r="O291" s="238" t="s">
        <v>7396</v>
      </c>
      <c r="P291" s="238" t="s">
        <v>1</v>
      </c>
      <c r="Q291" s="238" t="s">
        <v>1</v>
      </c>
      <c r="R291" s="238" t="s">
        <v>1</v>
      </c>
      <c r="S291" s="238" t="s">
        <v>1</v>
      </c>
      <c r="T291" s="238" t="s">
        <v>1</v>
      </c>
      <c r="U291" s="238" t="s">
        <v>1</v>
      </c>
      <c r="V291" s="238" t="s">
        <v>1</v>
      </c>
      <c r="W291" s="238" t="s">
        <v>1</v>
      </c>
      <c r="X291" s="238" t="s">
        <v>1</v>
      </c>
      <c r="Y291" s="238" t="s">
        <v>1</v>
      </c>
      <c r="Z291" s="238" t="s">
        <v>1</v>
      </c>
      <c r="AA291" s="238" t="s">
        <v>1</v>
      </c>
      <c r="AB291" s="238" t="s">
        <v>6624</v>
      </c>
      <c r="AD291" s="238" t="s">
        <v>2145</v>
      </c>
      <c r="AE291" s="238" t="s">
        <v>7391</v>
      </c>
      <c r="AF291" s="344" t="s">
        <v>7145</v>
      </c>
      <c r="AG291" s="344" t="s">
        <v>7145</v>
      </c>
      <c r="AH291" s="72"/>
      <c r="AJ291" s="368"/>
    </row>
    <row r="292" spans="2:36" s="176" customFormat="1">
      <c r="B292" s="176" t="s">
        <v>573</v>
      </c>
      <c r="C292" s="184" t="s">
        <v>1691</v>
      </c>
      <c r="D292" s="178">
        <v>50</v>
      </c>
      <c r="E292" s="176" t="s">
        <v>4</v>
      </c>
      <c r="F292" s="178">
        <v>10</v>
      </c>
      <c r="G292" s="178"/>
      <c r="H292" s="185">
        <v>44887</v>
      </c>
      <c r="I292" s="176" t="s">
        <v>2780</v>
      </c>
      <c r="J292" s="176" t="s">
        <v>2779</v>
      </c>
      <c r="K292" s="176" t="s">
        <v>2045</v>
      </c>
      <c r="L292" s="176" t="s">
        <v>2062</v>
      </c>
      <c r="M292" s="176">
        <v>2021</v>
      </c>
      <c r="O292" s="176" t="s">
        <v>2778</v>
      </c>
      <c r="P292" s="179" t="s">
        <v>1</v>
      </c>
      <c r="Q292" s="179" t="s">
        <v>1</v>
      </c>
      <c r="R292" s="179" t="s">
        <v>1</v>
      </c>
      <c r="S292" s="179" t="s">
        <v>1</v>
      </c>
      <c r="T292" s="179" t="s">
        <v>1</v>
      </c>
      <c r="U292" s="179" t="s">
        <v>1</v>
      </c>
      <c r="V292" s="179" t="s">
        <v>1</v>
      </c>
      <c r="W292" s="179" t="s">
        <v>1</v>
      </c>
      <c r="X292" s="179" t="s">
        <v>1</v>
      </c>
      <c r="Y292" s="179" t="s">
        <v>1</v>
      </c>
      <c r="Z292" s="179" t="s">
        <v>1</v>
      </c>
      <c r="AA292" s="179" t="s">
        <v>1</v>
      </c>
      <c r="AB292" s="176" t="s">
        <v>2055</v>
      </c>
      <c r="AF292" s="344" t="s">
        <v>7145</v>
      </c>
      <c r="AG292" s="344" t="s">
        <v>7145</v>
      </c>
      <c r="AH292" s="58"/>
      <c r="AJ292" s="368"/>
    </row>
    <row r="293" spans="2:36" s="176" customFormat="1">
      <c r="B293" s="176" t="s">
        <v>771</v>
      </c>
      <c r="C293" s="184" t="s">
        <v>1691</v>
      </c>
      <c r="D293" s="178">
        <v>50</v>
      </c>
      <c r="E293" s="176" t="s">
        <v>4</v>
      </c>
      <c r="F293" s="178">
        <v>10</v>
      </c>
      <c r="G293" s="178"/>
      <c r="H293" s="185">
        <v>44858</v>
      </c>
      <c r="I293" s="176" t="s">
        <v>2777</v>
      </c>
      <c r="J293" s="176" t="s">
        <v>2776</v>
      </c>
      <c r="K293" s="176" t="s">
        <v>2308</v>
      </c>
      <c r="L293" s="176" t="s">
        <v>2775</v>
      </c>
      <c r="M293" s="176">
        <v>2021</v>
      </c>
      <c r="O293" s="176" t="s">
        <v>2774</v>
      </c>
      <c r="P293" s="179" t="s">
        <v>4</v>
      </c>
      <c r="Q293" s="179">
        <v>4.5999999999999996</v>
      </c>
      <c r="R293" s="179" t="s">
        <v>2773</v>
      </c>
      <c r="S293" s="179" t="s">
        <v>1</v>
      </c>
      <c r="T293" s="179" t="s">
        <v>1</v>
      </c>
      <c r="U293" s="179" t="s">
        <v>1</v>
      </c>
      <c r="V293" s="179" t="s">
        <v>1</v>
      </c>
      <c r="W293" s="179" t="s">
        <v>1</v>
      </c>
      <c r="X293" s="179" t="s">
        <v>1</v>
      </c>
      <c r="Y293" s="179" t="s">
        <v>1</v>
      </c>
      <c r="Z293" s="179" t="s">
        <v>1</v>
      </c>
      <c r="AA293" s="179" t="s">
        <v>1</v>
      </c>
      <c r="AB293" s="176" t="s">
        <v>2772</v>
      </c>
      <c r="AF293" s="344" t="s">
        <v>7145</v>
      </c>
      <c r="AG293" s="344" t="s">
        <v>7145</v>
      </c>
      <c r="AH293" s="58"/>
      <c r="AJ293" s="368"/>
    </row>
    <row r="294" spans="2:36" s="238" customFormat="1">
      <c r="B294" s="238" t="s">
        <v>2007</v>
      </c>
      <c r="C294" s="237" t="s">
        <v>1691</v>
      </c>
      <c r="D294" s="238">
        <v>50</v>
      </c>
      <c r="E294" s="238" t="s">
        <v>5</v>
      </c>
      <c r="F294" s="238">
        <v>10</v>
      </c>
      <c r="G294" s="238">
        <v>10</v>
      </c>
      <c r="H294" s="155">
        <v>44307</v>
      </c>
      <c r="I294" s="238" t="s">
        <v>7572</v>
      </c>
      <c r="J294" s="238" t="s">
        <v>7571</v>
      </c>
      <c r="K294" s="238" t="s">
        <v>2045</v>
      </c>
      <c r="L294" s="238" t="s">
        <v>2265</v>
      </c>
      <c r="M294" s="158">
        <v>44105</v>
      </c>
      <c r="O294" s="238" t="s">
        <v>7573</v>
      </c>
      <c r="P294" s="238" t="s">
        <v>1</v>
      </c>
      <c r="Q294" s="238" t="s">
        <v>1</v>
      </c>
      <c r="R294" s="238" t="s">
        <v>1</v>
      </c>
      <c r="S294" s="238" t="s">
        <v>1</v>
      </c>
      <c r="T294" s="238" t="s">
        <v>1</v>
      </c>
      <c r="U294" s="238" t="s">
        <v>1</v>
      </c>
      <c r="V294" s="238" t="s">
        <v>1</v>
      </c>
      <c r="W294" s="238" t="s">
        <v>1</v>
      </c>
      <c r="X294" s="238" t="s">
        <v>1</v>
      </c>
      <c r="Y294" s="238" t="s">
        <v>1</v>
      </c>
      <c r="Z294" s="238" t="s">
        <v>1</v>
      </c>
      <c r="AA294" s="238" t="s">
        <v>1</v>
      </c>
      <c r="AB294" s="238" t="s">
        <v>6600</v>
      </c>
      <c r="AC294" s="238" t="s">
        <v>6603</v>
      </c>
      <c r="AD294" s="238" t="s">
        <v>2362</v>
      </c>
      <c r="AE294" s="251" t="s">
        <v>7570</v>
      </c>
      <c r="AF294" s="344" t="s">
        <v>7145</v>
      </c>
      <c r="AG294" s="344" t="s">
        <v>7145</v>
      </c>
      <c r="AJ294" s="368"/>
    </row>
    <row r="295" spans="2:36" s="176" customFormat="1">
      <c r="B295" s="176" t="s">
        <v>408</v>
      </c>
      <c r="C295" s="184" t="s">
        <v>1691</v>
      </c>
      <c r="D295" s="178">
        <v>50</v>
      </c>
      <c r="E295" s="176" t="s">
        <v>5</v>
      </c>
      <c r="F295" s="178">
        <v>10</v>
      </c>
      <c r="G295" s="178"/>
      <c r="H295" s="185">
        <v>44740</v>
      </c>
      <c r="I295" s="176" t="s">
        <v>2771</v>
      </c>
      <c r="J295" s="176" t="s">
        <v>2770</v>
      </c>
      <c r="K295" s="176" t="s">
        <v>2045</v>
      </c>
      <c r="L295" s="176" t="s">
        <v>2393</v>
      </c>
      <c r="M295" s="176">
        <v>2016</v>
      </c>
      <c r="O295" s="176" t="s">
        <v>2769</v>
      </c>
      <c r="P295" s="179" t="s">
        <v>4</v>
      </c>
      <c r="Q295" s="179">
        <v>4</v>
      </c>
      <c r="R295" s="179" t="s">
        <v>2768</v>
      </c>
      <c r="S295" s="179" t="s">
        <v>1</v>
      </c>
      <c r="T295" s="179" t="s">
        <v>1</v>
      </c>
      <c r="U295" s="179" t="s">
        <v>1</v>
      </c>
      <c r="V295" s="179" t="s">
        <v>1</v>
      </c>
      <c r="W295" s="179" t="s">
        <v>1</v>
      </c>
      <c r="X295" s="179" t="s">
        <v>1</v>
      </c>
      <c r="Y295" s="179" t="s">
        <v>1</v>
      </c>
      <c r="Z295" s="179" t="s">
        <v>1</v>
      </c>
      <c r="AA295" s="179" t="s">
        <v>1</v>
      </c>
      <c r="AB295" s="176" t="s">
        <v>2085</v>
      </c>
      <c r="AF295" s="344" t="s">
        <v>7145</v>
      </c>
      <c r="AG295" s="344" t="s">
        <v>7145</v>
      </c>
      <c r="AH295" s="58"/>
      <c r="AJ295" s="368"/>
    </row>
    <row r="296" spans="2:36" s="12" customFormat="1">
      <c r="B296" s="12" t="s">
        <v>2009</v>
      </c>
      <c r="C296" s="29" t="s">
        <v>1691</v>
      </c>
      <c r="D296" s="12">
        <v>50</v>
      </c>
      <c r="E296" s="12" t="s">
        <v>5</v>
      </c>
      <c r="F296" s="12">
        <v>10</v>
      </c>
      <c r="G296" s="12">
        <f>F296</f>
        <v>10</v>
      </c>
      <c r="H296" s="249">
        <v>44384</v>
      </c>
      <c r="I296" s="12" t="s">
        <v>2594</v>
      </c>
      <c r="J296" s="12" t="s">
        <v>7434</v>
      </c>
      <c r="K296" s="12" t="s">
        <v>2045</v>
      </c>
      <c r="L296" s="12" t="s">
        <v>3331</v>
      </c>
      <c r="M296" s="249">
        <v>43101</v>
      </c>
      <c r="O296" s="12" t="s">
        <v>7436</v>
      </c>
      <c r="P296" s="12" t="s">
        <v>1</v>
      </c>
      <c r="Q296" s="12" t="s">
        <v>1</v>
      </c>
      <c r="R296" s="12" t="s">
        <v>1</v>
      </c>
      <c r="S296" s="12" t="s">
        <v>1</v>
      </c>
      <c r="T296" s="12" t="s">
        <v>1</v>
      </c>
      <c r="U296" s="12" t="s">
        <v>1</v>
      </c>
      <c r="V296" s="12" t="s">
        <v>1</v>
      </c>
      <c r="W296" s="12" t="s">
        <v>1</v>
      </c>
      <c r="X296" s="12" t="s">
        <v>1</v>
      </c>
      <c r="Y296" s="12" t="s">
        <v>1</v>
      </c>
      <c r="Z296" s="12" t="s">
        <v>1</v>
      </c>
      <c r="AA296" s="12" t="s">
        <v>1</v>
      </c>
      <c r="AB296" s="12" t="s">
        <v>6600</v>
      </c>
      <c r="AC296" s="12" t="s">
        <v>6602</v>
      </c>
      <c r="AD296" s="12" t="s">
        <v>2900</v>
      </c>
      <c r="AE296" s="12" t="s">
        <v>7433</v>
      </c>
      <c r="AF296" s="344" t="s">
        <v>7145</v>
      </c>
      <c r="AG296" s="344" t="s">
        <v>7145</v>
      </c>
      <c r="AJ296" s="368"/>
    </row>
    <row r="297" spans="2:36" s="176" customFormat="1">
      <c r="B297" s="176" t="s">
        <v>565</v>
      </c>
      <c r="C297" s="184" t="s">
        <v>1691</v>
      </c>
      <c r="D297" s="178">
        <v>50</v>
      </c>
      <c r="E297" s="176" t="s">
        <v>4</v>
      </c>
      <c r="F297" s="178">
        <v>9</v>
      </c>
      <c r="G297" s="178"/>
      <c r="H297" s="185">
        <v>44859</v>
      </c>
      <c r="I297" s="176" t="s">
        <v>2767</v>
      </c>
      <c r="J297" s="176" t="s">
        <v>2766</v>
      </c>
      <c r="K297" s="176" t="s">
        <v>2045</v>
      </c>
      <c r="L297" s="176" t="s">
        <v>2765</v>
      </c>
      <c r="M297" s="176">
        <v>2021</v>
      </c>
      <c r="N297" s="176" t="s">
        <v>2764</v>
      </c>
      <c r="O297" s="176" t="s">
        <v>2763</v>
      </c>
      <c r="P297" s="179" t="s">
        <v>1</v>
      </c>
      <c r="Q297" s="179" t="s">
        <v>1</v>
      </c>
      <c r="R297" s="179" t="s">
        <v>1</v>
      </c>
      <c r="S297" s="179" t="s">
        <v>1</v>
      </c>
      <c r="T297" s="179" t="s">
        <v>1</v>
      </c>
      <c r="U297" s="179" t="s">
        <v>1</v>
      </c>
      <c r="V297" s="179" t="s">
        <v>1</v>
      </c>
      <c r="W297" s="179" t="s">
        <v>1</v>
      </c>
      <c r="X297" s="179" t="s">
        <v>1</v>
      </c>
      <c r="Y297" s="179" t="s">
        <v>1</v>
      </c>
      <c r="Z297" s="179" t="s">
        <v>1</v>
      </c>
      <c r="AA297" s="179" t="s">
        <v>1</v>
      </c>
      <c r="AB297" s="176" t="s">
        <v>2078</v>
      </c>
      <c r="AF297" s="344" t="s">
        <v>7145</v>
      </c>
      <c r="AG297" s="344" t="s">
        <v>7145</v>
      </c>
      <c r="AH297" s="58"/>
      <c r="AJ297" s="368"/>
    </row>
    <row r="298" spans="2:36">
      <c r="B298" s="72" t="s">
        <v>2010</v>
      </c>
      <c r="C298" s="237" t="s">
        <v>1691</v>
      </c>
      <c r="D298" s="72">
        <v>50</v>
      </c>
      <c r="E298" s="238" t="s">
        <v>5</v>
      </c>
      <c r="F298" s="72">
        <v>9</v>
      </c>
      <c r="G298" s="87">
        <f>F298+Q298</f>
        <v>11.5</v>
      </c>
      <c r="H298" s="78">
        <v>44540</v>
      </c>
      <c r="I298" s="238" t="s">
        <v>7421</v>
      </c>
      <c r="J298" s="238" t="s">
        <v>7423</v>
      </c>
      <c r="K298" s="238" t="s">
        <v>2045</v>
      </c>
      <c r="L298" s="238" t="s">
        <v>7421</v>
      </c>
      <c r="M298" s="72">
        <v>2016</v>
      </c>
      <c r="N298" s="238" t="s">
        <v>7425</v>
      </c>
      <c r="O298" s="238" t="s">
        <v>7424</v>
      </c>
      <c r="P298" s="238" t="s">
        <v>4</v>
      </c>
      <c r="Q298" s="72">
        <v>2.5</v>
      </c>
      <c r="R298" s="238" t="s">
        <v>7430</v>
      </c>
      <c r="S298" s="238" t="s">
        <v>1</v>
      </c>
      <c r="T298" s="238" t="s">
        <v>1</v>
      </c>
      <c r="U298" s="238" t="s">
        <v>1</v>
      </c>
      <c r="V298" s="238" t="s">
        <v>1</v>
      </c>
      <c r="W298" s="238" t="s">
        <v>1</v>
      </c>
      <c r="X298" s="238" t="s">
        <v>1</v>
      </c>
      <c r="Y298" s="238" t="s">
        <v>1</v>
      </c>
      <c r="Z298" s="238" t="s">
        <v>1</v>
      </c>
      <c r="AA298" s="238" t="s">
        <v>1</v>
      </c>
      <c r="AB298" s="238" t="s">
        <v>6600</v>
      </c>
      <c r="AC298" s="238" t="s">
        <v>6603</v>
      </c>
      <c r="AD298" s="238" t="s">
        <v>2654</v>
      </c>
      <c r="AE298" s="238" t="s">
        <v>7422</v>
      </c>
      <c r="AF298" s="344" t="s">
        <v>7145</v>
      </c>
      <c r="AG298" s="344" t="s">
        <v>7145</v>
      </c>
      <c r="AH298" s="72"/>
      <c r="AJ298" s="368"/>
    </row>
    <row r="299" spans="2:36" s="176" customFormat="1">
      <c r="B299" s="176" t="s">
        <v>428</v>
      </c>
      <c r="C299" s="184" t="s">
        <v>1691</v>
      </c>
      <c r="D299" s="178">
        <v>50</v>
      </c>
      <c r="E299" s="176" t="s">
        <v>5</v>
      </c>
      <c r="F299" s="178">
        <v>8.5</v>
      </c>
      <c r="G299" s="178"/>
      <c r="H299" s="185">
        <v>44307</v>
      </c>
      <c r="I299" s="176" t="s">
        <v>2762</v>
      </c>
      <c r="J299" s="176" t="s">
        <v>2761</v>
      </c>
      <c r="K299" s="176" t="s">
        <v>2045</v>
      </c>
      <c r="L299" s="176" t="s">
        <v>2760</v>
      </c>
      <c r="M299" s="176">
        <v>2016</v>
      </c>
      <c r="O299" s="176" t="s">
        <v>2759</v>
      </c>
      <c r="P299" s="179" t="s">
        <v>4</v>
      </c>
      <c r="Q299" s="179">
        <v>4.4000000000000004</v>
      </c>
      <c r="R299" s="179" t="s">
        <v>1</v>
      </c>
      <c r="S299" s="179" t="s">
        <v>1</v>
      </c>
      <c r="T299" s="179" t="s">
        <v>1</v>
      </c>
      <c r="U299" s="179" t="s">
        <v>1</v>
      </c>
      <c r="V299" s="179" t="s">
        <v>1</v>
      </c>
      <c r="W299" s="179" t="s">
        <v>1</v>
      </c>
      <c r="X299" s="179" t="s">
        <v>1</v>
      </c>
      <c r="Y299" s="179" t="s">
        <v>1</v>
      </c>
      <c r="Z299" s="179" t="s">
        <v>1</v>
      </c>
      <c r="AA299" s="179" t="s">
        <v>1</v>
      </c>
      <c r="AB299" s="176" t="s">
        <v>2051</v>
      </c>
      <c r="AF299" s="344" t="s">
        <v>7145</v>
      </c>
      <c r="AG299" s="344" t="s">
        <v>7145</v>
      </c>
      <c r="AH299" s="58"/>
      <c r="AJ299" s="368"/>
    </row>
    <row r="300" spans="2:36" s="176" customFormat="1">
      <c r="B300" s="176" t="s">
        <v>580</v>
      </c>
      <c r="C300" s="184" t="s">
        <v>1691</v>
      </c>
      <c r="D300" s="178">
        <v>50</v>
      </c>
      <c r="E300" s="176" t="s">
        <v>4</v>
      </c>
      <c r="F300" s="178">
        <v>8</v>
      </c>
      <c r="G300" s="178"/>
      <c r="H300" s="185">
        <v>44711</v>
      </c>
      <c r="I300" s="176" t="s">
        <v>2758</v>
      </c>
      <c r="J300" s="176" t="s">
        <v>2757</v>
      </c>
      <c r="K300" s="176" t="s">
        <v>2045</v>
      </c>
      <c r="L300" s="176" t="s">
        <v>2237</v>
      </c>
      <c r="M300" s="176">
        <v>2021</v>
      </c>
      <c r="N300" s="176" t="s">
        <v>2756</v>
      </c>
      <c r="O300" s="176" t="s">
        <v>2755</v>
      </c>
      <c r="P300" s="179" t="s">
        <v>1</v>
      </c>
      <c r="Q300" s="179" t="s">
        <v>1</v>
      </c>
      <c r="R300" s="179" t="s">
        <v>1</v>
      </c>
      <c r="S300" s="179" t="s">
        <v>1</v>
      </c>
      <c r="T300" s="179" t="s">
        <v>1</v>
      </c>
      <c r="U300" s="179" t="s">
        <v>1</v>
      </c>
      <c r="V300" s="179" t="s">
        <v>1</v>
      </c>
      <c r="W300" s="179" t="s">
        <v>1</v>
      </c>
      <c r="X300" s="179" t="s">
        <v>1</v>
      </c>
      <c r="Y300" s="179" t="s">
        <v>1</v>
      </c>
      <c r="Z300" s="179" t="s">
        <v>1</v>
      </c>
      <c r="AA300" s="179" t="s">
        <v>1</v>
      </c>
      <c r="AB300" s="176" t="s">
        <v>2078</v>
      </c>
      <c r="AF300" s="344" t="s">
        <v>7145</v>
      </c>
      <c r="AG300" s="344" t="s">
        <v>7145</v>
      </c>
      <c r="AH300" s="58"/>
      <c r="AJ300" s="368"/>
    </row>
    <row r="301" spans="2:36" s="176" customFormat="1">
      <c r="B301" s="176" t="s">
        <v>2754</v>
      </c>
      <c r="C301" s="184" t="s">
        <v>1691</v>
      </c>
      <c r="D301" s="178">
        <v>50</v>
      </c>
      <c r="E301" s="176" t="s">
        <v>5</v>
      </c>
      <c r="F301" s="178">
        <v>8</v>
      </c>
      <c r="G301" s="178"/>
      <c r="H301" s="185">
        <v>45020</v>
      </c>
      <c r="I301" s="176" t="s">
        <v>2753</v>
      </c>
      <c r="K301" s="176" t="s">
        <v>2045</v>
      </c>
      <c r="L301" s="176" t="s">
        <v>2302</v>
      </c>
      <c r="M301" s="176">
        <v>2019</v>
      </c>
      <c r="O301" s="176" t="s">
        <v>2752</v>
      </c>
      <c r="P301" s="179" t="s">
        <v>1</v>
      </c>
      <c r="Q301" s="179" t="s">
        <v>1</v>
      </c>
      <c r="R301" s="179" t="s">
        <v>1</v>
      </c>
      <c r="S301" s="179" t="s">
        <v>1</v>
      </c>
      <c r="T301" s="179" t="s">
        <v>1</v>
      </c>
      <c r="U301" s="179" t="s">
        <v>1</v>
      </c>
      <c r="V301" s="179" t="s">
        <v>1</v>
      </c>
      <c r="W301" s="179" t="s">
        <v>1</v>
      </c>
      <c r="X301" s="179" t="s">
        <v>1</v>
      </c>
      <c r="Y301" s="179" t="s">
        <v>1</v>
      </c>
      <c r="Z301" s="179" t="s">
        <v>1</v>
      </c>
      <c r="AA301" s="179" t="s">
        <v>1</v>
      </c>
      <c r="AB301" s="176" t="s">
        <v>2751</v>
      </c>
      <c r="AF301" s="344" t="s">
        <v>7145</v>
      </c>
      <c r="AG301" s="344" t="s">
        <v>7145</v>
      </c>
      <c r="AH301" s="58"/>
      <c r="AJ301" s="368"/>
    </row>
    <row r="302" spans="2:36" s="274" customFormat="1">
      <c r="B302" s="396" t="s">
        <v>9679</v>
      </c>
      <c r="C302" s="397" t="s">
        <v>1691</v>
      </c>
      <c r="D302" s="325">
        <v>50</v>
      </c>
      <c r="E302" s="396" t="s">
        <v>7</v>
      </c>
      <c r="F302" s="325">
        <v>6.5</v>
      </c>
      <c r="G302" s="325">
        <f>+F302+Q302+T302</f>
        <v>14</v>
      </c>
      <c r="H302" s="399">
        <v>45106</v>
      </c>
      <c r="I302" s="396" t="s">
        <v>9685</v>
      </c>
      <c r="J302" s="396" t="s">
        <v>9680</v>
      </c>
      <c r="K302" s="396" t="s">
        <v>2045</v>
      </c>
      <c r="L302" s="396" t="s">
        <v>2056</v>
      </c>
      <c r="M302" s="274">
        <v>2016</v>
      </c>
      <c r="O302" s="396" t="s">
        <v>9682</v>
      </c>
      <c r="P302" s="396" t="s">
        <v>5</v>
      </c>
      <c r="Q302" s="274">
        <v>6</v>
      </c>
      <c r="R302" s="396" t="s">
        <v>9684</v>
      </c>
      <c r="S302" s="396" t="s">
        <v>4</v>
      </c>
      <c r="T302" s="274">
        <v>1.5</v>
      </c>
      <c r="U302" s="396" t="s">
        <v>9686</v>
      </c>
      <c r="V302" s="396" t="s">
        <v>1</v>
      </c>
      <c r="W302" s="396" t="s">
        <v>1</v>
      </c>
      <c r="X302" s="396" t="s">
        <v>1</v>
      </c>
      <c r="Y302" s="396" t="s">
        <v>1</v>
      </c>
      <c r="Z302" s="396" t="s">
        <v>1</v>
      </c>
      <c r="AA302" s="396" t="s">
        <v>1</v>
      </c>
      <c r="AB302" s="396" t="s">
        <v>2595</v>
      </c>
      <c r="AC302" s="396" t="s">
        <v>2595</v>
      </c>
      <c r="AD302" s="396" t="s">
        <v>6643</v>
      </c>
      <c r="AE302" s="274" t="s">
        <v>9681</v>
      </c>
    </row>
    <row r="303" spans="2:36">
      <c r="B303" s="72" t="s">
        <v>2004</v>
      </c>
      <c r="C303" s="237" t="s">
        <v>1691</v>
      </c>
      <c r="D303" s="72">
        <v>50</v>
      </c>
      <c r="E303" s="238" t="s">
        <v>4</v>
      </c>
      <c r="F303" s="72">
        <v>7</v>
      </c>
      <c r="G303" s="72">
        <f>F303+Q303</f>
        <v>9</v>
      </c>
      <c r="H303" s="78">
        <v>44763</v>
      </c>
      <c r="I303" s="238" t="s">
        <v>7619</v>
      </c>
      <c r="J303" s="238" t="s">
        <v>7617</v>
      </c>
      <c r="K303" s="238" t="s">
        <v>2308</v>
      </c>
      <c r="L303" s="238" t="s">
        <v>7618</v>
      </c>
      <c r="M303" s="78">
        <v>43879</v>
      </c>
      <c r="N303" s="238" t="s">
        <v>7623</v>
      </c>
      <c r="O303" s="238" t="s">
        <v>7620</v>
      </c>
      <c r="P303" s="238" t="s">
        <v>278</v>
      </c>
      <c r="Q303" s="156">
        <v>2</v>
      </c>
      <c r="R303" s="238" t="s">
        <v>7624</v>
      </c>
      <c r="S303" s="238" t="s">
        <v>1</v>
      </c>
      <c r="T303" s="238" t="s">
        <v>1</v>
      </c>
      <c r="U303" s="238" t="s">
        <v>1</v>
      </c>
      <c r="V303" s="238" t="s">
        <v>1</v>
      </c>
      <c r="W303" s="238" t="s">
        <v>1</v>
      </c>
      <c r="X303" s="238" t="s">
        <v>1</v>
      </c>
      <c r="Y303" s="238" t="s">
        <v>1</v>
      </c>
      <c r="Z303" s="238" t="s">
        <v>1</v>
      </c>
      <c r="AA303" s="238" t="s">
        <v>1</v>
      </c>
      <c r="AB303" s="165" t="s">
        <v>6600</v>
      </c>
      <c r="AC303" s="238" t="s">
        <v>6608</v>
      </c>
      <c r="AD303" s="238" t="s">
        <v>7615</v>
      </c>
      <c r="AE303" s="25" t="s">
        <v>7616</v>
      </c>
      <c r="AF303" s="344" t="s">
        <v>7145</v>
      </c>
      <c r="AG303" s="344" t="s">
        <v>7145</v>
      </c>
      <c r="AH303" s="72"/>
      <c r="AJ303" s="368"/>
    </row>
    <row r="304" spans="2:36">
      <c r="B304" s="72" t="s">
        <v>2006</v>
      </c>
      <c r="C304" s="237" t="s">
        <v>1691</v>
      </c>
      <c r="D304" s="72">
        <v>50</v>
      </c>
      <c r="E304" s="238" t="s">
        <v>4</v>
      </c>
      <c r="F304" s="252">
        <v>6.6</v>
      </c>
      <c r="G304" s="252">
        <f>F304+T304+W304</f>
        <v>9.3000000000000007</v>
      </c>
      <c r="H304" s="78">
        <v>44562</v>
      </c>
      <c r="I304" s="238" t="s">
        <v>7579</v>
      </c>
      <c r="J304" s="238" t="s">
        <v>7577</v>
      </c>
      <c r="K304" s="238" t="s">
        <v>2045</v>
      </c>
      <c r="L304" s="238" t="s">
        <v>7578</v>
      </c>
      <c r="M304" s="72">
        <v>2019</v>
      </c>
      <c r="N304" s="238" t="s">
        <v>7580</v>
      </c>
      <c r="O304" s="238" t="s">
        <v>7581</v>
      </c>
      <c r="P304" s="238" t="s">
        <v>4</v>
      </c>
      <c r="Q304" s="238" t="s">
        <v>1</v>
      </c>
      <c r="R304" s="238" t="s">
        <v>7582</v>
      </c>
      <c r="S304" s="238" t="s">
        <v>4</v>
      </c>
      <c r="T304" s="72">
        <v>2.2000000000000002</v>
      </c>
      <c r="U304" s="238" t="s">
        <v>7583</v>
      </c>
      <c r="V304" s="238" t="s">
        <v>7415</v>
      </c>
      <c r="W304" s="72">
        <v>0.5</v>
      </c>
      <c r="X304" s="238" t="s">
        <v>2696</v>
      </c>
      <c r="Y304" s="238" t="s">
        <v>1</v>
      </c>
      <c r="Z304" s="238" t="s">
        <v>1</v>
      </c>
      <c r="AA304" s="238" t="s">
        <v>1</v>
      </c>
      <c r="AB304" s="165" t="s">
        <v>6600</v>
      </c>
      <c r="AC304" s="165" t="s">
        <v>6603</v>
      </c>
      <c r="AD304" s="165" t="s">
        <v>2362</v>
      </c>
      <c r="AE304" s="25" t="s">
        <v>7576</v>
      </c>
      <c r="AF304" s="344" t="s">
        <v>7145</v>
      </c>
      <c r="AG304" s="344" t="s">
        <v>7145</v>
      </c>
      <c r="AH304" s="72"/>
      <c r="AJ304" s="368"/>
    </row>
    <row r="305" spans="1:36" s="176" customFormat="1">
      <c r="B305" s="176" t="s">
        <v>593</v>
      </c>
      <c r="C305" s="184" t="s">
        <v>1691</v>
      </c>
      <c r="D305" s="178">
        <v>50</v>
      </c>
      <c r="E305" s="176" t="s">
        <v>4</v>
      </c>
      <c r="F305" s="178">
        <v>6.8</v>
      </c>
      <c r="G305" s="178"/>
      <c r="H305" s="185">
        <v>44964</v>
      </c>
      <c r="I305" s="176" t="s">
        <v>2750</v>
      </c>
      <c r="J305" s="176" t="s">
        <v>2749</v>
      </c>
      <c r="K305" s="176" t="s">
        <v>2045</v>
      </c>
      <c r="L305" s="176" t="s">
        <v>2748</v>
      </c>
      <c r="M305" s="176">
        <v>2021</v>
      </c>
      <c r="O305" s="176" t="s">
        <v>2747</v>
      </c>
      <c r="P305" s="179" t="s">
        <v>4</v>
      </c>
      <c r="Q305" s="179">
        <v>1.6</v>
      </c>
      <c r="R305" s="179" t="s">
        <v>2746</v>
      </c>
      <c r="S305" s="179" t="s">
        <v>1</v>
      </c>
      <c r="T305" s="179" t="s">
        <v>1</v>
      </c>
      <c r="U305" s="179" t="s">
        <v>1</v>
      </c>
      <c r="V305" s="179" t="s">
        <v>1</v>
      </c>
      <c r="W305" s="179" t="s">
        <v>1</v>
      </c>
      <c r="X305" s="179" t="s">
        <v>1</v>
      </c>
      <c r="Y305" s="179" t="s">
        <v>1</v>
      </c>
      <c r="Z305" s="179" t="s">
        <v>1</v>
      </c>
      <c r="AA305" s="179" t="s">
        <v>1</v>
      </c>
      <c r="AB305" s="176" t="s">
        <v>2745</v>
      </c>
      <c r="AF305" s="344" t="s">
        <v>7145</v>
      </c>
      <c r="AG305" s="344" t="s">
        <v>7145</v>
      </c>
      <c r="AH305" s="58"/>
      <c r="AJ305" s="368"/>
    </row>
    <row r="306" spans="1:36" s="176" customFormat="1">
      <c r="B306" s="176" t="s">
        <v>439</v>
      </c>
      <c r="C306" s="184" t="s">
        <v>1691</v>
      </c>
      <c r="D306" s="178">
        <v>50</v>
      </c>
      <c r="E306" s="176" t="s">
        <v>4</v>
      </c>
      <c r="F306" s="178">
        <v>7</v>
      </c>
      <c r="G306" s="178"/>
      <c r="H306" s="185">
        <v>44602</v>
      </c>
      <c r="I306" s="176" t="s">
        <v>2744</v>
      </c>
      <c r="J306" s="176" t="s">
        <v>2743</v>
      </c>
      <c r="K306" s="176" t="s">
        <v>2045</v>
      </c>
      <c r="L306" s="176" t="s">
        <v>2319</v>
      </c>
      <c r="M306" s="176">
        <v>2019</v>
      </c>
      <c r="O306" s="176" t="s">
        <v>2742</v>
      </c>
      <c r="P306" s="179" t="s">
        <v>278</v>
      </c>
      <c r="Q306" s="179">
        <v>1.1000000000000001</v>
      </c>
      <c r="R306" s="179" t="s">
        <v>440</v>
      </c>
      <c r="S306" s="179" t="s">
        <v>1</v>
      </c>
      <c r="T306" s="179" t="s">
        <v>1</v>
      </c>
      <c r="U306" s="179" t="s">
        <v>1</v>
      </c>
      <c r="V306" s="179" t="s">
        <v>1</v>
      </c>
      <c r="W306" s="179" t="s">
        <v>1</v>
      </c>
      <c r="X306" s="179" t="s">
        <v>1</v>
      </c>
      <c r="Y306" s="179" t="s">
        <v>1</v>
      </c>
      <c r="Z306" s="179" t="s">
        <v>1</v>
      </c>
      <c r="AA306" s="179" t="s">
        <v>1</v>
      </c>
      <c r="AB306" s="176" t="s">
        <v>2152</v>
      </c>
      <c r="AF306" s="344" t="s">
        <v>7145</v>
      </c>
      <c r="AG306" s="344" t="s">
        <v>7145</v>
      </c>
      <c r="AH306" s="58"/>
      <c r="AJ306" s="368"/>
    </row>
    <row r="307" spans="1:36" s="176" customFormat="1">
      <c r="B307" s="176" t="s">
        <v>829</v>
      </c>
      <c r="C307" s="184" t="s">
        <v>1691</v>
      </c>
      <c r="D307" s="178">
        <v>50</v>
      </c>
      <c r="E307" s="176" t="s">
        <v>4</v>
      </c>
      <c r="F307" s="178">
        <v>4.5</v>
      </c>
      <c r="G307" s="178"/>
      <c r="H307" s="185">
        <v>45056</v>
      </c>
      <c r="I307" s="176" t="s">
        <v>2741</v>
      </c>
      <c r="J307" s="176" t="s">
        <v>2740</v>
      </c>
      <c r="K307" s="176" t="s">
        <v>2045</v>
      </c>
      <c r="L307" s="176" t="s">
        <v>2739</v>
      </c>
      <c r="M307" s="176">
        <v>2022</v>
      </c>
      <c r="O307" s="176" t="s">
        <v>2738</v>
      </c>
      <c r="P307" s="179" t="s">
        <v>1</v>
      </c>
      <c r="Q307" s="179" t="s">
        <v>1</v>
      </c>
      <c r="R307" s="179" t="s">
        <v>1</v>
      </c>
      <c r="S307" s="179" t="s">
        <v>1</v>
      </c>
      <c r="T307" s="179" t="s">
        <v>1</v>
      </c>
      <c r="U307" s="179" t="s">
        <v>1</v>
      </c>
      <c r="V307" s="179" t="s">
        <v>1</v>
      </c>
      <c r="W307" s="179" t="s">
        <v>1</v>
      </c>
      <c r="X307" s="179" t="s">
        <v>1</v>
      </c>
      <c r="Y307" s="179" t="s">
        <v>1</v>
      </c>
      <c r="Z307" s="179" t="s">
        <v>1</v>
      </c>
      <c r="AA307" s="179" t="s">
        <v>1</v>
      </c>
      <c r="AB307" s="176" t="s">
        <v>2043</v>
      </c>
      <c r="AF307" s="344" t="s">
        <v>7145</v>
      </c>
      <c r="AG307" s="344" t="s">
        <v>7145</v>
      </c>
      <c r="AH307" s="58"/>
      <c r="AJ307" s="368"/>
    </row>
    <row r="308" spans="1:36" s="176" customFormat="1">
      <c r="B308" s="176" t="s">
        <v>709</v>
      </c>
      <c r="C308" s="184" t="s">
        <v>1691</v>
      </c>
      <c r="D308" s="178">
        <v>50</v>
      </c>
      <c r="E308" s="176" t="s">
        <v>4</v>
      </c>
      <c r="F308" s="178">
        <v>5.5</v>
      </c>
      <c r="G308" s="178"/>
      <c r="H308" s="185">
        <v>45092</v>
      </c>
      <c r="I308" s="176" t="s">
        <v>2737</v>
      </c>
      <c r="K308" s="176" t="s">
        <v>2045</v>
      </c>
      <c r="L308" s="176" t="s">
        <v>2056</v>
      </c>
      <c r="M308" s="191">
        <v>44176</v>
      </c>
      <c r="O308" s="176" t="s">
        <v>2736</v>
      </c>
      <c r="P308" s="179" t="s">
        <v>278</v>
      </c>
      <c r="Q308" s="179">
        <v>0.125</v>
      </c>
      <c r="R308" s="179" t="s">
        <v>2696</v>
      </c>
      <c r="S308" s="179" t="s">
        <v>1</v>
      </c>
      <c r="T308" s="179" t="s">
        <v>1</v>
      </c>
      <c r="U308" s="179" t="s">
        <v>1</v>
      </c>
      <c r="V308" s="179" t="s">
        <v>1</v>
      </c>
      <c r="W308" s="179" t="s">
        <v>1</v>
      </c>
      <c r="X308" s="179" t="s">
        <v>1</v>
      </c>
      <c r="Y308" s="179" t="s">
        <v>1</v>
      </c>
      <c r="Z308" s="179" t="s">
        <v>1</v>
      </c>
      <c r="AA308" s="179" t="s">
        <v>1</v>
      </c>
      <c r="AB308" s="176" t="s">
        <v>2362</v>
      </c>
      <c r="AF308" s="344" t="s">
        <v>7145</v>
      </c>
      <c r="AG308" s="344" t="s">
        <v>7145</v>
      </c>
      <c r="AH308" s="58"/>
      <c r="AJ308" s="368"/>
    </row>
    <row r="309" spans="1:36" s="176" customFormat="1">
      <c r="B309" s="176" t="s">
        <v>562</v>
      </c>
      <c r="C309" s="184" t="s">
        <v>1691</v>
      </c>
      <c r="D309" s="178">
        <v>50</v>
      </c>
      <c r="E309" s="176" t="s">
        <v>4</v>
      </c>
      <c r="F309" s="178">
        <v>5.6</v>
      </c>
      <c r="G309" s="178"/>
      <c r="H309" s="185">
        <v>45048</v>
      </c>
      <c r="I309" s="176" t="s">
        <v>2735</v>
      </c>
      <c r="J309" s="176" t="s">
        <v>2734</v>
      </c>
      <c r="K309" s="176" t="s">
        <v>2045</v>
      </c>
      <c r="L309" s="176" t="s">
        <v>2733</v>
      </c>
      <c r="M309" s="176">
        <v>2022</v>
      </c>
      <c r="N309" s="176" t="s">
        <v>2732</v>
      </c>
      <c r="O309" s="176" t="s">
        <v>2731</v>
      </c>
      <c r="P309" s="179" t="s">
        <v>1</v>
      </c>
      <c r="Q309" s="179" t="s">
        <v>1</v>
      </c>
      <c r="R309" s="179" t="s">
        <v>1</v>
      </c>
      <c r="S309" s="179" t="s">
        <v>1</v>
      </c>
      <c r="T309" s="179" t="s">
        <v>1</v>
      </c>
      <c r="U309" s="179" t="s">
        <v>1</v>
      </c>
      <c r="V309" s="179" t="s">
        <v>1</v>
      </c>
      <c r="W309" s="179" t="s">
        <v>1</v>
      </c>
      <c r="X309" s="179" t="s">
        <v>1</v>
      </c>
      <c r="Y309" s="179" t="s">
        <v>1</v>
      </c>
      <c r="Z309" s="179" t="s">
        <v>1</v>
      </c>
      <c r="AA309" s="179" t="s">
        <v>1</v>
      </c>
      <c r="AB309" s="176" t="s">
        <v>2048</v>
      </c>
      <c r="AF309" s="344" t="s">
        <v>7145</v>
      </c>
      <c r="AG309" s="344" t="s">
        <v>7145</v>
      </c>
      <c r="AH309" s="58"/>
      <c r="AJ309" s="368"/>
    </row>
    <row r="310" spans="1:36" s="176" customFormat="1">
      <c r="B310" s="176" t="s">
        <v>591</v>
      </c>
      <c r="C310" s="184" t="s">
        <v>1691</v>
      </c>
      <c r="D310" s="178">
        <v>50</v>
      </c>
      <c r="E310" s="176" t="s">
        <v>4</v>
      </c>
      <c r="F310" s="178">
        <v>6</v>
      </c>
      <c r="G310" s="178"/>
      <c r="H310" s="185">
        <v>44852</v>
      </c>
      <c r="I310" s="176" t="s">
        <v>2730</v>
      </c>
      <c r="J310" s="176" t="s">
        <v>2729</v>
      </c>
      <c r="K310" s="176" t="s">
        <v>2045</v>
      </c>
      <c r="L310" s="176" t="s">
        <v>2728</v>
      </c>
      <c r="M310" s="176">
        <v>2022</v>
      </c>
      <c r="O310" s="176" t="s">
        <v>2727</v>
      </c>
      <c r="P310" s="179" t="s">
        <v>1</v>
      </c>
      <c r="Q310" s="179" t="s">
        <v>1</v>
      </c>
      <c r="R310" s="179" t="s">
        <v>1</v>
      </c>
      <c r="S310" s="179" t="s">
        <v>1</v>
      </c>
      <c r="T310" s="179" t="s">
        <v>1</v>
      </c>
      <c r="U310" s="179" t="s">
        <v>1</v>
      </c>
      <c r="V310" s="179" t="s">
        <v>1</v>
      </c>
      <c r="W310" s="179" t="s">
        <v>1</v>
      </c>
      <c r="X310" s="179" t="s">
        <v>1</v>
      </c>
      <c r="Y310" s="179" t="s">
        <v>1</v>
      </c>
      <c r="Z310" s="179" t="s">
        <v>1</v>
      </c>
      <c r="AA310" s="179" t="s">
        <v>1</v>
      </c>
      <c r="AB310" s="176" t="s">
        <v>2152</v>
      </c>
      <c r="AF310" s="344" t="s">
        <v>7145</v>
      </c>
      <c r="AG310" s="344" t="s">
        <v>7145</v>
      </c>
      <c r="AH310" s="58"/>
      <c r="AJ310" s="368"/>
    </row>
    <row r="311" spans="1:36" s="176" customFormat="1">
      <c r="B311" s="176" t="s">
        <v>469</v>
      </c>
      <c r="C311" s="184" t="s">
        <v>1691</v>
      </c>
      <c r="D311" s="178">
        <v>50</v>
      </c>
      <c r="E311" s="176" t="s">
        <v>4</v>
      </c>
      <c r="F311" s="178">
        <v>6</v>
      </c>
      <c r="G311" s="178"/>
      <c r="H311" s="185">
        <v>45104</v>
      </c>
      <c r="I311" s="176" t="s">
        <v>2726</v>
      </c>
      <c r="K311" s="176" t="s">
        <v>2045</v>
      </c>
      <c r="L311" s="176" t="s">
        <v>2725</v>
      </c>
      <c r="M311" s="176">
        <v>2023</v>
      </c>
      <c r="N311" s="176" t="s">
        <v>1900</v>
      </c>
      <c r="O311" s="176" t="s">
        <v>2724</v>
      </c>
      <c r="P311" s="179" t="s">
        <v>1</v>
      </c>
      <c r="Q311" s="179" t="s">
        <v>1</v>
      </c>
      <c r="R311" s="179" t="s">
        <v>1</v>
      </c>
      <c r="S311" s="179" t="s">
        <v>1</v>
      </c>
      <c r="T311" s="179" t="s">
        <v>1</v>
      </c>
      <c r="U311" s="179" t="s">
        <v>1</v>
      </c>
      <c r="V311" s="179" t="s">
        <v>1</v>
      </c>
      <c r="W311" s="179" t="s">
        <v>1</v>
      </c>
      <c r="X311" s="179" t="s">
        <v>1</v>
      </c>
      <c r="Y311" s="179" t="s">
        <v>1</v>
      </c>
      <c r="Z311" s="179" t="s">
        <v>1</v>
      </c>
      <c r="AA311" s="179" t="s">
        <v>1</v>
      </c>
      <c r="AB311" s="176" t="s">
        <v>2145</v>
      </c>
      <c r="AF311" s="344" t="s">
        <v>7145</v>
      </c>
      <c r="AG311" s="344" t="s">
        <v>7145</v>
      </c>
      <c r="AH311" s="58"/>
      <c r="AJ311" s="368"/>
    </row>
    <row r="312" spans="1:36" s="176" customFormat="1">
      <c r="B312" s="176" t="s">
        <v>596</v>
      </c>
      <c r="C312" s="184" t="s">
        <v>1691</v>
      </c>
      <c r="D312" s="178">
        <v>50</v>
      </c>
      <c r="E312" s="176" t="s">
        <v>4</v>
      </c>
      <c r="F312" s="178">
        <v>6</v>
      </c>
      <c r="G312" s="178"/>
      <c r="H312" s="185">
        <v>44781</v>
      </c>
      <c r="I312" s="176" t="s">
        <v>2723</v>
      </c>
      <c r="J312" s="176" t="s">
        <v>2722</v>
      </c>
      <c r="K312" s="176" t="s">
        <v>2045</v>
      </c>
      <c r="L312" s="176" t="s">
        <v>2721</v>
      </c>
      <c r="M312" s="176">
        <v>2021</v>
      </c>
      <c r="O312" s="176" t="s">
        <v>2720</v>
      </c>
      <c r="P312" s="179" t="s">
        <v>278</v>
      </c>
      <c r="Q312" s="179">
        <v>1</v>
      </c>
      <c r="R312" s="179" t="s">
        <v>2719</v>
      </c>
      <c r="S312" s="179" t="s">
        <v>1</v>
      </c>
      <c r="T312" s="179" t="s">
        <v>1</v>
      </c>
      <c r="U312" s="179" t="s">
        <v>1</v>
      </c>
      <c r="V312" s="179" t="s">
        <v>1</v>
      </c>
      <c r="W312" s="179" t="s">
        <v>1</v>
      </c>
      <c r="X312" s="179" t="s">
        <v>1</v>
      </c>
      <c r="Y312" s="179" t="s">
        <v>1</v>
      </c>
      <c r="Z312" s="179" t="s">
        <v>1</v>
      </c>
      <c r="AA312" s="179" t="s">
        <v>1</v>
      </c>
      <c r="AB312" s="176" t="s">
        <v>2122</v>
      </c>
      <c r="AF312" s="344" t="s">
        <v>7145</v>
      </c>
      <c r="AG312" s="344" t="s">
        <v>7145</v>
      </c>
      <c r="AH312" s="58"/>
      <c r="AJ312" s="368"/>
    </row>
    <row r="313" spans="1:36" s="176" customFormat="1">
      <c r="B313" s="176" t="s">
        <v>541</v>
      </c>
      <c r="C313" s="184" t="s">
        <v>1691</v>
      </c>
      <c r="D313" s="178">
        <v>50</v>
      </c>
      <c r="E313" s="176" t="s">
        <v>5</v>
      </c>
      <c r="F313" s="178">
        <v>5</v>
      </c>
      <c r="G313" s="178"/>
      <c r="H313" s="185">
        <v>44514</v>
      </c>
      <c r="I313" s="176" t="s">
        <v>2718</v>
      </c>
      <c r="J313" s="176" t="s">
        <v>2717</v>
      </c>
      <c r="K313" s="176" t="s">
        <v>2045</v>
      </c>
      <c r="L313" s="176" t="s">
        <v>2142</v>
      </c>
      <c r="M313" s="176">
        <v>2018</v>
      </c>
      <c r="O313" s="176" t="s">
        <v>2716</v>
      </c>
      <c r="P313" s="179" t="s">
        <v>4</v>
      </c>
      <c r="Q313" s="179" t="s">
        <v>1</v>
      </c>
      <c r="R313" s="179" t="s">
        <v>2715</v>
      </c>
      <c r="S313" s="179" t="s">
        <v>1</v>
      </c>
      <c r="T313" s="179" t="s">
        <v>1</v>
      </c>
      <c r="U313" s="179" t="s">
        <v>1</v>
      </c>
      <c r="V313" s="179" t="s">
        <v>1</v>
      </c>
      <c r="W313" s="179" t="s">
        <v>1</v>
      </c>
      <c r="X313" s="179" t="s">
        <v>1</v>
      </c>
      <c r="Y313" s="179" t="s">
        <v>1</v>
      </c>
      <c r="Z313" s="179" t="s">
        <v>1</v>
      </c>
      <c r="AA313" s="179" t="s">
        <v>1</v>
      </c>
      <c r="AB313" s="176" t="s">
        <v>2094</v>
      </c>
      <c r="AF313" s="344" t="s">
        <v>7145</v>
      </c>
      <c r="AG313" s="344" t="s">
        <v>7145</v>
      </c>
      <c r="AH313" s="58"/>
      <c r="AJ313" s="368"/>
    </row>
    <row r="314" spans="1:36" s="176" customFormat="1">
      <c r="B314" s="176" t="s">
        <v>2714</v>
      </c>
      <c r="C314" s="184" t="s">
        <v>1691</v>
      </c>
      <c r="D314" s="178">
        <v>50</v>
      </c>
      <c r="E314" s="176" t="s">
        <v>7</v>
      </c>
      <c r="F314" s="178">
        <v>5</v>
      </c>
      <c r="G314" s="178"/>
      <c r="H314" s="177" t="s">
        <v>1</v>
      </c>
      <c r="I314" s="176" t="s">
        <v>2713</v>
      </c>
      <c r="K314" s="176" t="s">
        <v>2045</v>
      </c>
      <c r="L314" s="176" t="s">
        <v>2302</v>
      </c>
      <c r="M314" s="191">
        <v>40483</v>
      </c>
      <c r="O314" s="176" t="s">
        <v>7</v>
      </c>
      <c r="P314" s="179" t="s">
        <v>1</v>
      </c>
      <c r="Q314" s="179" t="s">
        <v>1</v>
      </c>
      <c r="R314" s="179" t="s">
        <v>5</v>
      </c>
      <c r="S314" s="179" t="s">
        <v>1</v>
      </c>
      <c r="T314" s="179" t="s">
        <v>1</v>
      </c>
      <c r="U314" s="179" t="s">
        <v>1</v>
      </c>
      <c r="V314" s="179" t="s">
        <v>1</v>
      </c>
      <c r="W314" s="179" t="s">
        <v>1</v>
      </c>
      <c r="X314" s="179" t="s">
        <v>1</v>
      </c>
      <c r="Y314" s="179" t="s">
        <v>1</v>
      </c>
      <c r="Z314" s="179" t="s">
        <v>1</v>
      </c>
      <c r="AA314" s="179" t="s">
        <v>1</v>
      </c>
      <c r="AB314" s="176" t="s">
        <v>2712</v>
      </c>
      <c r="AF314" s="344" t="s">
        <v>7145</v>
      </c>
      <c r="AG314" s="344" t="s">
        <v>7145</v>
      </c>
      <c r="AH314" s="58"/>
      <c r="AJ314" s="368"/>
    </row>
    <row r="315" spans="1:36" s="176" customFormat="1">
      <c r="B315" s="176" t="s">
        <v>703</v>
      </c>
      <c r="C315" s="184" t="s">
        <v>1691</v>
      </c>
      <c r="D315" s="178">
        <v>50</v>
      </c>
      <c r="E315" s="176" t="s">
        <v>5</v>
      </c>
      <c r="F315" s="178">
        <v>6</v>
      </c>
      <c r="G315" s="178"/>
      <c r="H315" s="185">
        <v>44917</v>
      </c>
      <c r="I315" s="176" t="s">
        <v>2711</v>
      </c>
      <c r="K315" s="176" t="s">
        <v>2045</v>
      </c>
      <c r="L315" s="176" t="s">
        <v>2626</v>
      </c>
      <c r="O315" s="176" t="s">
        <v>2710</v>
      </c>
      <c r="P315" s="179" t="s">
        <v>4</v>
      </c>
      <c r="Q315" s="179">
        <v>5.9</v>
      </c>
      <c r="R315" s="179" t="s">
        <v>2709</v>
      </c>
      <c r="S315" s="179" t="s">
        <v>4</v>
      </c>
      <c r="T315" s="179" t="s">
        <v>1</v>
      </c>
      <c r="U315" s="179" t="s">
        <v>2708</v>
      </c>
      <c r="V315" s="179" t="s">
        <v>4</v>
      </c>
      <c r="W315" s="179">
        <v>3.6</v>
      </c>
      <c r="X315" s="179" t="s">
        <v>2707</v>
      </c>
      <c r="Y315" s="179" t="s">
        <v>1</v>
      </c>
      <c r="Z315" s="179" t="s">
        <v>1</v>
      </c>
      <c r="AA315" s="179" t="s">
        <v>1</v>
      </c>
      <c r="AB315" s="176" t="s">
        <v>2706</v>
      </c>
      <c r="AF315" s="344" t="s">
        <v>7145</v>
      </c>
      <c r="AG315" s="344" t="s">
        <v>7145</v>
      </c>
      <c r="AH315" s="58"/>
      <c r="AJ315" s="368"/>
    </row>
    <row r="316" spans="1:36" s="176" customFormat="1">
      <c r="B316" s="176" t="s">
        <v>332</v>
      </c>
      <c r="C316" s="184" t="s">
        <v>1691</v>
      </c>
      <c r="D316" s="178">
        <v>50</v>
      </c>
      <c r="E316" s="176" t="s">
        <v>2705</v>
      </c>
      <c r="F316" s="178">
        <v>2.5</v>
      </c>
      <c r="G316" s="178"/>
      <c r="H316" s="185">
        <v>44805</v>
      </c>
      <c r="I316" s="176" t="s">
        <v>2704</v>
      </c>
      <c r="J316" s="176" t="s">
        <v>2703</v>
      </c>
      <c r="K316" s="176" t="s">
        <v>2045</v>
      </c>
      <c r="L316" s="176" t="s">
        <v>2393</v>
      </c>
      <c r="M316" s="176">
        <v>2020</v>
      </c>
      <c r="N316" s="176" t="s">
        <v>2702</v>
      </c>
      <c r="O316" s="176" t="s">
        <v>1</v>
      </c>
      <c r="P316" s="179" t="s">
        <v>4</v>
      </c>
      <c r="Q316" s="179">
        <v>5.0999999999999996</v>
      </c>
      <c r="R316" s="179" t="s">
        <v>2701</v>
      </c>
      <c r="S316" s="179" t="s">
        <v>1</v>
      </c>
      <c r="T316" s="179" t="s">
        <v>1</v>
      </c>
      <c r="U316" s="179" t="s">
        <v>1</v>
      </c>
      <c r="V316" s="179" t="s">
        <v>1</v>
      </c>
      <c r="W316" s="179" t="s">
        <v>1</v>
      </c>
      <c r="X316" s="179" t="s">
        <v>1</v>
      </c>
      <c r="Y316" s="179" t="s">
        <v>1</v>
      </c>
      <c r="Z316" s="179" t="s">
        <v>1</v>
      </c>
      <c r="AA316" s="179" t="s">
        <v>1</v>
      </c>
      <c r="AB316" s="176" t="s">
        <v>2459</v>
      </c>
      <c r="AF316" s="344" t="s">
        <v>7145</v>
      </c>
      <c r="AG316" s="344" t="s">
        <v>7145</v>
      </c>
      <c r="AH316" s="58"/>
      <c r="AJ316" s="368"/>
    </row>
    <row r="317" spans="1:36" s="176" customFormat="1">
      <c r="B317" s="176" t="s">
        <v>699</v>
      </c>
      <c r="C317" s="184" t="s">
        <v>1691</v>
      </c>
      <c r="D317" s="178">
        <v>50</v>
      </c>
      <c r="E317" s="176" t="s">
        <v>4</v>
      </c>
      <c r="F317" s="178">
        <v>2.5</v>
      </c>
      <c r="G317" s="178"/>
      <c r="H317" s="185">
        <v>44469</v>
      </c>
      <c r="I317" s="176" t="s">
        <v>2700</v>
      </c>
      <c r="J317" s="176" t="s">
        <v>2699</v>
      </c>
      <c r="K317" s="176" t="s">
        <v>2045</v>
      </c>
      <c r="L317" s="176" t="s">
        <v>2698</v>
      </c>
      <c r="M317" s="190">
        <v>44211</v>
      </c>
      <c r="O317" s="176" t="s">
        <v>2697</v>
      </c>
      <c r="P317" s="179" t="s">
        <v>278</v>
      </c>
      <c r="Q317" s="179" t="s">
        <v>1</v>
      </c>
      <c r="R317" s="179" t="s">
        <v>2696</v>
      </c>
      <c r="S317" s="179" t="s">
        <v>1</v>
      </c>
      <c r="T317" s="179" t="s">
        <v>1</v>
      </c>
      <c r="U317" s="179" t="s">
        <v>1</v>
      </c>
      <c r="V317" s="179" t="s">
        <v>1</v>
      </c>
      <c r="W317" s="179" t="s">
        <v>1</v>
      </c>
      <c r="X317" s="179" t="s">
        <v>1</v>
      </c>
      <c r="Y317" s="179" t="s">
        <v>1</v>
      </c>
      <c r="Z317" s="179" t="s">
        <v>1</v>
      </c>
      <c r="AA317" s="179" t="s">
        <v>1</v>
      </c>
      <c r="AB317" s="176" t="s">
        <v>2362</v>
      </c>
      <c r="AF317" s="344" t="s">
        <v>7145</v>
      </c>
      <c r="AG317" s="344" t="s">
        <v>7145</v>
      </c>
      <c r="AH317" s="58"/>
      <c r="AJ317" s="368"/>
    </row>
    <row r="318" spans="1:36" s="176" customFormat="1">
      <c r="B318" s="176" t="s">
        <v>2695</v>
      </c>
      <c r="C318" s="184" t="s">
        <v>1691</v>
      </c>
      <c r="D318" s="178">
        <v>50</v>
      </c>
      <c r="E318" s="176" t="s">
        <v>4</v>
      </c>
      <c r="F318" s="178">
        <v>1.5</v>
      </c>
      <c r="G318" s="178"/>
      <c r="H318" s="185">
        <v>45061</v>
      </c>
      <c r="I318" s="176" t="s">
        <v>2694</v>
      </c>
      <c r="J318" s="176" t="s">
        <v>2693</v>
      </c>
      <c r="K318" s="176" t="s">
        <v>2308</v>
      </c>
      <c r="L318" s="176" t="s">
        <v>2692</v>
      </c>
      <c r="M318" s="176">
        <v>2023</v>
      </c>
      <c r="O318" s="176" t="s">
        <v>2691</v>
      </c>
      <c r="P318" s="179" t="s">
        <v>1</v>
      </c>
      <c r="Q318" s="179" t="s">
        <v>1</v>
      </c>
      <c r="R318" s="179" t="s">
        <v>1</v>
      </c>
      <c r="S318" s="179" t="s">
        <v>1</v>
      </c>
      <c r="T318" s="179" t="s">
        <v>1</v>
      </c>
      <c r="U318" s="179" t="s">
        <v>1</v>
      </c>
      <c r="V318" s="179" t="s">
        <v>1</v>
      </c>
      <c r="W318" s="179" t="s">
        <v>1</v>
      </c>
      <c r="X318" s="179" t="s">
        <v>1</v>
      </c>
      <c r="Y318" s="179" t="s">
        <v>1</v>
      </c>
      <c r="Z318" s="179" t="s">
        <v>1</v>
      </c>
      <c r="AA318" s="179" t="s">
        <v>1</v>
      </c>
      <c r="AB318" s="176" t="s">
        <v>2690</v>
      </c>
      <c r="AF318" s="344" t="s">
        <v>7145</v>
      </c>
      <c r="AG318" s="344" t="s">
        <v>7145</v>
      </c>
      <c r="AH318" s="58"/>
      <c r="AJ318" s="368"/>
    </row>
    <row r="319" spans="1:36" s="176" customFormat="1">
      <c r="B319" s="176" t="s">
        <v>2689</v>
      </c>
      <c r="C319" s="184" t="s">
        <v>1691</v>
      </c>
      <c r="D319" s="178">
        <v>50</v>
      </c>
      <c r="E319" s="176" t="s">
        <v>4</v>
      </c>
      <c r="F319" s="178">
        <v>0.5</v>
      </c>
      <c r="G319" s="178"/>
      <c r="H319" s="185">
        <v>45021</v>
      </c>
      <c r="I319" s="176" t="s">
        <v>2688</v>
      </c>
      <c r="K319" s="176" t="s">
        <v>2045</v>
      </c>
      <c r="L319" s="176" t="s">
        <v>2687</v>
      </c>
      <c r="M319" s="176">
        <v>2022</v>
      </c>
      <c r="N319" s="176" t="s">
        <v>1706</v>
      </c>
      <c r="O319" s="176" t="s">
        <v>1068</v>
      </c>
      <c r="P319" s="179" t="s">
        <v>4</v>
      </c>
      <c r="Q319" s="179">
        <v>0.56999999999999995</v>
      </c>
      <c r="R319" s="179" t="s">
        <v>775</v>
      </c>
      <c r="S319" s="179" t="s">
        <v>1</v>
      </c>
      <c r="T319" s="179" t="s">
        <v>1</v>
      </c>
      <c r="U319" s="179" t="s">
        <v>1</v>
      </c>
      <c r="V319" s="179" t="s">
        <v>1</v>
      </c>
      <c r="W319" s="179" t="s">
        <v>1</v>
      </c>
      <c r="X319" s="179" t="s">
        <v>1</v>
      </c>
      <c r="Y319" s="179" t="s">
        <v>1</v>
      </c>
      <c r="Z319" s="179" t="s">
        <v>1</v>
      </c>
      <c r="AA319" s="179" t="s">
        <v>1</v>
      </c>
      <c r="AB319" s="176" t="s">
        <v>2686</v>
      </c>
      <c r="AF319" s="344" t="s">
        <v>7145</v>
      </c>
      <c r="AG319" s="344" t="s">
        <v>7145</v>
      </c>
      <c r="AH319" s="58"/>
      <c r="AJ319" s="368"/>
    </row>
    <row r="320" spans="1:36">
      <c r="A320" s="176"/>
      <c r="B320" s="176" t="s">
        <v>2685</v>
      </c>
      <c r="C320" s="184" t="s">
        <v>1691</v>
      </c>
      <c r="D320" s="178">
        <v>50</v>
      </c>
      <c r="E320" s="176" t="s">
        <v>278</v>
      </c>
      <c r="F320" s="178">
        <v>0.5</v>
      </c>
      <c r="G320" s="74">
        <f>F320</f>
        <v>0.5</v>
      </c>
      <c r="H320" s="185">
        <v>45021</v>
      </c>
      <c r="I320" s="176" t="s">
        <v>2684</v>
      </c>
      <c r="J320" s="176" t="s">
        <v>2683</v>
      </c>
      <c r="K320" s="176" t="s">
        <v>2045</v>
      </c>
      <c r="L320" s="176" t="s">
        <v>2524</v>
      </c>
      <c r="M320" s="191">
        <v>42609</v>
      </c>
      <c r="N320" s="176" t="s">
        <v>1909</v>
      </c>
      <c r="O320" s="176" t="s">
        <v>2682</v>
      </c>
      <c r="P320" s="179" t="s">
        <v>1</v>
      </c>
      <c r="Q320" s="179" t="s">
        <v>1</v>
      </c>
      <c r="R320" s="179" t="s">
        <v>1</v>
      </c>
      <c r="S320" s="179" t="s">
        <v>1</v>
      </c>
      <c r="T320" s="179" t="s">
        <v>1</v>
      </c>
      <c r="U320" s="179" t="s">
        <v>1</v>
      </c>
      <c r="V320" s="179" t="s">
        <v>1</v>
      </c>
      <c r="W320" s="179" t="s">
        <v>1</v>
      </c>
      <c r="X320" s="179" t="s">
        <v>1</v>
      </c>
      <c r="Y320" s="179" t="s">
        <v>1</v>
      </c>
      <c r="Z320" s="179" t="s">
        <v>1</v>
      </c>
      <c r="AA320" s="179" t="s">
        <v>1</v>
      </c>
      <c r="AB320" s="176" t="s">
        <v>2362</v>
      </c>
      <c r="AC320" s="176"/>
      <c r="AD320" s="176"/>
      <c r="AE320" s="25" t="s">
        <v>5141</v>
      </c>
      <c r="AF320" s="63">
        <v>2.7959999999999998</v>
      </c>
      <c r="AG320" s="68">
        <v>0.20208333333333331</v>
      </c>
      <c r="AH320" s="63">
        <v>1.998</v>
      </c>
      <c r="AI320" s="68">
        <v>0.14097222222222222</v>
      </c>
      <c r="AJ320" s="368">
        <f t="shared" ref="AJ320:AJ321" si="4">+AH320/AF320-1</f>
        <v>-0.28540772532188841</v>
      </c>
    </row>
    <row r="321" spans="1:36">
      <c r="A321" s="176"/>
      <c r="B321" s="176" t="s">
        <v>2657</v>
      </c>
      <c r="C321" s="184" t="s">
        <v>1691</v>
      </c>
      <c r="D321" s="178">
        <v>30</v>
      </c>
      <c r="E321" s="176" t="s">
        <v>4</v>
      </c>
      <c r="F321" s="178">
        <v>6</v>
      </c>
      <c r="G321" s="74">
        <f>F321</f>
        <v>6</v>
      </c>
      <c r="H321" s="185">
        <v>45070</v>
      </c>
      <c r="I321" s="176" t="s">
        <v>2656</v>
      </c>
      <c r="J321" s="176" t="s">
        <v>2655</v>
      </c>
      <c r="K321" s="176" t="s">
        <v>2308</v>
      </c>
      <c r="L321" s="176" t="s">
        <v>2524</v>
      </c>
      <c r="M321" s="176">
        <v>2021</v>
      </c>
      <c r="N321" s="176"/>
      <c r="O321" s="176" t="s">
        <v>1</v>
      </c>
      <c r="P321" s="176" t="s">
        <v>1</v>
      </c>
      <c r="Q321" s="176" t="s">
        <v>1</v>
      </c>
      <c r="R321" s="176" t="s">
        <v>1</v>
      </c>
      <c r="S321" s="176" t="s">
        <v>1</v>
      </c>
      <c r="T321" s="176" t="s">
        <v>1</v>
      </c>
      <c r="U321" s="176" t="s">
        <v>1</v>
      </c>
      <c r="V321" s="176" t="s">
        <v>1</v>
      </c>
      <c r="W321" s="176" t="s">
        <v>1</v>
      </c>
      <c r="X321" s="176" t="s">
        <v>1</v>
      </c>
      <c r="Y321" s="176" t="s">
        <v>1</v>
      </c>
      <c r="Z321" s="176" t="s">
        <v>1</v>
      </c>
      <c r="AA321" s="176" t="s">
        <v>1</v>
      </c>
      <c r="AB321" s="176" t="s">
        <v>6600</v>
      </c>
      <c r="AC321" s="176" t="s">
        <v>6603</v>
      </c>
      <c r="AD321" s="176" t="s">
        <v>2654</v>
      </c>
      <c r="AE321" s="25" t="s">
        <v>5027</v>
      </c>
      <c r="AF321" s="63">
        <v>2.4209999999999998</v>
      </c>
      <c r="AG321" s="68">
        <v>0.1173611111111111</v>
      </c>
      <c r="AH321" s="63">
        <v>2.2679999999999998</v>
      </c>
      <c r="AI321" s="362">
        <v>0.14027777777777778</v>
      </c>
      <c r="AJ321" s="368">
        <f t="shared" si="4"/>
        <v>-6.3197026022304814E-2</v>
      </c>
    </row>
    <row r="322" spans="1:36" s="176" customFormat="1">
      <c r="B322" s="176" t="s">
        <v>2681</v>
      </c>
      <c r="C322" s="184" t="s">
        <v>1691</v>
      </c>
      <c r="D322" s="178">
        <v>40</v>
      </c>
      <c r="E322" s="176" t="s">
        <v>7</v>
      </c>
      <c r="F322" s="178">
        <v>5</v>
      </c>
      <c r="G322" s="178"/>
      <c r="H322" s="185">
        <v>44008</v>
      </c>
      <c r="I322" s="176" t="s">
        <v>2680</v>
      </c>
      <c r="J322" s="176" t="s">
        <v>2679</v>
      </c>
      <c r="K322" s="176" t="s">
        <v>2045</v>
      </c>
      <c r="L322" s="176" t="s">
        <v>2100</v>
      </c>
      <c r="M322" s="176">
        <v>2016</v>
      </c>
      <c r="N322" s="176" t="s">
        <v>2678</v>
      </c>
      <c r="O322" s="176" t="s">
        <v>2677</v>
      </c>
      <c r="P322" s="179" t="s">
        <v>7</v>
      </c>
      <c r="Q322" s="179">
        <v>14</v>
      </c>
      <c r="R322" s="179" t="s">
        <v>2676</v>
      </c>
      <c r="S322" s="179" t="s">
        <v>5</v>
      </c>
      <c r="T322" s="179">
        <v>4</v>
      </c>
      <c r="U322" s="179" t="s">
        <v>2675</v>
      </c>
      <c r="V322" s="179" t="s">
        <v>4</v>
      </c>
      <c r="W322" s="179">
        <v>0.6</v>
      </c>
      <c r="X322" s="179" t="s">
        <v>2674</v>
      </c>
      <c r="Y322" s="179" t="s">
        <v>1</v>
      </c>
      <c r="Z322" s="179" t="s">
        <v>1</v>
      </c>
      <c r="AA322" s="179" t="s">
        <v>1</v>
      </c>
      <c r="AB322" s="176" t="s">
        <v>2673</v>
      </c>
      <c r="AF322" s="344" t="s">
        <v>7145</v>
      </c>
      <c r="AG322" s="344" t="s">
        <v>7145</v>
      </c>
      <c r="AH322" s="58"/>
      <c r="AJ322" s="368"/>
    </row>
    <row r="323" spans="1:36" s="176" customFormat="1">
      <c r="B323" s="176" t="s">
        <v>2672</v>
      </c>
      <c r="C323" s="184" t="s">
        <v>1691</v>
      </c>
      <c r="D323" s="178">
        <v>40</v>
      </c>
      <c r="E323" s="176" t="s">
        <v>4</v>
      </c>
      <c r="F323" s="178">
        <v>10</v>
      </c>
      <c r="G323" s="178"/>
      <c r="H323" s="185">
        <v>45026</v>
      </c>
      <c r="I323" s="176" t="s">
        <v>2671</v>
      </c>
      <c r="K323" s="176" t="s">
        <v>2315</v>
      </c>
      <c r="L323" s="176" t="s">
        <v>2315</v>
      </c>
      <c r="M323" s="176">
        <v>2023</v>
      </c>
      <c r="O323" s="176" t="s">
        <v>1</v>
      </c>
      <c r="P323" s="176" t="s">
        <v>1</v>
      </c>
      <c r="Q323" s="176" t="s">
        <v>1</v>
      </c>
      <c r="R323" s="176" t="s">
        <v>1</v>
      </c>
      <c r="S323" s="176" t="s">
        <v>1</v>
      </c>
      <c r="T323" s="176" t="s">
        <v>1</v>
      </c>
      <c r="U323" s="176" t="s">
        <v>1</v>
      </c>
      <c r="V323" s="176" t="s">
        <v>1</v>
      </c>
      <c r="W323" s="176" t="s">
        <v>1</v>
      </c>
      <c r="X323" s="176" t="s">
        <v>1</v>
      </c>
      <c r="Y323" s="176" t="s">
        <v>1</v>
      </c>
      <c r="Z323" s="176" t="s">
        <v>1</v>
      </c>
      <c r="AA323" s="176" t="s">
        <v>1</v>
      </c>
      <c r="AB323" s="176" t="s">
        <v>1</v>
      </c>
      <c r="AF323" s="344" t="s">
        <v>7145</v>
      </c>
      <c r="AG323" s="344" t="s">
        <v>7145</v>
      </c>
      <c r="AH323" s="58"/>
      <c r="AJ323" s="368"/>
    </row>
    <row r="324" spans="1:36" s="176" customFormat="1">
      <c r="B324" s="176" t="s">
        <v>624</v>
      </c>
      <c r="C324" s="184" t="s">
        <v>1691</v>
      </c>
      <c r="D324" s="178">
        <v>40</v>
      </c>
      <c r="E324" s="176" t="s">
        <v>5</v>
      </c>
      <c r="F324" s="178">
        <v>10</v>
      </c>
      <c r="G324" s="178"/>
      <c r="H324" s="185">
        <v>44930</v>
      </c>
      <c r="I324" s="176" t="s">
        <v>2670</v>
      </c>
      <c r="J324" s="176" t="s">
        <v>2669</v>
      </c>
      <c r="K324" s="176" t="s">
        <v>2045</v>
      </c>
      <c r="L324" s="176" t="s">
        <v>2668</v>
      </c>
      <c r="M324" s="176">
        <v>2020</v>
      </c>
      <c r="O324" s="176" t="s">
        <v>2667</v>
      </c>
      <c r="P324" s="179" t="s">
        <v>4</v>
      </c>
      <c r="Q324" s="179">
        <v>2</v>
      </c>
      <c r="R324" s="179" t="s">
        <v>1</v>
      </c>
      <c r="S324" s="179" t="s">
        <v>1</v>
      </c>
      <c r="T324" s="179" t="s">
        <v>1</v>
      </c>
      <c r="U324" s="179" t="s">
        <v>1</v>
      </c>
      <c r="V324" s="179" t="s">
        <v>1</v>
      </c>
      <c r="W324" s="179" t="s">
        <v>1</v>
      </c>
      <c r="X324" s="179" t="s">
        <v>1</v>
      </c>
      <c r="Y324" s="179" t="s">
        <v>1</v>
      </c>
      <c r="Z324" s="179" t="s">
        <v>1</v>
      </c>
      <c r="AA324" s="179" t="s">
        <v>1</v>
      </c>
      <c r="AB324" s="176" t="s">
        <v>2595</v>
      </c>
      <c r="AF324" s="344" t="s">
        <v>7145</v>
      </c>
      <c r="AG324" s="344" t="s">
        <v>7145</v>
      </c>
      <c r="AH324" s="58"/>
      <c r="AJ324" s="368"/>
    </row>
    <row r="325" spans="1:36" s="176" customFormat="1">
      <c r="B325" s="176" t="s">
        <v>2666</v>
      </c>
      <c r="C325" s="184" t="s">
        <v>1691</v>
      </c>
      <c r="D325" s="178">
        <v>40</v>
      </c>
      <c r="E325" s="176" t="s">
        <v>5</v>
      </c>
      <c r="F325" s="178">
        <v>10</v>
      </c>
      <c r="G325" s="178"/>
      <c r="H325" s="185">
        <v>44825</v>
      </c>
      <c r="I325" s="176" t="s">
        <v>2665</v>
      </c>
      <c r="K325" s="176" t="s">
        <v>2045</v>
      </c>
      <c r="L325" s="176" t="s">
        <v>2524</v>
      </c>
      <c r="M325" s="176">
        <v>2020</v>
      </c>
      <c r="O325" s="176" t="s">
        <v>2664</v>
      </c>
      <c r="P325" s="179" t="s">
        <v>4</v>
      </c>
      <c r="Q325" s="179">
        <v>1.5</v>
      </c>
      <c r="R325" s="179" t="s">
        <v>2663</v>
      </c>
      <c r="S325" s="179" t="s">
        <v>1</v>
      </c>
      <c r="T325" s="179" t="s">
        <v>1</v>
      </c>
      <c r="U325" s="179" t="s">
        <v>1</v>
      </c>
      <c r="V325" s="179" t="s">
        <v>1</v>
      </c>
      <c r="W325" s="179" t="s">
        <v>1</v>
      </c>
      <c r="X325" s="179" t="s">
        <v>1</v>
      </c>
      <c r="Y325" s="179" t="s">
        <v>1</v>
      </c>
      <c r="Z325" s="179" t="s">
        <v>1</v>
      </c>
      <c r="AA325" s="179" t="s">
        <v>1</v>
      </c>
      <c r="AB325" s="176" t="s">
        <v>2662</v>
      </c>
      <c r="AE325" s="25" t="s">
        <v>5142</v>
      </c>
      <c r="AF325" s="344" t="s">
        <v>7145</v>
      </c>
      <c r="AG325" s="344" t="s">
        <v>7145</v>
      </c>
      <c r="AH325" s="58"/>
      <c r="AJ325" s="368"/>
    </row>
    <row r="326" spans="1:36" s="176" customFormat="1">
      <c r="B326" s="176" t="s">
        <v>630</v>
      </c>
      <c r="C326" s="184" t="s">
        <v>1691</v>
      </c>
      <c r="D326" s="178">
        <v>40</v>
      </c>
      <c r="E326" s="176" t="s">
        <v>5</v>
      </c>
      <c r="F326" s="178">
        <v>10</v>
      </c>
      <c r="G326" s="178"/>
      <c r="H326" s="185">
        <v>43887</v>
      </c>
      <c r="I326" s="176" t="s">
        <v>2661</v>
      </c>
      <c r="J326" s="176" t="s">
        <v>2660</v>
      </c>
      <c r="K326" s="176" t="s">
        <v>2045</v>
      </c>
      <c r="L326" s="176" t="s">
        <v>2630</v>
      </c>
      <c r="M326" s="176">
        <v>2019</v>
      </c>
      <c r="O326" s="176" t="s">
        <v>631</v>
      </c>
      <c r="P326" s="179" t="s">
        <v>5</v>
      </c>
      <c r="Q326" s="179">
        <v>9</v>
      </c>
      <c r="R326" s="179" t="s">
        <v>2659</v>
      </c>
      <c r="S326" s="179" t="s">
        <v>4</v>
      </c>
      <c r="T326" s="179">
        <v>2.4</v>
      </c>
      <c r="U326" s="179" t="s">
        <v>2658</v>
      </c>
      <c r="V326" s="179" t="s">
        <v>1</v>
      </c>
      <c r="W326" s="179" t="s">
        <v>1</v>
      </c>
      <c r="X326" s="179" t="s">
        <v>1</v>
      </c>
      <c r="Y326" s="179" t="s">
        <v>1</v>
      </c>
      <c r="Z326" s="179" t="s">
        <v>1</v>
      </c>
      <c r="AA326" s="179" t="s">
        <v>1</v>
      </c>
      <c r="AB326" s="176" t="s">
        <v>6600</v>
      </c>
      <c r="AC326" s="176" t="s">
        <v>6603</v>
      </c>
      <c r="AD326" s="176" t="s">
        <v>6610</v>
      </c>
      <c r="AF326" s="344" t="s">
        <v>7145</v>
      </c>
      <c r="AG326" s="344" t="s">
        <v>7145</v>
      </c>
      <c r="AH326" s="58"/>
      <c r="AJ326" s="368"/>
    </row>
    <row r="327" spans="1:36">
      <c r="B327" s="72" t="s">
        <v>2014</v>
      </c>
      <c r="C327" s="237" t="s">
        <v>1691</v>
      </c>
      <c r="D327" s="74">
        <v>30</v>
      </c>
      <c r="E327" s="239" t="s">
        <v>4</v>
      </c>
      <c r="F327" s="74">
        <v>12</v>
      </c>
      <c r="G327" s="74">
        <f>F327</f>
        <v>12</v>
      </c>
      <c r="H327" s="77">
        <v>43872</v>
      </c>
      <c r="I327" s="238" t="s">
        <v>7368</v>
      </c>
      <c r="J327" s="238" t="s">
        <v>7364</v>
      </c>
      <c r="K327" s="238" t="s">
        <v>2045</v>
      </c>
      <c r="L327" s="238" t="s">
        <v>3236</v>
      </c>
      <c r="M327" s="83">
        <v>43160</v>
      </c>
      <c r="O327" s="238" t="s">
        <v>7366</v>
      </c>
      <c r="P327" s="240" t="s">
        <v>1</v>
      </c>
      <c r="Q327" s="240" t="s">
        <v>1</v>
      </c>
      <c r="R327" s="240" t="s">
        <v>1</v>
      </c>
      <c r="S327" s="240" t="s">
        <v>1</v>
      </c>
      <c r="T327" s="240" t="s">
        <v>1</v>
      </c>
      <c r="U327" s="240" t="s">
        <v>1</v>
      </c>
      <c r="V327" s="240" t="s">
        <v>1</v>
      </c>
      <c r="W327" s="240" t="s">
        <v>1</v>
      </c>
      <c r="X327" s="240" t="s">
        <v>1</v>
      </c>
      <c r="Y327" s="240" t="s">
        <v>1</v>
      </c>
      <c r="Z327" s="240" t="s">
        <v>1</v>
      </c>
      <c r="AA327" s="240" t="s">
        <v>1</v>
      </c>
      <c r="AB327" s="238" t="s">
        <v>6600</v>
      </c>
      <c r="AC327" s="238" t="s">
        <v>6602</v>
      </c>
      <c r="AD327" s="238" t="s">
        <v>7362</v>
      </c>
      <c r="AE327" s="238" t="s">
        <v>7363</v>
      </c>
      <c r="AF327" s="344" t="s">
        <v>7145</v>
      </c>
      <c r="AG327" s="344" t="s">
        <v>7145</v>
      </c>
      <c r="AJ327" s="368"/>
    </row>
    <row r="328" spans="1:36" s="176" customFormat="1">
      <c r="B328" s="176" t="s">
        <v>2653</v>
      </c>
      <c r="C328" s="184" t="s">
        <v>1691</v>
      </c>
      <c r="D328" s="178">
        <v>30</v>
      </c>
      <c r="E328" s="176" t="s">
        <v>278</v>
      </c>
      <c r="F328" s="178">
        <v>0.5</v>
      </c>
      <c r="G328" s="178"/>
      <c r="H328" s="185">
        <v>45021</v>
      </c>
      <c r="I328" s="176" t="s">
        <v>2652</v>
      </c>
      <c r="J328" s="176" t="s">
        <v>2651</v>
      </c>
      <c r="K328" s="176" t="s">
        <v>2045</v>
      </c>
      <c r="L328" s="176" t="s">
        <v>2062</v>
      </c>
      <c r="M328" s="176">
        <v>2021</v>
      </c>
      <c r="N328" s="176" t="s">
        <v>1706</v>
      </c>
      <c r="O328" s="176" t="s">
        <v>1068</v>
      </c>
      <c r="P328" s="179" t="s">
        <v>1</v>
      </c>
      <c r="Q328" s="179" t="s">
        <v>1</v>
      </c>
      <c r="R328" s="179" t="s">
        <v>1</v>
      </c>
      <c r="S328" s="179" t="s">
        <v>1</v>
      </c>
      <c r="T328" s="179" t="s">
        <v>1</v>
      </c>
      <c r="U328" s="179" t="s">
        <v>1</v>
      </c>
      <c r="V328" s="179" t="s">
        <v>1</v>
      </c>
      <c r="W328" s="179" t="s">
        <v>1</v>
      </c>
      <c r="X328" s="179" t="s">
        <v>1</v>
      </c>
      <c r="Y328" s="179" t="s">
        <v>1</v>
      </c>
      <c r="Z328" s="179" t="s">
        <v>1</v>
      </c>
      <c r="AA328" s="179" t="s">
        <v>1</v>
      </c>
      <c r="AB328" s="176" t="s">
        <v>6600</v>
      </c>
      <c r="AC328" s="176" t="s">
        <v>6603</v>
      </c>
      <c r="AD328" s="176" t="s">
        <v>2362</v>
      </c>
      <c r="AF328" s="344" t="s">
        <v>7145</v>
      </c>
      <c r="AG328" s="344" t="s">
        <v>7145</v>
      </c>
      <c r="AH328" s="58"/>
      <c r="AJ328" s="368"/>
    </row>
    <row r="329" spans="1:36" s="176" customFormat="1">
      <c r="B329" s="176" t="s">
        <v>807</v>
      </c>
      <c r="C329" s="184" t="s">
        <v>1691</v>
      </c>
      <c r="D329" s="178">
        <v>30</v>
      </c>
      <c r="E329" s="176" t="s">
        <v>4</v>
      </c>
      <c r="F329" s="178">
        <v>5</v>
      </c>
      <c r="G329" s="178"/>
      <c r="H329" s="185">
        <v>45062</v>
      </c>
      <c r="I329" s="176" t="s">
        <v>2650</v>
      </c>
      <c r="K329" s="176" t="s">
        <v>2045</v>
      </c>
      <c r="L329" s="176" t="s">
        <v>2237</v>
      </c>
      <c r="M329" s="176">
        <v>2023</v>
      </c>
      <c r="O329" s="176" t="s">
        <v>2649</v>
      </c>
      <c r="P329" s="179" t="s">
        <v>1</v>
      </c>
      <c r="Q329" s="179" t="s">
        <v>1</v>
      </c>
      <c r="R329" s="179" t="s">
        <v>1</v>
      </c>
      <c r="S329" s="179" t="s">
        <v>1</v>
      </c>
      <c r="T329" s="179" t="s">
        <v>1</v>
      </c>
      <c r="U329" s="179" t="s">
        <v>1</v>
      </c>
      <c r="V329" s="179" t="s">
        <v>1</v>
      </c>
      <c r="W329" s="179" t="s">
        <v>1</v>
      </c>
      <c r="X329" s="179" t="s">
        <v>1</v>
      </c>
      <c r="Y329" s="179" t="s">
        <v>1</v>
      </c>
      <c r="Z329" s="179" t="s">
        <v>1</v>
      </c>
      <c r="AA329" s="179" t="s">
        <v>1</v>
      </c>
      <c r="AB329" s="176" t="s">
        <v>6600</v>
      </c>
      <c r="AC329" s="176" t="s">
        <v>6603</v>
      </c>
      <c r="AD329" s="176" t="s">
        <v>6611</v>
      </c>
      <c r="AF329" s="344" t="s">
        <v>7145</v>
      </c>
      <c r="AG329" s="344" t="s">
        <v>7145</v>
      </c>
      <c r="AH329" s="58"/>
      <c r="AJ329" s="368"/>
    </row>
    <row r="330" spans="1:36" s="176" customFormat="1">
      <c r="B330" s="176" t="s">
        <v>765</v>
      </c>
      <c r="C330" s="184" t="s">
        <v>1691</v>
      </c>
      <c r="D330" s="178">
        <v>30</v>
      </c>
      <c r="E330" s="176" t="s">
        <v>4</v>
      </c>
      <c r="F330" s="178">
        <v>4</v>
      </c>
      <c r="G330" s="178"/>
      <c r="H330" s="185">
        <v>45026</v>
      </c>
      <c r="I330" s="176" t="s">
        <v>2062</v>
      </c>
      <c r="J330" s="176" t="s">
        <v>2648</v>
      </c>
      <c r="K330" s="176" t="s">
        <v>2045</v>
      </c>
      <c r="L330" s="176" t="s">
        <v>2062</v>
      </c>
      <c r="M330" s="176">
        <v>2021</v>
      </c>
      <c r="O330" s="176" t="s">
        <v>2647</v>
      </c>
      <c r="P330" s="179" t="s">
        <v>1</v>
      </c>
      <c r="Q330" s="179" t="s">
        <v>1</v>
      </c>
      <c r="R330" s="179" t="s">
        <v>1</v>
      </c>
      <c r="S330" s="179" t="s">
        <v>1</v>
      </c>
      <c r="T330" s="179" t="s">
        <v>1</v>
      </c>
      <c r="U330" s="179" t="s">
        <v>1</v>
      </c>
      <c r="V330" s="179" t="s">
        <v>1</v>
      </c>
      <c r="W330" s="179" t="s">
        <v>1</v>
      </c>
      <c r="X330" s="179" t="s">
        <v>1</v>
      </c>
      <c r="Y330" s="179" t="s">
        <v>1</v>
      </c>
      <c r="Z330" s="179" t="s">
        <v>1</v>
      </c>
      <c r="AA330" s="179" t="s">
        <v>1</v>
      </c>
      <c r="AB330" s="176" t="s">
        <v>6600</v>
      </c>
      <c r="AC330" s="176" t="s">
        <v>6604</v>
      </c>
      <c r="AD330" s="176" t="s">
        <v>3956</v>
      </c>
      <c r="AF330" s="344" t="s">
        <v>7145</v>
      </c>
      <c r="AG330" s="344" t="s">
        <v>7145</v>
      </c>
      <c r="AH330" s="58"/>
      <c r="AJ330" s="368"/>
    </row>
    <row r="331" spans="1:36" s="176" customFormat="1">
      <c r="B331" s="176" t="s">
        <v>336</v>
      </c>
      <c r="C331" s="184" t="s">
        <v>1691</v>
      </c>
      <c r="D331" s="178">
        <v>30</v>
      </c>
      <c r="E331" s="176" t="s">
        <v>4</v>
      </c>
      <c r="F331" s="178">
        <v>3</v>
      </c>
      <c r="G331" s="178"/>
      <c r="H331" s="185">
        <v>44327</v>
      </c>
      <c r="I331" s="176" t="s">
        <v>2645</v>
      </c>
      <c r="J331" s="176" t="s">
        <v>2644</v>
      </c>
      <c r="K331" s="176" t="s">
        <v>2045</v>
      </c>
      <c r="L331" s="176" t="s">
        <v>2643</v>
      </c>
      <c r="M331" s="176">
        <v>2021</v>
      </c>
      <c r="O331" s="176" t="s">
        <v>2642</v>
      </c>
      <c r="P331" s="179" t="s">
        <v>278</v>
      </c>
      <c r="Q331" s="179">
        <v>1.2</v>
      </c>
      <c r="R331" s="179" t="s">
        <v>2641</v>
      </c>
      <c r="S331" s="179" t="s">
        <v>1</v>
      </c>
      <c r="T331" s="179" t="s">
        <v>1</v>
      </c>
      <c r="U331" s="179" t="s">
        <v>1</v>
      </c>
      <c r="V331" s="179" t="s">
        <v>1</v>
      </c>
      <c r="W331" s="179" t="s">
        <v>1</v>
      </c>
      <c r="X331" s="179" t="s">
        <v>1</v>
      </c>
      <c r="Y331" s="179" t="s">
        <v>1</v>
      </c>
      <c r="Z331" s="179" t="s">
        <v>1</v>
      </c>
      <c r="AA331" s="179" t="s">
        <v>1</v>
      </c>
      <c r="AB331" s="176" t="s">
        <v>6600</v>
      </c>
      <c r="AC331" s="176" t="s">
        <v>6608</v>
      </c>
      <c r="AD331" s="176" t="s">
        <v>6608</v>
      </c>
      <c r="AF331" s="344" t="s">
        <v>7145</v>
      </c>
      <c r="AG331" s="344" t="s">
        <v>7145</v>
      </c>
      <c r="AH331" s="58"/>
      <c r="AJ331" s="368"/>
    </row>
    <row r="332" spans="1:36" s="176" customFormat="1">
      <c r="B332" s="176" t="s">
        <v>2640</v>
      </c>
      <c r="C332" s="184" t="s">
        <v>1691</v>
      </c>
      <c r="D332" s="178">
        <v>30</v>
      </c>
      <c r="E332" s="176" t="s">
        <v>278</v>
      </c>
      <c r="F332" s="178">
        <v>3</v>
      </c>
      <c r="G332" s="178"/>
      <c r="H332" s="185">
        <v>45044</v>
      </c>
      <c r="I332" s="176" t="s">
        <v>2639</v>
      </c>
      <c r="J332" s="176" t="s">
        <v>2638</v>
      </c>
      <c r="K332" s="176" t="s">
        <v>2045</v>
      </c>
      <c r="L332" s="176" t="s">
        <v>2637</v>
      </c>
      <c r="M332" s="190">
        <v>44986</v>
      </c>
      <c r="O332" s="176" t="s">
        <v>1</v>
      </c>
      <c r="P332" s="176" t="s">
        <v>1</v>
      </c>
      <c r="Q332" s="176" t="s">
        <v>1</v>
      </c>
      <c r="R332" s="176" t="s">
        <v>1</v>
      </c>
      <c r="S332" s="176" t="s">
        <v>1</v>
      </c>
      <c r="T332" s="176" t="s">
        <v>1</v>
      </c>
      <c r="U332" s="176" t="s">
        <v>1</v>
      </c>
      <c r="V332" s="176" t="s">
        <v>1</v>
      </c>
      <c r="W332" s="176" t="s">
        <v>1</v>
      </c>
      <c r="X332" s="176" t="s">
        <v>1</v>
      </c>
      <c r="Y332" s="176" t="s">
        <v>1</v>
      </c>
      <c r="Z332" s="176" t="s">
        <v>1</v>
      </c>
      <c r="AA332" s="176" t="s">
        <v>1</v>
      </c>
      <c r="AB332" s="176" t="s">
        <v>6600</v>
      </c>
      <c r="AC332" s="176" t="s">
        <v>6603</v>
      </c>
      <c r="AD332" s="176" t="s">
        <v>2362</v>
      </c>
      <c r="AF332" s="344" t="s">
        <v>7145</v>
      </c>
      <c r="AG332" s="344" t="s">
        <v>7145</v>
      </c>
      <c r="AH332" s="58"/>
      <c r="AJ332" s="368"/>
    </row>
    <row r="333" spans="1:36" s="176" customFormat="1">
      <c r="B333" s="176" t="s">
        <v>2016</v>
      </c>
      <c r="C333" s="184" t="s">
        <v>1691</v>
      </c>
      <c r="D333" s="178">
        <v>30</v>
      </c>
      <c r="E333" s="176" t="s">
        <v>5</v>
      </c>
      <c r="F333" s="178">
        <v>8</v>
      </c>
      <c r="G333" s="178">
        <v>13</v>
      </c>
      <c r="H333" s="185">
        <v>44663</v>
      </c>
      <c r="I333" s="176" t="s">
        <v>7280</v>
      </c>
      <c r="J333" s="176" t="s">
        <v>7281</v>
      </c>
      <c r="K333" s="176" t="s">
        <v>2045</v>
      </c>
      <c r="L333" s="176" t="s">
        <v>2056</v>
      </c>
      <c r="M333" s="190">
        <v>44663</v>
      </c>
      <c r="O333" s="176" t="s">
        <v>7282</v>
      </c>
      <c r="P333" s="176" t="s">
        <v>5</v>
      </c>
      <c r="Q333" s="179">
        <v>3</v>
      </c>
      <c r="R333" s="176" t="s">
        <v>7283</v>
      </c>
      <c r="S333" s="176" t="s">
        <v>4</v>
      </c>
      <c r="T333" s="179">
        <v>1.7</v>
      </c>
      <c r="U333" s="176" t="s">
        <v>7284</v>
      </c>
      <c r="V333" s="176" t="s">
        <v>1</v>
      </c>
      <c r="W333" s="176" t="s">
        <v>1</v>
      </c>
      <c r="X333" s="176" t="s">
        <v>1</v>
      </c>
      <c r="Y333" s="176" t="s">
        <v>1</v>
      </c>
      <c r="Z333" s="176" t="s">
        <v>1</v>
      </c>
      <c r="AA333" s="176" t="s">
        <v>1</v>
      </c>
      <c r="AB333" s="176" t="s">
        <v>2581</v>
      </c>
      <c r="AC333" s="176" t="s">
        <v>7285</v>
      </c>
      <c r="AD333" s="176" t="s">
        <v>7286</v>
      </c>
      <c r="AE333" s="25" t="s">
        <v>7287</v>
      </c>
      <c r="AF333" s="344" t="s">
        <v>7145</v>
      </c>
      <c r="AG333" s="344" t="s">
        <v>7145</v>
      </c>
      <c r="AH333" s="58"/>
      <c r="AJ333" s="368"/>
    </row>
    <row r="334" spans="1:36" s="176" customFormat="1">
      <c r="B334" s="176" t="s">
        <v>2015</v>
      </c>
      <c r="C334" s="184" t="s">
        <v>1691</v>
      </c>
      <c r="D334" s="178">
        <v>30</v>
      </c>
      <c r="E334" s="176" t="s">
        <v>4</v>
      </c>
      <c r="F334" s="178">
        <v>8</v>
      </c>
      <c r="G334" s="178">
        <v>11</v>
      </c>
      <c r="H334" s="185">
        <v>44880</v>
      </c>
      <c r="I334" s="176" t="s">
        <v>7288</v>
      </c>
      <c r="J334" s="176" t="s">
        <v>7289</v>
      </c>
      <c r="K334" s="176" t="s">
        <v>2045</v>
      </c>
      <c r="L334" s="176" t="s">
        <v>2698</v>
      </c>
      <c r="M334" s="190">
        <v>44880</v>
      </c>
      <c r="O334" s="176" t="s">
        <v>7290</v>
      </c>
      <c r="P334" s="176" t="s">
        <v>4</v>
      </c>
      <c r="Q334" s="179">
        <v>3</v>
      </c>
      <c r="R334" s="176" t="s">
        <v>7291</v>
      </c>
      <c r="S334" s="176" t="s">
        <v>1</v>
      </c>
      <c r="T334" s="176" t="s">
        <v>1</v>
      </c>
      <c r="U334" s="176" t="s">
        <v>1</v>
      </c>
      <c r="V334" s="176" t="s">
        <v>1</v>
      </c>
      <c r="W334" s="176" t="s">
        <v>1</v>
      </c>
      <c r="X334" s="176" t="s">
        <v>1</v>
      </c>
      <c r="Y334" s="176" t="s">
        <v>1</v>
      </c>
      <c r="Z334" s="176" t="s">
        <v>1</v>
      </c>
      <c r="AA334" s="176" t="s">
        <v>1</v>
      </c>
      <c r="AB334" s="176" t="s">
        <v>6600</v>
      </c>
      <c r="AC334" s="176" t="s">
        <v>6603</v>
      </c>
      <c r="AD334" s="176" t="s">
        <v>2362</v>
      </c>
      <c r="AE334" s="25" t="s">
        <v>7292</v>
      </c>
      <c r="AF334" s="344" t="s">
        <v>7145</v>
      </c>
      <c r="AG334" s="344" t="s">
        <v>7145</v>
      </c>
      <c r="AH334" s="58"/>
      <c r="AJ334" s="368"/>
    </row>
    <row r="335" spans="1:36">
      <c r="A335" s="176"/>
      <c r="B335" s="176" t="s">
        <v>745</v>
      </c>
      <c r="C335" s="184" t="s">
        <v>1691</v>
      </c>
      <c r="D335" s="178">
        <v>25</v>
      </c>
      <c r="E335" s="176" t="s">
        <v>4</v>
      </c>
      <c r="F335" s="178">
        <v>2.6</v>
      </c>
      <c r="G335" s="74">
        <f>+F335</f>
        <v>2.6</v>
      </c>
      <c r="H335" s="185">
        <v>44994</v>
      </c>
      <c r="I335" s="176" t="s">
        <v>5160</v>
      </c>
      <c r="J335" s="176" t="s">
        <v>2636</v>
      </c>
      <c r="K335" s="176" t="s">
        <v>2308</v>
      </c>
      <c r="L335" s="176" t="s">
        <v>2635</v>
      </c>
      <c r="M335" s="191">
        <v>44013</v>
      </c>
      <c r="N335" s="176"/>
      <c r="O335" s="176" t="s">
        <v>2634</v>
      </c>
      <c r="P335" s="179" t="s">
        <v>4</v>
      </c>
      <c r="Q335" s="179" t="s">
        <v>2633</v>
      </c>
      <c r="R335" s="179"/>
      <c r="S335" s="179" t="s">
        <v>278</v>
      </c>
      <c r="T335" s="179" t="s">
        <v>1</v>
      </c>
      <c r="U335" s="179" t="s">
        <v>748</v>
      </c>
      <c r="V335" s="176" t="s">
        <v>1</v>
      </c>
      <c r="W335" s="176" t="s">
        <v>1</v>
      </c>
      <c r="X335" s="176" t="s">
        <v>1</v>
      </c>
      <c r="Y335" s="176" t="s">
        <v>1</v>
      </c>
      <c r="Z335" s="176" t="s">
        <v>1</v>
      </c>
      <c r="AA335" s="176" t="s">
        <v>1</v>
      </c>
      <c r="AB335" s="176" t="s">
        <v>6600</v>
      </c>
      <c r="AC335" s="176" t="s">
        <v>6608</v>
      </c>
      <c r="AD335" s="176" t="s">
        <v>6608</v>
      </c>
      <c r="AE335" s="25" t="s">
        <v>5161</v>
      </c>
      <c r="AF335" s="63">
        <v>0.93803700000000001</v>
      </c>
      <c r="AG335" s="68">
        <v>0.23333333333333331</v>
      </c>
      <c r="AH335" s="63">
        <v>0.85072199999999998</v>
      </c>
      <c r="AI335" s="68">
        <v>0.19375000000000001</v>
      </c>
      <c r="AJ335" s="368">
        <f t="shared" ref="AJ335" si="5">+AH335/AF335-1</f>
        <v>-9.3082682239613135E-2</v>
      </c>
    </row>
    <row r="336" spans="1:36" s="176" customFormat="1">
      <c r="B336" s="176" t="s">
        <v>2632</v>
      </c>
      <c r="C336" s="184" t="s">
        <v>1691</v>
      </c>
      <c r="D336" s="178">
        <v>25</v>
      </c>
      <c r="E336" s="176" t="s">
        <v>1</v>
      </c>
      <c r="F336" s="178" t="s">
        <v>1</v>
      </c>
      <c r="G336" s="178"/>
      <c r="H336" s="177" t="s">
        <v>1</v>
      </c>
      <c r="I336" s="176" t="s">
        <v>2631</v>
      </c>
      <c r="K336" s="176" t="s">
        <v>2045</v>
      </c>
      <c r="L336" s="176" t="s">
        <v>2630</v>
      </c>
      <c r="M336" s="176">
        <v>2020</v>
      </c>
      <c r="O336" s="176" t="s">
        <v>1</v>
      </c>
      <c r="P336" s="176" t="s">
        <v>1</v>
      </c>
      <c r="Q336" s="176" t="s">
        <v>1</v>
      </c>
      <c r="R336" s="176" t="s">
        <v>1</v>
      </c>
      <c r="S336" s="176" t="s">
        <v>1</v>
      </c>
      <c r="T336" s="176" t="s">
        <v>1</v>
      </c>
      <c r="U336" s="176" t="s">
        <v>1</v>
      </c>
      <c r="V336" s="176" t="s">
        <v>1</v>
      </c>
      <c r="W336" s="176" t="s">
        <v>1</v>
      </c>
      <c r="X336" s="176" t="s">
        <v>1</v>
      </c>
      <c r="Y336" s="176" t="s">
        <v>1</v>
      </c>
      <c r="Z336" s="176" t="s">
        <v>1</v>
      </c>
      <c r="AA336" s="176" t="s">
        <v>1</v>
      </c>
      <c r="AB336" s="176" t="s">
        <v>2629</v>
      </c>
      <c r="AF336" s="344" t="s">
        <v>7145</v>
      </c>
      <c r="AG336" s="344" t="s">
        <v>7145</v>
      </c>
      <c r="AH336" s="58"/>
      <c r="AJ336" s="368"/>
    </row>
    <row r="337" spans="1:36" s="274" customFormat="1">
      <c r="B337" s="274" t="s">
        <v>1575</v>
      </c>
      <c r="C337" s="397" t="s">
        <v>1691</v>
      </c>
      <c r="D337" s="325">
        <v>25</v>
      </c>
      <c r="E337" s="396" t="s">
        <v>4</v>
      </c>
      <c r="F337" s="325">
        <v>4</v>
      </c>
      <c r="G337" s="325">
        <f>+F337</f>
        <v>4</v>
      </c>
      <c r="H337" s="326">
        <v>44827</v>
      </c>
      <c r="I337" s="396" t="s">
        <v>9736</v>
      </c>
      <c r="J337" s="396" t="s">
        <v>9733</v>
      </c>
      <c r="K337" s="396" t="s">
        <v>2045</v>
      </c>
      <c r="L337" s="396" t="s">
        <v>2630</v>
      </c>
      <c r="M337" s="274">
        <v>2021</v>
      </c>
      <c r="N337" s="396" t="s">
        <v>9738</v>
      </c>
      <c r="O337" s="396" t="s">
        <v>9737</v>
      </c>
      <c r="P337" s="396" t="s">
        <v>1</v>
      </c>
      <c r="Q337" s="396" t="s">
        <v>1</v>
      </c>
      <c r="R337" s="396" t="s">
        <v>1</v>
      </c>
      <c r="S337" s="396" t="s">
        <v>1</v>
      </c>
      <c r="T337" s="396" t="s">
        <v>1</v>
      </c>
      <c r="U337" s="396" t="s">
        <v>1</v>
      </c>
      <c r="V337" s="396" t="s">
        <v>1</v>
      </c>
      <c r="W337" s="396" t="s">
        <v>1</v>
      </c>
      <c r="X337" s="396" t="s">
        <v>1</v>
      </c>
      <c r="Y337" s="396" t="s">
        <v>1</v>
      </c>
      <c r="Z337" s="396" t="s">
        <v>1</v>
      </c>
      <c r="AA337" s="396" t="s">
        <v>1</v>
      </c>
      <c r="AB337" s="396" t="s">
        <v>6600</v>
      </c>
      <c r="AC337" s="396" t="s">
        <v>6608</v>
      </c>
      <c r="AD337" s="396" t="s">
        <v>6608</v>
      </c>
      <c r="AE337" s="25" t="s">
        <v>9734</v>
      </c>
    </row>
    <row r="338" spans="1:36" s="176" customFormat="1">
      <c r="B338" s="176" t="s">
        <v>341</v>
      </c>
      <c r="C338" s="184" t="s">
        <v>1691</v>
      </c>
      <c r="D338" s="178">
        <v>20</v>
      </c>
      <c r="E338" s="176" t="s">
        <v>4</v>
      </c>
      <c r="F338" s="178">
        <v>3.5</v>
      </c>
      <c r="G338" s="178"/>
      <c r="H338" s="185">
        <v>44636</v>
      </c>
      <c r="I338" s="176" t="s">
        <v>2628</v>
      </c>
      <c r="J338" s="176" t="s">
        <v>2627</v>
      </c>
      <c r="K338" s="176" t="s">
        <v>2045</v>
      </c>
      <c r="L338" s="176" t="s">
        <v>2626</v>
      </c>
      <c r="M338" s="176">
        <v>2019</v>
      </c>
      <c r="O338" s="176" t="s">
        <v>2625</v>
      </c>
      <c r="P338" s="179" t="s">
        <v>278</v>
      </c>
      <c r="Q338" s="179">
        <v>0.75</v>
      </c>
      <c r="R338" s="179" t="s">
        <v>2624</v>
      </c>
      <c r="S338" s="179" t="s">
        <v>278</v>
      </c>
      <c r="T338" s="179">
        <v>0.12</v>
      </c>
      <c r="U338" s="179" t="s">
        <v>639</v>
      </c>
      <c r="V338" s="179" t="s">
        <v>1</v>
      </c>
      <c r="W338" s="179" t="s">
        <v>1</v>
      </c>
      <c r="X338" s="179" t="s">
        <v>1</v>
      </c>
      <c r="Y338" s="179" t="s">
        <v>1</v>
      </c>
      <c r="Z338" s="179" t="s">
        <v>1</v>
      </c>
      <c r="AA338" s="179" t="s">
        <v>1</v>
      </c>
      <c r="AB338" s="176" t="s">
        <v>6600</v>
      </c>
      <c r="AC338" s="176" t="s">
        <v>6602</v>
      </c>
      <c r="AD338" s="176" t="s">
        <v>2900</v>
      </c>
      <c r="AF338" s="344" t="s">
        <v>7145</v>
      </c>
      <c r="AG338" s="344" t="s">
        <v>7145</v>
      </c>
      <c r="AH338" s="58"/>
      <c r="AJ338" s="368"/>
    </row>
    <row r="339" spans="1:36" s="176" customFormat="1">
      <c r="B339" s="176" t="s">
        <v>2623</v>
      </c>
      <c r="C339" s="184" t="s">
        <v>1691</v>
      </c>
      <c r="D339" s="178">
        <v>20</v>
      </c>
      <c r="E339" s="176" t="s">
        <v>4</v>
      </c>
      <c r="F339" s="178">
        <v>4</v>
      </c>
      <c r="G339" s="178"/>
      <c r="H339" s="185">
        <v>44332</v>
      </c>
      <c r="J339" s="176" t="s">
        <v>2622</v>
      </c>
      <c r="K339" s="176" t="s">
        <v>2045</v>
      </c>
      <c r="L339" s="176" t="s">
        <v>2524</v>
      </c>
      <c r="M339" s="176">
        <v>2018</v>
      </c>
      <c r="O339" s="176" t="s">
        <v>487</v>
      </c>
      <c r="P339" s="179" t="s">
        <v>4</v>
      </c>
      <c r="Q339" s="179">
        <v>2</v>
      </c>
      <c r="R339" s="179" t="s">
        <v>2621</v>
      </c>
      <c r="S339" s="179" t="s">
        <v>278</v>
      </c>
      <c r="T339" s="179" t="s">
        <v>1</v>
      </c>
      <c r="U339" s="179" t="s">
        <v>2620</v>
      </c>
      <c r="V339" s="179" t="s">
        <v>1</v>
      </c>
      <c r="W339" s="179" t="s">
        <v>1</v>
      </c>
      <c r="X339" s="179" t="s">
        <v>1</v>
      </c>
      <c r="Y339" s="179" t="s">
        <v>1</v>
      </c>
      <c r="Z339" s="179" t="s">
        <v>1</v>
      </c>
      <c r="AA339" s="179" t="s">
        <v>1</v>
      </c>
      <c r="AB339" s="176" t="s">
        <v>6626</v>
      </c>
      <c r="AD339" s="176" t="s">
        <v>2904</v>
      </c>
      <c r="AE339" s="25" t="s">
        <v>5143</v>
      </c>
      <c r="AF339" s="344" t="s">
        <v>7145</v>
      </c>
      <c r="AG339" s="344" t="s">
        <v>7145</v>
      </c>
      <c r="AH339" s="58"/>
      <c r="AJ339" s="368"/>
    </row>
    <row r="340" spans="1:36" s="176" customFormat="1">
      <c r="B340" s="176" t="s">
        <v>509</v>
      </c>
      <c r="C340" s="184" t="s">
        <v>1691</v>
      </c>
      <c r="D340" s="178">
        <v>20</v>
      </c>
      <c r="E340" s="176" t="s">
        <v>4</v>
      </c>
      <c r="F340" s="178">
        <v>3</v>
      </c>
      <c r="G340" s="178"/>
      <c r="H340" s="185">
        <v>45037</v>
      </c>
      <c r="I340" s="176" t="s">
        <v>2619</v>
      </c>
      <c r="J340" s="176" t="s">
        <v>2618</v>
      </c>
      <c r="K340" s="176" t="s">
        <v>2045</v>
      </c>
      <c r="L340" s="176" t="s">
        <v>2617</v>
      </c>
      <c r="M340" s="176">
        <v>2021</v>
      </c>
      <c r="O340" s="176" t="s">
        <v>2616</v>
      </c>
      <c r="P340" s="179" t="s">
        <v>278</v>
      </c>
      <c r="Q340" s="179">
        <v>1.2</v>
      </c>
      <c r="R340" s="179" t="s">
        <v>2615</v>
      </c>
      <c r="S340" s="179" t="s">
        <v>1</v>
      </c>
      <c r="T340" s="179" t="s">
        <v>1</v>
      </c>
      <c r="U340" s="179" t="s">
        <v>1</v>
      </c>
      <c r="V340" s="179" t="s">
        <v>1</v>
      </c>
      <c r="W340" s="179" t="s">
        <v>1</v>
      </c>
      <c r="X340" s="179" t="s">
        <v>1</v>
      </c>
      <c r="Y340" s="179" t="s">
        <v>1</v>
      </c>
      <c r="Z340" s="179" t="s">
        <v>1</v>
      </c>
      <c r="AA340" s="179" t="s">
        <v>1</v>
      </c>
      <c r="AB340" s="176" t="s">
        <v>6600</v>
      </c>
      <c r="AC340" s="176" t="s">
        <v>6607</v>
      </c>
      <c r="AD340" s="176" t="s">
        <v>2352</v>
      </c>
      <c r="AF340" s="344" t="s">
        <v>7145</v>
      </c>
      <c r="AG340" s="344" t="s">
        <v>7145</v>
      </c>
      <c r="AH340" s="58"/>
      <c r="AJ340" s="368"/>
    </row>
    <row r="341" spans="1:36" s="176" customFormat="1">
      <c r="B341" s="176" t="s">
        <v>283</v>
      </c>
      <c r="C341" s="184" t="s">
        <v>1691</v>
      </c>
      <c r="D341" s="178">
        <v>20</v>
      </c>
      <c r="E341" s="176" t="s">
        <v>4</v>
      </c>
      <c r="F341" s="178">
        <v>2.6</v>
      </c>
      <c r="G341" s="178"/>
      <c r="H341" s="185">
        <v>45008</v>
      </c>
      <c r="J341" s="176" t="s">
        <v>2614</v>
      </c>
      <c r="K341" s="176" t="s">
        <v>2045</v>
      </c>
      <c r="L341" s="176" t="s">
        <v>2302</v>
      </c>
      <c r="M341" s="176">
        <v>2019</v>
      </c>
      <c r="O341" s="176" t="s">
        <v>2613</v>
      </c>
      <c r="P341" s="179" t="s">
        <v>1</v>
      </c>
      <c r="Q341" s="179" t="s">
        <v>1</v>
      </c>
      <c r="R341" s="179" t="s">
        <v>1</v>
      </c>
      <c r="S341" s="179" t="s">
        <v>1</v>
      </c>
      <c r="T341" s="179" t="s">
        <v>1</v>
      </c>
      <c r="U341" s="179" t="s">
        <v>1</v>
      </c>
      <c r="V341" s="179" t="s">
        <v>1</v>
      </c>
      <c r="W341" s="179" t="s">
        <v>1</v>
      </c>
      <c r="X341" s="179" t="s">
        <v>1</v>
      </c>
      <c r="Y341" s="179" t="s">
        <v>1</v>
      </c>
      <c r="Z341" s="179" t="s">
        <v>1</v>
      </c>
      <c r="AA341" s="179" t="s">
        <v>1</v>
      </c>
      <c r="AB341" s="176" t="s">
        <v>6600</v>
      </c>
      <c r="AC341" s="176" t="s">
        <v>6602</v>
      </c>
      <c r="AD341" s="176" t="s">
        <v>6648</v>
      </c>
      <c r="AF341" s="344" t="s">
        <v>7145</v>
      </c>
      <c r="AG341" s="344" t="s">
        <v>7145</v>
      </c>
      <c r="AH341" s="58"/>
      <c r="AJ341" s="368"/>
    </row>
    <row r="342" spans="1:36" s="176" customFormat="1">
      <c r="B342" s="176" t="s">
        <v>277</v>
      </c>
      <c r="C342" s="184" t="s">
        <v>1691</v>
      </c>
      <c r="D342" s="178">
        <v>20</v>
      </c>
      <c r="E342" s="176" t="s">
        <v>4</v>
      </c>
      <c r="F342" s="178">
        <v>0.125</v>
      </c>
      <c r="G342" s="178"/>
      <c r="H342" s="185">
        <v>44265</v>
      </c>
      <c r="I342" s="176" t="s">
        <v>2612</v>
      </c>
      <c r="J342" s="176" t="s">
        <v>2611</v>
      </c>
      <c r="K342" s="176" t="s">
        <v>2045</v>
      </c>
      <c r="L342" s="176" t="s">
        <v>2071</v>
      </c>
      <c r="M342" s="176">
        <v>2020</v>
      </c>
      <c r="O342" s="176" t="s">
        <v>2610</v>
      </c>
      <c r="P342" s="179" t="s">
        <v>278</v>
      </c>
      <c r="Q342" s="179">
        <v>0.2</v>
      </c>
      <c r="R342" s="179" t="s">
        <v>2609</v>
      </c>
      <c r="S342" s="179" t="s">
        <v>1</v>
      </c>
      <c r="T342" s="179" t="s">
        <v>1</v>
      </c>
      <c r="U342" s="179" t="s">
        <v>1</v>
      </c>
      <c r="V342" s="179" t="s">
        <v>1</v>
      </c>
      <c r="W342" s="179" t="s">
        <v>1</v>
      </c>
      <c r="X342" s="179" t="s">
        <v>1</v>
      </c>
      <c r="Y342" s="179" t="s">
        <v>1</v>
      </c>
      <c r="Z342" s="179" t="s">
        <v>1</v>
      </c>
      <c r="AA342" s="179" t="s">
        <v>1</v>
      </c>
      <c r="AB342" s="176" t="s">
        <v>6600</v>
      </c>
      <c r="AC342" s="176" t="s">
        <v>2690</v>
      </c>
      <c r="AD342" s="176" t="s">
        <v>6647</v>
      </c>
      <c r="AE342" s="25" t="s">
        <v>2608</v>
      </c>
      <c r="AF342" s="344" t="s">
        <v>7145</v>
      </c>
      <c r="AG342" s="344" t="s">
        <v>7145</v>
      </c>
      <c r="AH342" s="59"/>
      <c r="AJ342" s="368"/>
    </row>
    <row r="343" spans="1:36">
      <c r="B343" s="238" t="s">
        <v>7585</v>
      </c>
      <c r="C343" s="237" t="s">
        <v>1691</v>
      </c>
      <c r="D343" s="72">
        <v>20</v>
      </c>
      <c r="E343" s="238" t="s">
        <v>4</v>
      </c>
      <c r="F343" s="72">
        <v>2.2000000000000002</v>
      </c>
      <c r="G343" s="72">
        <f>F343</f>
        <v>2.2000000000000002</v>
      </c>
      <c r="H343" s="78">
        <v>43544</v>
      </c>
      <c r="I343" s="238" t="s">
        <v>7590</v>
      </c>
      <c r="J343" s="238" t="s">
        <v>7587</v>
      </c>
      <c r="K343" s="238" t="s">
        <v>2045</v>
      </c>
      <c r="L343" s="238" t="s">
        <v>3387</v>
      </c>
      <c r="M343" s="72">
        <v>2014</v>
      </c>
      <c r="O343" s="238" t="s">
        <v>7589</v>
      </c>
      <c r="P343" s="238" t="s">
        <v>1</v>
      </c>
      <c r="Q343" s="238" t="s">
        <v>1</v>
      </c>
      <c r="R343" s="238" t="s">
        <v>1</v>
      </c>
      <c r="S343" s="238" t="s">
        <v>1</v>
      </c>
      <c r="T343" s="238" t="s">
        <v>1</v>
      </c>
      <c r="U343" s="238" t="s">
        <v>1</v>
      </c>
      <c r="V343" s="238" t="s">
        <v>1</v>
      </c>
      <c r="W343" s="238" t="s">
        <v>1</v>
      </c>
      <c r="X343" s="238" t="s">
        <v>1</v>
      </c>
      <c r="Y343" s="238" t="s">
        <v>1</v>
      </c>
      <c r="Z343" s="238" t="s">
        <v>1</v>
      </c>
      <c r="AA343" s="238" t="s">
        <v>1</v>
      </c>
      <c r="AB343" s="165" t="s">
        <v>6600</v>
      </c>
      <c r="AC343" s="165" t="s">
        <v>6603</v>
      </c>
      <c r="AD343" s="238" t="s">
        <v>6620</v>
      </c>
      <c r="AE343" s="25" t="s">
        <v>7586</v>
      </c>
      <c r="AF343" s="344" t="s">
        <v>7145</v>
      </c>
      <c r="AG343" s="344" t="s">
        <v>7145</v>
      </c>
      <c r="AH343" s="72"/>
      <c r="AJ343" s="368"/>
    </row>
    <row r="344" spans="1:36" s="176" customFormat="1">
      <c r="B344" s="176" t="s">
        <v>2607</v>
      </c>
      <c r="C344" s="184" t="s">
        <v>1691</v>
      </c>
      <c r="D344" s="178">
        <v>20</v>
      </c>
      <c r="E344" s="178" t="s">
        <v>1</v>
      </c>
      <c r="F344" s="178" t="s">
        <v>1</v>
      </c>
      <c r="G344" s="178"/>
      <c r="H344" s="178" t="s">
        <v>1</v>
      </c>
      <c r="I344" s="176" t="s">
        <v>2606</v>
      </c>
      <c r="J344" s="176" t="s">
        <v>2605</v>
      </c>
      <c r="K344" s="176" t="s">
        <v>2045</v>
      </c>
      <c r="L344" s="176" t="s">
        <v>2349</v>
      </c>
      <c r="M344" s="176">
        <v>2021</v>
      </c>
      <c r="N344" s="176" t="s">
        <v>2604</v>
      </c>
      <c r="O344" s="176" t="s">
        <v>1</v>
      </c>
      <c r="P344" s="176" t="s">
        <v>1</v>
      </c>
      <c r="Q344" s="176" t="s">
        <v>1</v>
      </c>
      <c r="R344" s="176" t="s">
        <v>1</v>
      </c>
      <c r="S344" s="176" t="s">
        <v>1</v>
      </c>
      <c r="T344" s="176" t="s">
        <v>1</v>
      </c>
      <c r="U344" s="176" t="s">
        <v>1</v>
      </c>
      <c r="V344" s="176" t="s">
        <v>1</v>
      </c>
      <c r="W344" s="176" t="s">
        <v>1</v>
      </c>
      <c r="X344" s="176" t="s">
        <v>1</v>
      </c>
      <c r="Y344" s="176" t="s">
        <v>1</v>
      </c>
      <c r="Z344" s="176" t="s">
        <v>1</v>
      </c>
      <c r="AA344" s="176" t="s">
        <v>1</v>
      </c>
      <c r="AB344" s="176" t="s">
        <v>6600</v>
      </c>
      <c r="AC344" s="176" t="s">
        <v>6603</v>
      </c>
      <c r="AD344" s="176" t="s">
        <v>6611</v>
      </c>
      <c r="AE344" s="25" t="s">
        <v>2603</v>
      </c>
      <c r="AF344" s="344" t="s">
        <v>7145</v>
      </c>
      <c r="AG344" s="344" t="s">
        <v>7145</v>
      </c>
      <c r="AH344" s="59"/>
      <c r="AJ344" s="368"/>
    </row>
    <row r="345" spans="1:36" s="176" customFormat="1">
      <c r="B345" s="176" t="s">
        <v>2602</v>
      </c>
      <c r="C345" s="184" t="s">
        <v>1691</v>
      </c>
      <c r="D345" s="178">
        <v>20</v>
      </c>
      <c r="E345" s="178" t="s">
        <v>1</v>
      </c>
      <c r="F345" s="178" t="s">
        <v>1</v>
      </c>
      <c r="G345" s="178"/>
      <c r="H345" s="178" t="s">
        <v>1</v>
      </c>
      <c r="I345" s="176" t="s">
        <v>2601</v>
      </c>
      <c r="K345" s="176" t="s">
        <v>2045</v>
      </c>
      <c r="L345" s="176" t="s">
        <v>2600</v>
      </c>
      <c r="M345" s="177" t="s">
        <v>1</v>
      </c>
      <c r="O345" s="176" t="s">
        <v>1</v>
      </c>
      <c r="P345" s="176" t="s">
        <v>1</v>
      </c>
      <c r="Q345" s="176" t="s">
        <v>1</v>
      </c>
      <c r="R345" s="176" t="s">
        <v>1</v>
      </c>
      <c r="S345" s="176" t="s">
        <v>1</v>
      </c>
      <c r="T345" s="176" t="s">
        <v>1</v>
      </c>
      <c r="U345" s="176" t="s">
        <v>1</v>
      </c>
      <c r="V345" s="176" t="s">
        <v>1</v>
      </c>
      <c r="W345" s="176" t="s">
        <v>1</v>
      </c>
      <c r="X345" s="176" t="s">
        <v>1</v>
      </c>
      <c r="Y345" s="176" t="s">
        <v>1</v>
      </c>
      <c r="Z345" s="176" t="s">
        <v>1</v>
      </c>
      <c r="AA345" s="176" t="s">
        <v>1</v>
      </c>
      <c r="AB345" s="176" t="s">
        <v>2074</v>
      </c>
      <c r="AD345" s="176" t="s">
        <v>2081</v>
      </c>
      <c r="AE345" s="25" t="s">
        <v>2599</v>
      </c>
      <c r="AF345" s="344" t="s">
        <v>7145</v>
      </c>
      <c r="AG345" s="344" t="s">
        <v>7145</v>
      </c>
      <c r="AH345" s="59"/>
      <c r="AJ345" s="368"/>
    </row>
    <row r="346" spans="1:36" s="176" customFormat="1">
      <c r="B346" s="176" t="s">
        <v>4227</v>
      </c>
      <c r="C346" s="184" t="s">
        <v>1691</v>
      </c>
      <c r="D346" s="178">
        <v>20</v>
      </c>
      <c r="E346" s="189" t="s">
        <v>278</v>
      </c>
      <c r="F346" s="178">
        <v>1</v>
      </c>
      <c r="G346" s="178"/>
      <c r="H346" s="185">
        <v>44752</v>
      </c>
      <c r="I346" s="176" t="s">
        <v>4229</v>
      </c>
      <c r="J346" s="176" t="s">
        <v>4228</v>
      </c>
      <c r="K346" s="176" t="s">
        <v>1</v>
      </c>
      <c r="L346" s="176" t="s">
        <v>1</v>
      </c>
      <c r="M346" s="176">
        <v>2022</v>
      </c>
      <c r="O346" s="176" t="s">
        <v>1</v>
      </c>
      <c r="P346" s="176" t="s">
        <v>1</v>
      </c>
      <c r="Q346" s="176" t="s">
        <v>1</v>
      </c>
      <c r="R346" s="176" t="s">
        <v>1</v>
      </c>
      <c r="S346" s="176" t="s">
        <v>1</v>
      </c>
      <c r="T346" s="176" t="s">
        <v>1</v>
      </c>
      <c r="U346" s="176" t="s">
        <v>1</v>
      </c>
      <c r="V346" s="176" t="s">
        <v>1</v>
      </c>
      <c r="W346" s="176" t="s">
        <v>1</v>
      </c>
      <c r="X346" s="176" t="s">
        <v>1</v>
      </c>
      <c r="Y346" s="176" t="s">
        <v>1</v>
      </c>
      <c r="Z346" s="176" t="s">
        <v>1</v>
      </c>
      <c r="AA346" s="176" t="s">
        <v>1</v>
      </c>
      <c r="AB346" s="176" t="s">
        <v>6600</v>
      </c>
      <c r="AC346" s="176" t="s">
        <v>6608</v>
      </c>
      <c r="AD346" s="176" t="s">
        <v>6608</v>
      </c>
      <c r="AE346" s="25" t="s">
        <v>5017</v>
      </c>
      <c r="AF346" s="344" t="s">
        <v>7145</v>
      </c>
      <c r="AG346" s="344" t="s">
        <v>7145</v>
      </c>
      <c r="AH346" s="59"/>
      <c r="AJ346" s="368"/>
    </row>
    <row r="347" spans="1:36">
      <c r="A347" s="176"/>
      <c r="B347" s="176" t="s">
        <v>2598</v>
      </c>
      <c r="C347" s="184" t="s">
        <v>1691</v>
      </c>
      <c r="D347" s="178">
        <v>20</v>
      </c>
      <c r="E347" s="176" t="s">
        <v>278</v>
      </c>
      <c r="F347" s="178">
        <v>1.7</v>
      </c>
      <c r="G347" s="178"/>
      <c r="H347" s="185">
        <v>44852</v>
      </c>
      <c r="I347" s="176" t="s">
        <v>2597</v>
      </c>
      <c r="J347" s="176"/>
      <c r="K347" s="176" t="s">
        <v>2045</v>
      </c>
      <c r="L347" s="176" t="s">
        <v>2569</v>
      </c>
      <c r="M347" s="176">
        <v>2021</v>
      </c>
      <c r="N347" s="176"/>
      <c r="O347" s="176" t="s">
        <v>2596</v>
      </c>
      <c r="P347" s="179" t="s">
        <v>1</v>
      </c>
      <c r="Q347" s="179" t="s">
        <v>1</v>
      </c>
      <c r="R347" s="179" t="s">
        <v>1</v>
      </c>
      <c r="S347" s="179" t="s">
        <v>1</v>
      </c>
      <c r="T347" s="179" t="s">
        <v>1</v>
      </c>
      <c r="U347" s="179" t="s">
        <v>1</v>
      </c>
      <c r="V347" s="179" t="s">
        <v>1</v>
      </c>
      <c r="W347" s="179" t="s">
        <v>1</v>
      </c>
      <c r="X347" s="179" t="s">
        <v>1</v>
      </c>
      <c r="Y347" s="179" t="s">
        <v>1</v>
      </c>
      <c r="Z347" s="179" t="s">
        <v>1</v>
      </c>
      <c r="AA347" s="179" t="s">
        <v>1</v>
      </c>
      <c r="AB347" s="176" t="s">
        <v>2595</v>
      </c>
      <c r="AC347" s="176"/>
      <c r="AD347" s="176"/>
      <c r="AE347" s="176"/>
      <c r="AF347" s="344" t="s">
        <v>7145</v>
      </c>
      <c r="AG347" s="344" t="s">
        <v>7145</v>
      </c>
      <c r="AI347" s="176"/>
      <c r="AJ347" s="368"/>
    </row>
    <row r="348" spans="1:36">
      <c r="A348" s="176"/>
      <c r="B348" s="176" t="s">
        <v>2026</v>
      </c>
      <c r="C348" s="184" t="s">
        <v>1691</v>
      </c>
      <c r="D348" s="178">
        <v>20</v>
      </c>
      <c r="E348" s="176" t="s">
        <v>1</v>
      </c>
      <c r="F348" s="178" t="s">
        <v>1</v>
      </c>
      <c r="G348" s="178" t="s">
        <v>1</v>
      </c>
      <c r="H348" s="178" t="s">
        <v>1</v>
      </c>
      <c r="I348" s="176" t="s">
        <v>6717</v>
      </c>
      <c r="J348" s="176" t="s">
        <v>6714</v>
      </c>
      <c r="K348" s="176" t="s">
        <v>2045</v>
      </c>
      <c r="L348" s="176" t="s">
        <v>2630</v>
      </c>
      <c r="M348" s="176">
        <v>2016</v>
      </c>
      <c r="N348" s="176"/>
      <c r="O348" s="176" t="s">
        <v>1</v>
      </c>
      <c r="P348" s="176" t="s">
        <v>1</v>
      </c>
      <c r="Q348" s="176" t="s">
        <v>1</v>
      </c>
      <c r="R348" s="176" t="s">
        <v>1</v>
      </c>
      <c r="S348" s="176" t="s">
        <v>1</v>
      </c>
      <c r="T348" s="176" t="s">
        <v>1</v>
      </c>
      <c r="U348" s="176" t="s">
        <v>1</v>
      </c>
      <c r="V348" s="176" t="s">
        <v>1</v>
      </c>
      <c r="W348" s="176" t="s">
        <v>1</v>
      </c>
      <c r="X348" s="176" t="s">
        <v>1</v>
      </c>
      <c r="Y348" s="176" t="s">
        <v>1</v>
      </c>
      <c r="Z348" s="176" t="s">
        <v>1</v>
      </c>
      <c r="AA348" s="176" t="s">
        <v>1</v>
      </c>
      <c r="AB348" s="176" t="s">
        <v>6600</v>
      </c>
      <c r="AC348" s="176" t="s">
        <v>6603</v>
      </c>
      <c r="AD348" s="176" t="s">
        <v>6715</v>
      </c>
      <c r="AE348" s="25" t="s">
        <v>6716</v>
      </c>
      <c r="AF348" s="344" t="s">
        <v>7145</v>
      </c>
      <c r="AG348" s="344" t="s">
        <v>7145</v>
      </c>
      <c r="AI348" s="176"/>
      <c r="AJ348" s="368"/>
    </row>
    <row r="349" spans="1:36">
      <c r="A349" s="176"/>
      <c r="B349" s="176" t="s">
        <v>2024</v>
      </c>
      <c r="C349" s="184" t="s">
        <v>1691</v>
      </c>
      <c r="D349" s="178">
        <v>20</v>
      </c>
      <c r="E349" s="178" t="s">
        <v>1</v>
      </c>
      <c r="F349" s="178" t="s">
        <v>1</v>
      </c>
      <c r="G349" s="178" t="s">
        <v>1</v>
      </c>
      <c r="H349" s="178" t="s">
        <v>1</v>
      </c>
      <c r="I349" s="176" t="s">
        <v>6719</v>
      </c>
      <c r="J349" s="176" t="s">
        <v>6722</v>
      </c>
      <c r="K349" s="176" t="s">
        <v>2045</v>
      </c>
      <c r="L349" s="176" t="s">
        <v>6720</v>
      </c>
      <c r="M349" s="176">
        <v>2021</v>
      </c>
      <c r="N349" s="176"/>
      <c r="O349" s="176" t="s">
        <v>1</v>
      </c>
      <c r="P349" s="176" t="s">
        <v>1</v>
      </c>
      <c r="Q349" s="176" t="s">
        <v>1</v>
      </c>
      <c r="R349" s="176" t="s">
        <v>1</v>
      </c>
      <c r="S349" s="176" t="s">
        <v>1</v>
      </c>
      <c r="T349" s="176" t="s">
        <v>1</v>
      </c>
      <c r="U349" s="176" t="s">
        <v>1</v>
      </c>
      <c r="V349" s="176" t="s">
        <v>1</v>
      </c>
      <c r="W349" s="176" t="s">
        <v>1</v>
      </c>
      <c r="X349" s="176" t="s">
        <v>1</v>
      </c>
      <c r="Y349" s="176" t="s">
        <v>1</v>
      </c>
      <c r="Z349" s="176" t="s">
        <v>1</v>
      </c>
      <c r="AA349" s="176" t="s">
        <v>1</v>
      </c>
      <c r="AB349" s="176" t="s">
        <v>6600</v>
      </c>
      <c r="AC349" s="176" t="s">
        <v>6603</v>
      </c>
      <c r="AD349" s="176" t="s">
        <v>6610</v>
      </c>
      <c r="AE349" s="25" t="s">
        <v>6721</v>
      </c>
      <c r="AF349" s="344" t="s">
        <v>7145</v>
      </c>
      <c r="AG349" s="344" t="s">
        <v>7145</v>
      </c>
      <c r="AI349" s="176"/>
      <c r="AJ349" s="368"/>
    </row>
    <row r="350" spans="1:36">
      <c r="B350" s="72" t="s">
        <v>2005</v>
      </c>
      <c r="C350" s="237" t="s">
        <v>1691</v>
      </c>
      <c r="D350" s="238">
        <v>20</v>
      </c>
      <c r="E350" s="238" t="s">
        <v>4</v>
      </c>
      <c r="F350" s="238" t="s">
        <v>1</v>
      </c>
      <c r="G350" s="238" t="s">
        <v>1</v>
      </c>
      <c r="H350" s="78">
        <v>42744</v>
      </c>
      <c r="I350" s="238" t="s">
        <v>7592</v>
      </c>
      <c r="J350" s="238" t="s">
        <v>7594</v>
      </c>
      <c r="K350" s="238" t="s">
        <v>2045</v>
      </c>
      <c r="L350" s="238" t="s">
        <v>2142</v>
      </c>
      <c r="M350" s="72">
        <v>2011</v>
      </c>
      <c r="O350" s="238" t="s">
        <v>1</v>
      </c>
      <c r="P350" s="238" t="s">
        <v>1</v>
      </c>
      <c r="Q350" s="238" t="s">
        <v>1</v>
      </c>
      <c r="R350" s="238" t="s">
        <v>1</v>
      </c>
      <c r="S350" s="238" t="s">
        <v>1</v>
      </c>
      <c r="T350" s="238" t="s">
        <v>1</v>
      </c>
      <c r="U350" s="238" t="s">
        <v>1</v>
      </c>
      <c r="V350" s="238" t="s">
        <v>1</v>
      </c>
      <c r="W350" s="238" t="s">
        <v>1</v>
      </c>
      <c r="X350" s="238" t="s">
        <v>1</v>
      </c>
      <c r="Y350" s="238" t="s">
        <v>1</v>
      </c>
      <c r="Z350" s="238" t="s">
        <v>1</v>
      </c>
      <c r="AA350" s="238" t="s">
        <v>1</v>
      </c>
      <c r="AB350" s="165" t="s">
        <v>6600</v>
      </c>
      <c r="AC350" s="165" t="s">
        <v>6603</v>
      </c>
      <c r="AD350" s="238" t="s">
        <v>6611</v>
      </c>
      <c r="AE350" s="25" t="s">
        <v>7593</v>
      </c>
      <c r="AF350" s="344" t="s">
        <v>7145</v>
      </c>
      <c r="AG350" s="344" t="s">
        <v>7145</v>
      </c>
      <c r="AH350" s="72"/>
      <c r="AJ350" s="368"/>
    </row>
    <row r="351" spans="1:36">
      <c r="A351" s="176"/>
      <c r="B351" s="176" t="s">
        <v>122</v>
      </c>
      <c r="C351" s="184" t="s">
        <v>1691</v>
      </c>
      <c r="D351" s="178">
        <v>10</v>
      </c>
      <c r="E351" s="176" t="s">
        <v>4</v>
      </c>
      <c r="F351" s="178">
        <v>2</v>
      </c>
      <c r="G351" s="178"/>
      <c r="H351" s="185">
        <v>44658</v>
      </c>
      <c r="I351" s="176" t="s">
        <v>2594</v>
      </c>
      <c r="J351" s="176" t="s">
        <v>2593</v>
      </c>
      <c r="K351" s="176" t="s">
        <v>2045</v>
      </c>
      <c r="L351" s="176" t="s">
        <v>2524</v>
      </c>
      <c r="M351" s="176">
        <v>2019</v>
      </c>
      <c r="N351" s="176"/>
      <c r="O351" s="176" t="s">
        <v>2592</v>
      </c>
      <c r="P351" s="179" t="s">
        <v>4</v>
      </c>
      <c r="Q351" s="179">
        <v>4.5</v>
      </c>
      <c r="R351" s="179" t="s">
        <v>2591</v>
      </c>
      <c r="S351" s="179" t="s">
        <v>4</v>
      </c>
      <c r="T351" s="179">
        <v>0.35</v>
      </c>
      <c r="U351" s="179" t="s">
        <v>123</v>
      </c>
      <c r="V351" s="179" t="s">
        <v>1</v>
      </c>
      <c r="W351" s="179" t="s">
        <v>1</v>
      </c>
      <c r="X351" s="179" t="s">
        <v>1</v>
      </c>
      <c r="Y351" s="179" t="s">
        <v>1</v>
      </c>
      <c r="Z351" s="179" t="s">
        <v>1</v>
      </c>
      <c r="AA351" s="179" t="s">
        <v>1</v>
      </c>
      <c r="AB351" s="176" t="s">
        <v>6600</v>
      </c>
      <c r="AC351" s="176" t="s">
        <v>6603</v>
      </c>
      <c r="AD351" s="176" t="s">
        <v>6646</v>
      </c>
      <c r="AE351" s="25" t="s">
        <v>4468</v>
      </c>
      <c r="AF351" s="344" t="s">
        <v>7145</v>
      </c>
      <c r="AG351" s="344" t="s">
        <v>7145</v>
      </c>
      <c r="AH351" s="59"/>
      <c r="AI351" s="176"/>
      <c r="AJ351" s="368"/>
    </row>
    <row r="352" spans="1:36">
      <c r="A352" s="176"/>
      <c r="B352" s="176" t="s">
        <v>2590</v>
      </c>
      <c r="C352" s="184" t="s">
        <v>1691</v>
      </c>
      <c r="D352" s="178">
        <v>10</v>
      </c>
      <c r="E352" s="176" t="s">
        <v>4</v>
      </c>
      <c r="F352" s="178">
        <v>3</v>
      </c>
      <c r="G352" s="178"/>
      <c r="H352" s="185">
        <v>44348</v>
      </c>
      <c r="I352" s="176" t="s">
        <v>2589</v>
      </c>
      <c r="J352" s="176"/>
      <c r="K352" s="176" t="s">
        <v>2308</v>
      </c>
      <c r="L352" s="176" t="s">
        <v>2062</v>
      </c>
      <c r="M352" s="190">
        <v>44166</v>
      </c>
      <c r="N352" s="176"/>
      <c r="O352" s="176" t="s">
        <v>2588</v>
      </c>
      <c r="P352" s="179" t="s">
        <v>278</v>
      </c>
      <c r="Q352" s="179">
        <v>0.5</v>
      </c>
      <c r="R352" s="179" t="s">
        <v>1</v>
      </c>
      <c r="S352" s="179" t="s">
        <v>1</v>
      </c>
      <c r="T352" s="179" t="s">
        <v>1</v>
      </c>
      <c r="U352" s="179" t="s">
        <v>1</v>
      </c>
      <c r="V352" s="179" t="s">
        <v>1</v>
      </c>
      <c r="W352" s="179" t="s">
        <v>1</v>
      </c>
      <c r="X352" s="179" t="s">
        <v>1</v>
      </c>
      <c r="Y352" s="179" t="s">
        <v>1</v>
      </c>
      <c r="Z352" s="179" t="s">
        <v>1</v>
      </c>
      <c r="AA352" s="179" t="s">
        <v>1</v>
      </c>
      <c r="AB352" s="176" t="s">
        <v>6645</v>
      </c>
      <c r="AC352" s="176"/>
      <c r="AD352" s="176" t="s">
        <v>6644</v>
      </c>
      <c r="AE352" s="176"/>
      <c r="AF352" s="344" t="s">
        <v>7145</v>
      </c>
      <c r="AG352" s="344" t="s">
        <v>7145</v>
      </c>
      <c r="AI352" s="176"/>
      <c r="AJ352" s="368"/>
    </row>
    <row r="353" spans="1:36">
      <c r="B353" s="72" t="s">
        <v>2011</v>
      </c>
      <c r="C353" s="237" t="s">
        <v>1691</v>
      </c>
      <c r="D353" s="72">
        <v>10</v>
      </c>
      <c r="E353" s="238" t="s">
        <v>4</v>
      </c>
      <c r="F353" s="87">
        <v>0.97</v>
      </c>
      <c r="G353" s="248">
        <f>F353</f>
        <v>0.97</v>
      </c>
      <c r="H353" s="78">
        <v>44068</v>
      </c>
      <c r="I353" s="238" t="s">
        <v>2850</v>
      </c>
      <c r="J353" s="238" t="s">
        <v>7418</v>
      </c>
      <c r="K353" s="238" t="s">
        <v>2045</v>
      </c>
      <c r="L353" s="238" t="s">
        <v>2056</v>
      </c>
      <c r="M353" s="78">
        <v>43219</v>
      </c>
      <c r="N353" s="238"/>
      <c r="O353" s="238" t="s">
        <v>7419</v>
      </c>
      <c r="P353" s="238" t="s">
        <v>4</v>
      </c>
      <c r="Q353" s="238" t="s">
        <v>1</v>
      </c>
      <c r="R353" s="238" t="s">
        <v>774</v>
      </c>
      <c r="S353" s="238" t="s">
        <v>1</v>
      </c>
      <c r="T353" s="238" t="s">
        <v>1</v>
      </c>
      <c r="U353" s="238" t="s">
        <v>1</v>
      </c>
      <c r="V353" s="238" t="s">
        <v>1</v>
      </c>
      <c r="W353" s="238" t="s">
        <v>1</v>
      </c>
      <c r="X353" s="238" t="s">
        <v>1</v>
      </c>
      <c r="Y353" s="238" t="s">
        <v>1</v>
      </c>
      <c r="Z353" s="238" t="s">
        <v>1</v>
      </c>
      <c r="AA353" s="238" t="s">
        <v>1</v>
      </c>
      <c r="AB353" s="165" t="s">
        <v>6600</v>
      </c>
      <c r="AC353" s="165" t="s">
        <v>6603</v>
      </c>
      <c r="AD353" s="238" t="s">
        <v>6610</v>
      </c>
      <c r="AE353" s="238" t="s">
        <v>7420</v>
      </c>
      <c r="AF353" s="344" t="s">
        <v>7145</v>
      </c>
      <c r="AG353" s="344" t="s">
        <v>7145</v>
      </c>
      <c r="AH353" s="72"/>
      <c r="AJ353" s="368"/>
    </row>
    <row r="354" spans="1:36">
      <c r="A354" s="176"/>
      <c r="B354" s="176" t="s">
        <v>2587</v>
      </c>
      <c r="C354" s="184" t="s">
        <v>1691</v>
      </c>
      <c r="D354" s="178">
        <v>4</v>
      </c>
      <c r="E354" s="176" t="s">
        <v>4</v>
      </c>
      <c r="F354" s="178">
        <v>0.21</v>
      </c>
      <c r="G354" s="178"/>
      <c r="H354" s="185">
        <v>44682</v>
      </c>
      <c r="I354" s="176" t="s">
        <v>2586</v>
      </c>
      <c r="J354" s="176" t="s">
        <v>2585</v>
      </c>
      <c r="K354" s="176" t="s">
        <v>2308</v>
      </c>
      <c r="L354" s="176" t="s">
        <v>2579</v>
      </c>
      <c r="M354" s="176">
        <v>2021</v>
      </c>
      <c r="N354" s="176"/>
      <c r="O354" s="176" t="s">
        <v>2584</v>
      </c>
      <c r="P354" s="179" t="s">
        <v>1</v>
      </c>
      <c r="Q354" s="179" t="s">
        <v>1</v>
      </c>
      <c r="R354" s="179" t="s">
        <v>1</v>
      </c>
      <c r="S354" s="179" t="s">
        <v>1</v>
      </c>
      <c r="T354" s="179" t="s">
        <v>1</v>
      </c>
      <c r="U354" s="179" t="s">
        <v>1</v>
      </c>
      <c r="V354" s="179" t="s">
        <v>1</v>
      </c>
      <c r="W354" s="179" t="s">
        <v>1</v>
      </c>
      <c r="X354" s="179" t="s">
        <v>1</v>
      </c>
      <c r="Y354" s="179" t="s">
        <v>1</v>
      </c>
      <c r="Z354" s="179" t="s">
        <v>1</v>
      </c>
      <c r="AA354" s="179" t="s">
        <v>1</v>
      </c>
      <c r="AB354" s="176" t="s">
        <v>2595</v>
      </c>
      <c r="AC354" s="176"/>
      <c r="AD354" s="176" t="s">
        <v>6643</v>
      </c>
      <c r="AE354" s="176"/>
      <c r="AF354" s="344" t="s">
        <v>7145</v>
      </c>
      <c r="AG354" s="344" t="s">
        <v>7145</v>
      </c>
      <c r="AI354" s="176"/>
      <c r="AJ354" s="368"/>
    </row>
    <row r="355" spans="1:36">
      <c r="A355" s="176"/>
      <c r="B355" s="176" t="s">
        <v>2583</v>
      </c>
      <c r="C355" s="184" t="s">
        <v>1691</v>
      </c>
      <c r="D355" s="178">
        <v>0.5</v>
      </c>
      <c r="E355" s="176" t="s">
        <v>278</v>
      </c>
      <c r="F355" s="178">
        <v>0.5</v>
      </c>
      <c r="G355" s="178"/>
      <c r="H355" s="185">
        <v>43173</v>
      </c>
      <c r="I355" s="176" t="s">
        <v>2146</v>
      </c>
      <c r="J355" s="176" t="s">
        <v>1</v>
      </c>
      <c r="K355" s="176" t="s">
        <v>1</v>
      </c>
      <c r="L355" s="176" t="s">
        <v>1</v>
      </c>
      <c r="M355" s="177" t="s">
        <v>1</v>
      </c>
      <c r="N355" s="176"/>
      <c r="O355" s="176" t="s">
        <v>2582</v>
      </c>
      <c r="P355" s="179" t="s">
        <v>1</v>
      </c>
      <c r="Q355" s="179" t="s">
        <v>1</v>
      </c>
      <c r="R355" s="179" t="s">
        <v>1</v>
      </c>
      <c r="S355" s="179" t="s">
        <v>1</v>
      </c>
      <c r="T355" s="179" t="s">
        <v>1</v>
      </c>
      <c r="U355" s="179" t="s">
        <v>1</v>
      </c>
      <c r="V355" s="179" t="s">
        <v>1</v>
      </c>
      <c r="W355" s="179" t="s">
        <v>1</v>
      </c>
      <c r="X355" s="179" t="s">
        <v>1</v>
      </c>
      <c r="Y355" s="179" t="s">
        <v>1</v>
      </c>
      <c r="Z355" s="179" t="s">
        <v>1</v>
      </c>
      <c r="AA355" s="179" t="s">
        <v>1</v>
      </c>
      <c r="AB355" s="176" t="s">
        <v>2581</v>
      </c>
      <c r="AC355" s="176"/>
      <c r="AD355" s="176"/>
      <c r="AE355" s="176"/>
      <c r="AF355" s="344" t="s">
        <v>7145</v>
      </c>
      <c r="AG355" s="344" t="s">
        <v>7145</v>
      </c>
      <c r="AI355" s="176"/>
      <c r="AJ355" s="368"/>
    </row>
    <row r="356" spans="1:36">
      <c r="B356" s="72" t="s">
        <v>2574</v>
      </c>
      <c r="C356" s="73" t="s">
        <v>1691</v>
      </c>
      <c r="D356" s="74" t="s">
        <v>1</v>
      </c>
      <c r="E356" s="74" t="s">
        <v>1</v>
      </c>
      <c r="F356" s="74" t="s">
        <v>1</v>
      </c>
      <c r="H356" s="74" t="s">
        <v>1</v>
      </c>
      <c r="K356" s="72" t="s">
        <v>2308</v>
      </c>
      <c r="L356" s="72" t="s">
        <v>2561</v>
      </c>
      <c r="M356" s="72">
        <v>2023</v>
      </c>
      <c r="O356" s="72" t="s">
        <v>1</v>
      </c>
      <c r="P356" s="72" t="s">
        <v>1</v>
      </c>
      <c r="Q356" s="72" t="s">
        <v>1</v>
      </c>
      <c r="R356" s="72" t="s">
        <v>1</v>
      </c>
      <c r="S356" s="72" t="s">
        <v>1</v>
      </c>
      <c r="T356" s="72" t="s">
        <v>1</v>
      </c>
      <c r="U356" s="72" t="s">
        <v>1</v>
      </c>
      <c r="V356" s="72" t="s">
        <v>1</v>
      </c>
      <c r="W356" s="72" t="s">
        <v>1</v>
      </c>
      <c r="X356" s="72" t="s">
        <v>1</v>
      </c>
      <c r="Y356" s="72" t="s">
        <v>1</v>
      </c>
      <c r="Z356" s="72" t="s">
        <v>1</v>
      </c>
      <c r="AA356" s="72" t="s">
        <v>1</v>
      </c>
      <c r="AF356" s="344" t="s">
        <v>7145</v>
      </c>
      <c r="AG356" s="344" t="s">
        <v>7145</v>
      </c>
      <c r="AJ356" s="368"/>
    </row>
    <row r="357" spans="1:36">
      <c r="B357" s="72" t="s">
        <v>2571</v>
      </c>
      <c r="C357" s="73" t="s">
        <v>1691</v>
      </c>
      <c r="D357" s="74" t="s">
        <v>1</v>
      </c>
      <c r="E357" s="74" t="s">
        <v>1</v>
      </c>
      <c r="F357" s="74" t="s">
        <v>1</v>
      </c>
      <c r="H357" s="74" t="s">
        <v>1</v>
      </c>
      <c r="I357" s="72" t="s">
        <v>2570</v>
      </c>
      <c r="K357" s="72" t="s">
        <v>2308</v>
      </c>
      <c r="L357" s="72" t="s">
        <v>2569</v>
      </c>
      <c r="M357" s="72">
        <v>2023</v>
      </c>
      <c r="O357" s="72" t="s">
        <v>1</v>
      </c>
      <c r="P357" s="72" t="s">
        <v>1</v>
      </c>
      <c r="Q357" s="72" t="s">
        <v>1</v>
      </c>
      <c r="R357" s="72" t="s">
        <v>1</v>
      </c>
      <c r="S357" s="72" t="s">
        <v>1</v>
      </c>
      <c r="T357" s="72" t="s">
        <v>1</v>
      </c>
      <c r="U357" s="72" t="s">
        <v>1</v>
      </c>
      <c r="V357" s="72" t="s">
        <v>1</v>
      </c>
      <c r="W357" s="72" t="s">
        <v>1</v>
      </c>
      <c r="X357" s="72" t="s">
        <v>1</v>
      </c>
      <c r="Y357" s="72" t="s">
        <v>1</v>
      </c>
      <c r="Z357" s="72" t="s">
        <v>1</v>
      </c>
      <c r="AA357" s="72" t="s">
        <v>1</v>
      </c>
      <c r="AB357" s="72" t="s">
        <v>1</v>
      </c>
      <c r="AF357" s="344" t="s">
        <v>7145</v>
      </c>
      <c r="AG357" s="344" t="s">
        <v>7145</v>
      </c>
      <c r="AJ357" s="368"/>
    </row>
    <row r="358" spans="1:36">
      <c r="B358" s="72" t="s">
        <v>2565</v>
      </c>
      <c r="C358" s="73" t="s">
        <v>1691</v>
      </c>
      <c r="D358" s="74" t="s">
        <v>1</v>
      </c>
      <c r="E358" s="74" t="s">
        <v>1</v>
      </c>
      <c r="F358" s="74" t="s">
        <v>1</v>
      </c>
      <c r="H358" s="74" t="s">
        <v>1</v>
      </c>
      <c r="I358" s="72" t="s">
        <v>2564</v>
      </c>
      <c r="K358" s="72" t="s">
        <v>2045</v>
      </c>
      <c r="L358" s="72" t="s">
        <v>2546</v>
      </c>
      <c r="M358" s="75" t="s">
        <v>1</v>
      </c>
      <c r="O358" s="76" t="s">
        <v>1</v>
      </c>
      <c r="P358" s="76" t="s">
        <v>1</v>
      </c>
      <c r="Q358" s="76" t="s">
        <v>1</v>
      </c>
      <c r="R358" s="76" t="s">
        <v>1</v>
      </c>
      <c r="S358" s="76" t="s">
        <v>1</v>
      </c>
      <c r="T358" s="76" t="s">
        <v>1</v>
      </c>
      <c r="U358" s="76" t="s">
        <v>1</v>
      </c>
      <c r="V358" s="76" t="s">
        <v>1</v>
      </c>
      <c r="W358" s="76" t="s">
        <v>1</v>
      </c>
      <c r="X358" s="76" t="s">
        <v>1</v>
      </c>
      <c r="Y358" s="76" t="s">
        <v>1</v>
      </c>
      <c r="Z358" s="76" t="s">
        <v>1</v>
      </c>
      <c r="AA358" s="76" t="s">
        <v>1</v>
      </c>
      <c r="AB358" s="76" t="s">
        <v>1</v>
      </c>
      <c r="AC358" s="76"/>
      <c r="AD358" s="76"/>
      <c r="AF358" s="344" t="s">
        <v>7145</v>
      </c>
      <c r="AG358" s="344" t="s">
        <v>7145</v>
      </c>
      <c r="AJ358" s="368"/>
    </row>
    <row r="359" spans="1:36">
      <c r="B359" s="72" t="s">
        <v>2560</v>
      </c>
      <c r="C359" s="73" t="s">
        <v>1691</v>
      </c>
      <c r="D359" s="74" t="s">
        <v>1</v>
      </c>
      <c r="E359" s="74" t="s">
        <v>1</v>
      </c>
      <c r="F359" s="74" t="s">
        <v>1</v>
      </c>
      <c r="H359" s="74" t="s">
        <v>1</v>
      </c>
      <c r="K359" s="72" t="s">
        <v>2559</v>
      </c>
      <c r="L359" s="72" t="s">
        <v>2559</v>
      </c>
      <c r="M359" s="74" t="s">
        <v>1</v>
      </c>
      <c r="O359" s="80" t="s">
        <v>1</v>
      </c>
      <c r="P359" s="80" t="s">
        <v>1</v>
      </c>
      <c r="Q359" s="80" t="s">
        <v>1</v>
      </c>
      <c r="R359" s="80" t="s">
        <v>1</v>
      </c>
      <c r="S359" s="80" t="s">
        <v>1</v>
      </c>
      <c r="T359" s="80" t="s">
        <v>1</v>
      </c>
      <c r="U359" s="80" t="s">
        <v>1</v>
      </c>
      <c r="V359" s="80" t="s">
        <v>1</v>
      </c>
      <c r="W359" s="80" t="s">
        <v>1</v>
      </c>
      <c r="X359" s="80" t="s">
        <v>1</v>
      </c>
      <c r="Y359" s="80" t="s">
        <v>1</v>
      </c>
      <c r="Z359" s="80" t="s">
        <v>1</v>
      </c>
      <c r="AA359" s="80" t="s">
        <v>1</v>
      </c>
      <c r="AB359" s="80" t="s">
        <v>1</v>
      </c>
      <c r="AC359" s="80"/>
      <c r="AD359" s="80"/>
      <c r="AE359" s="74"/>
      <c r="AF359" s="344" t="s">
        <v>7145</v>
      </c>
      <c r="AG359" s="344" t="s">
        <v>7145</v>
      </c>
      <c r="AH359" s="61"/>
      <c r="AJ359" s="368"/>
    </row>
    <row r="360" spans="1:36">
      <c r="B360" s="72" t="s">
        <v>2558</v>
      </c>
      <c r="C360" s="73" t="s">
        <v>1691</v>
      </c>
      <c r="D360" s="74" t="s">
        <v>1</v>
      </c>
      <c r="E360" s="74" t="s">
        <v>1</v>
      </c>
      <c r="F360" s="74" t="s">
        <v>1</v>
      </c>
      <c r="H360" s="74" t="s">
        <v>1</v>
      </c>
      <c r="I360" s="72" t="s">
        <v>2557</v>
      </c>
      <c r="K360" s="72" t="s">
        <v>2308</v>
      </c>
      <c r="L360" s="72" t="s">
        <v>2556</v>
      </c>
      <c r="M360" s="75" t="s">
        <v>1</v>
      </c>
      <c r="O360" s="80" t="s">
        <v>1</v>
      </c>
      <c r="P360" s="80" t="s">
        <v>1</v>
      </c>
      <c r="Q360" s="80" t="s">
        <v>1</v>
      </c>
      <c r="R360" s="80" t="s">
        <v>1</v>
      </c>
      <c r="S360" s="80" t="s">
        <v>1</v>
      </c>
      <c r="T360" s="80" t="s">
        <v>1</v>
      </c>
      <c r="U360" s="80" t="s">
        <v>1</v>
      </c>
      <c r="V360" s="80" t="s">
        <v>1</v>
      </c>
      <c r="W360" s="80" t="s">
        <v>1</v>
      </c>
      <c r="X360" s="80" t="s">
        <v>1</v>
      </c>
      <c r="Y360" s="80" t="s">
        <v>1</v>
      </c>
      <c r="Z360" s="80" t="s">
        <v>1</v>
      </c>
      <c r="AA360" s="80" t="s">
        <v>1</v>
      </c>
      <c r="AB360" s="80" t="s">
        <v>1</v>
      </c>
      <c r="AC360" s="80"/>
      <c r="AD360" s="80"/>
      <c r="AF360" s="344" t="s">
        <v>7145</v>
      </c>
      <c r="AG360" s="344" t="s">
        <v>7145</v>
      </c>
      <c r="AJ360" s="368"/>
    </row>
    <row r="361" spans="1:36">
      <c r="B361" s="72" t="s">
        <v>2553</v>
      </c>
      <c r="C361" s="73" t="s">
        <v>1691</v>
      </c>
      <c r="D361" s="74" t="s">
        <v>1</v>
      </c>
      <c r="E361" s="74" t="s">
        <v>1</v>
      </c>
      <c r="F361" s="74" t="s">
        <v>1</v>
      </c>
      <c r="H361" s="74" t="s">
        <v>1</v>
      </c>
      <c r="I361" s="72" t="s">
        <v>2467</v>
      </c>
      <c r="K361" s="72" t="s">
        <v>2308</v>
      </c>
      <c r="L361" s="72" t="s">
        <v>2467</v>
      </c>
      <c r="M361" s="72">
        <v>2021</v>
      </c>
      <c r="O361" s="72" t="s">
        <v>1</v>
      </c>
      <c r="P361" s="72" t="s">
        <v>1</v>
      </c>
      <c r="Q361" s="72" t="s">
        <v>1</v>
      </c>
      <c r="R361" s="72" t="s">
        <v>1</v>
      </c>
      <c r="S361" s="72" t="s">
        <v>1</v>
      </c>
      <c r="T361" s="72" t="s">
        <v>1</v>
      </c>
      <c r="U361" s="72" t="s">
        <v>1</v>
      </c>
      <c r="V361" s="72" t="s">
        <v>1</v>
      </c>
      <c r="W361" s="72" t="s">
        <v>1</v>
      </c>
      <c r="X361" s="72" t="s">
        <v>1</v>
      </c>
      <c r="Y361" s="72" t="s">
        <v>1</v>
      </c>
      <c r="Z361" s="72" t="s">
        <v>1</v>
      </c>
      <c r="AA361" s="72" t="s">
        <v>1</v>
      </c>
      <c r="AB361" s="165" t="s">
        <v>6600</v>
      </c>
      <c r="AC361" s="165" t="s">
        <v>6603</v>
      </c>
      <c r="AD361" s="165" t="s">
        <v>6610</v>
      </c>
      <c r="AF361" s="344" t="s">
        <v>7145</v>
      </c>
      <c r="AG361" s="344" t="s">
        <v>7145</v>
      </c>
      <c r="AJ361" s="368"/>
    </row>
    <row r="362" spans="1:36">
      <c r="B362" s="72" t="s">
        <v>2552</v>
      </c>
      <c r="C362" s="73" t="s">
        <v>1691</v>
      </c>
      <c r="D362" s="74" t="s">
        <v>1</v>
      </c>
      <c r="E362" s="74" t="s">
        <v>1</v>
      </c>
      <c r="F362" s="74" t="s">
        <v>1</v>
      </c>
      <c r="H362" s="74" t="s">
        <v>1</v>
      </c>
      <c r="I362" s="72" t="s">
        <v>2551</v>
      </c>
      <c r="K362" s="72" t="s">
        <v>2308</v>
      </c>
      <c r="L362" s="72" t="s">
        <v>2467</v>
      </c>
      <c r="M362" s="72">
        <v>2022</v>
      </c>
      <c r="O362" s="80" t="s">
        <v>1</v>
      </c>
      <c r="P362" s="80" t="s">
        <v>1</v>
      </c>
      <c r="Q362" s="80" t="s">
        <v>1</v>
      </c>
      <c r="R362" s="80" t="s">
        <v>1</v>
      </c>
      <c r="S362" s="80" t="s">
        <v>1</v>
      </c>
      <c r="T362" s="80" t="s">
        <v>1</v>
      </c>
      <c r="U362" s="80" t="s">
        <v>1</v>
      </c>
      <c r="V362" s="80" t="s">
        <v>1</v>
      </c>
      <c r="W362" s="80" t="s">
        <v>1</v>
      </c>
      <c r="X362" s="80" t="s">
        <v>1</v>
      </c>
      <c r="Y362" s="80" t="s">
        <v>1</v>
      </c>
      <c r="Z362" s="80" t="s">
        <v>1</v>
      </c>
      <c r="AA362" s="80" t="s">
        <v>1</v>
      </c>
      <c r="AB362" s="80" t="s">
        <v>1</v>
      </c>
      <c r="AC362" s="80"/>
      <c r="AD362" s="80"/>
      <c r="AF362" s="344" t="s">
        <v>7145</v>
      </c>
      <c r="AG362" s="344" t="s">
        <v>7145</v>
      </c>
      <c r="AJ362" s="368"/>
    </row>
    <row r="363" spans="1:36">
      <c r="B363" s="72" t="s">
        <v>2550</v>
      </c>
      <c r="C363" s="73" t="s">
        <v>1691</v>
      </c>
      <c r="D363" s="74" t="s">
        <v>1</v>
      </c>
      <c r="E363" s="74" t="s">
        <v>1</v>
      </c>
      <c r="F363" s="74" t="s">
        <v>1</v>
      </c>
      <c r="H363" s="74" t="s">
        <v>1</v>
      </c>
      <c r="I363" s="72" t="s">
        <v>2549</v>
      </c>
      <c r="K363" s="72" t="s">
        <v>2308</v>
      </c>
      <c r="L363" s="72" t="s">
        <v>2467</v>
      </c>
      <c r="M363" s="75" t="s">
        <v>1</v>
      </c>
      <c r="O363" s="72" t="s">
        <v>1</v>
      </c>
      <c r="P363" s="72" t="s">
        <v>1</v>
      </c>
      <c r="Q363" s="72" t="s">
        <v>1</v>
      </c>
      <c r="R363" s="72" t="s">
        <v>1</v>
      </c>
      <c r="S363" s="72" t="s">
        <v>1</v>
      </c>
      <c r="T363" s="72" t="s">
        <v>1</v>
      </c>
      <c r="U363" s="72" t="s">
        <v>1</v>
      </c>
      <c r="V363" s="72" t="s">
        <v>1</v>
      </c>
      <c r="W363" s="72" t="s">
        <v>1</v>
      </c>
      <c r="X363" s="72" t="s">
        <v>1</v>
      </c>
      <c r="Y363" s="72" t="s">
        <v>1</v>
      </c>
      <c r="Z363" s="72" t="s">
        <v>1</v>
      </c>
      <c r="AA363" s="72" t="s">
        <v>1</v>
      </c>
      <c r="AB363" s="72" t="s">
        <v>1</v>
      </c>
      <c r="AF363" s="344" t="s">
        <v>7145</v>
      </c>
      <c r="AG363" s="344" t="s">
        <v>7145</v>
      </c>
      <c r="AJ363" s="368"/>
    </row>
    <row r="364" spans="1:36">
      <c r="B364" s="72" t="s">
        <v>2548</v>
      </c>
      <c r="C364" s="73" t="s">
        <v>1691</v>
      </c>
      <c r="D364" s="74" t="s">
        <v>1</v>
      </c>
      <c r="E364" s="74" t="s">
        <v>1</v>
      </c>
      <c r="F364" s="74" t="s">
        <v>1</v>
      </c>
      <c r="H364" s="74" t="s">
        <v>1</v>
      </c>
      <c r="I364" s="72" t="s">
        <v>2547</v>
      </c>
      <c r="K364" s="72" t="s">
        <v>2308</v>
      </c>
      <c r="L364" s="72" t="s">
        <v>2546</v>
      </c>
      <c r="M364" s="75" t="s">
        <v>1</v>
      </c>
      <c r="O364" s="72" t="s">
        <v>1</v>
      </c>
      <c r="P364" s="72" t="s">
        <v>1</v>
      </c>
      <c r="Q364" s="72" t="s">
        <v>1</v>
      </c>
      <c r="R364" s="72" t="s">
        <v>1</v>
      </c>
      <c r="S364" s="72" t="s">
        <v>1</v>
      </c>
      <c r="T364" s="72" t="s">
        <v>1</v>
      </c>
      <c r="U364" s="72" t="s">
        <v>1</v>
      </c>
      <c r="V364" s="72" t="s">
        <v>1</v>
      </c>
      <c r="W364" s="72" t="s">
        <v>1</v>
      </c>
      <c r="X364" s="72" t="s">
        <v>1</v>
      </c>
      <c r="Y364" s="72" t="s">
        <v>1</v>
      </c>
      <c r="Z364" s="72" t="s">
        <v>1</v>
      </c>
      <c r="AA364" s="72" t="s">
        <v>1</v>
      </c>
      <c r="AB364" s="72" t="s">
        <v>1</v>
      </c>
      <c r="AF364" s="344" t="s">
        <v>7145</v>
      </c>
      <c r="AG364" s="344" t="s">
        <v>7145</v>
      </c>
      <c r="AJ364" s="368"/>
    </row>
    <row r="365" spans="1:36">
      <c r="B365" s="72" t="s">
        <v>2539</v>
      </c>
      <c r="C365" s="73" t="s">
        <v>1691</v>
      </c>
      <c r="D365" s="74" t="s">
        <v>1</v>
      </c>
      <c r="E365" s="74" t="s">
        <v>1</v>
      </c>
      <c r="F365" s="74" t="s">
        <v>1</v>
      </c>
      <c r="H365" s="74" t="s">
        <v>1</v>
      </c>
      <c r="I365" s="72" t="s">
        <v>2538</v>
      </c>
      <c r="J365" s="72" t="s">
        <v>2537</v>
      </c>
      <c r="K365" s="72" t="s">
        <v>2045</v>
      </c>
      <c r="L365" s="72" t="s">
        <v>2536</v>
      </c>
      <c r="M365" s="72">
        <v>2018</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165" t="s">
        <v>6600</v>
      </c>
      <c r="AC365" s="165" t="s">
        <v>6603</v>
      </c>
      <c r="AD365" s="165" t="s">
        <v>6639</v>
      </c>
      <c r="AE365" s="25" t="s">
        <v>2535</v>
      </c>
      <c r="AF365" s="344" t="s">
        <v>7145</v>
      </c>
      <c r="AG365" s="344" t="s">
        <v>7145</v>
      </c>
      <c r="AH365" s="59"/>
      <c r="AJ365" s="368"/>
    </row>
    <row r="366" spans="1:36">
      <c r="B366" s="72" t="s">
        <v>2534</v>
      </c>
      <c r="C366" s="73" t="s">
        <v>1691</v>
      </c>
      <c r="D366" s="74" t="s">
        <v>1</v>
      </c>
      <c r="E366" s="74" t="s">
        <v>1</v>
      </c>
      <c r="F366" s="74" t="s">
        <v>1</v>
      </c>
      <c r="H366" s="74" t="s">
        <v>1</v>
      </c>
      <c r="I366" s="72" t="s">
        <v>2533</v>
      </c>
      <c r="K366" s="72" t="s">
        <v>2308</v>
      </c>
      <c r="L366" s="72" t="s">
        <v>2389</v>
      </c>
      <c r="M366" s="72">
        <v>2023</v>
      </c>
      <c r="O366" s="72" t="s">
        <v>1</v>
      </c>
      <c r="P366" s="72" t="s">
        <v>1</v>
      </c>
      <c r="Q366" s="72" t="s">
        <v>1</v>
      </c>
      <c r="R366" s="72" t="s">
        <v>1</v>
      </c>
      <c r="S366" s="72" t="s">
        <v>1</v>
      </c>
      <c r="T366" s="72" t="s">
        <v>1</v>
      </c>
      <c r="U366" s="72" t="s">
        <v>1</v>
      </c>
      <c r="V366" s="72" t="s">
        <v>1</v>
      </c>
      <c r="W366" s="72" t="s">
        <v>1</v>
      </c>
      <c r="X366" s="72" t="s">
        <v>1</v>
      </c>
      <c r="Y366" s="72" t="s">
        <v>1</v>
      </c>
      <c r="Z366" s="72" t="s">
        <v>1</v>
      </c>
      <c r="AA366" s="72" t="s">
        <v>1</v>
      </c>
      <c r="AB366" s="72" t="s">
        <v>1</v>
      </c>
      <c r="AF366" s="344" t="s">
        <v>7145</v>
      </c>
      <c r="AG366" s="344" t="s">
        <v>7145</v>
      </c>
      <c r="AJ366" s="368"/>
    </row>
    <row r="367" spans="1:36">
      <c r="B367" s="72" t="s">
        <v>2530</v>
      </c>
      <c r="C367" s="73" t="s">
        <v>1691</v>
      </c>
      <c r="D367" s="74" t="s">
        <v>1</v>
      </c>
      <c r="E367" s="74" t="s">
        <v>1</v>
      </c>
      <c r="F367" s="74" t="s">
        <v>1</v>
      </c>
      <c r="H367" s="74" t="s">
        <v>1</v>
      </c>
      <c r="I367" s="72" t="s">
        <v>2529</v>
      </c>
      <c r="J367" s="72" t="s">
        <v>2528</v>
      </c>
      <c r="K367" s="72" t="s">
        <v>2045</v>
      </c>
      <c r="L367" s="72" t="s">
        <v>2527</v>
      </c>
      <c r="M367" s="72">
        <v>2022</v>
      </c>
      <c r="O367" s="72" t="s">
        <v>1</v>
      </c>
      <c r="P367" s="72" t="s">
        <v>1</v>
      </c>
      <c r="Q367" s="72" t="s">
        <v>1</v>
      </c>
      <c r="R367" s="72" t="s">
        <v>1</v>
      </c>
      <c r="S367" s="72" t="s">
        <v>1</v>
      </c>
      <c r="T367" s="72" t="s">
        <v>1</v>
      </c>
      <c r="U367" s="72" t="s">
        <v>1</v>
      </c>
      <c r="V367" s="72" t="s">
        <v>1</v>
      </c>
      <c r="W367" s="72" t="s">
        <v>1</v>
      </c>
      <c r="X367" s="72" t="s">
        <v>1</v>
      </c>
      <c r="Y367" s="72" t="s">
        <v>1</v>
      </c>
      <c r="Z367" s="72" t="s">
        <v>1</v>
      </c>
      <c r="AA367" s="72" t="s">
        <v>1</v>
      </c>
      <c r="AB367" s="165" t="s">
        <v>6600</v>
      </c>
      <c r="AC367" s="165" t="s">
        <v>6640</v>
      </c>
      <c r="AD367" s="165" t="s">
        <v>6641</v>
      </c>
      <c r="AF367" s="344" t="s">
        <v>7145</v>
      </c>
      <c r="AG367" s="344" t="s">
        <v>7145</v>
      </c>
      <c r="AJ367" s="368"/>
    </row>
    <row r="368" spans="1:36">
      <c r="B368" s="72" t="s">
        <v>2526</v>
      </c>
      <c r="C368" s="73" t="s">
        <v>1691</v>
      </c>
      <c r="D368" s="74" t="s">
        <v>1</v>
      </c>
      <c r="E368" s="74" t="s">
        <v>1</v>
      </c>
      <c r="F368" s="74" t="s">
        <v>1</v>
      </c>
      <c r="H368" s="74" t="s">
        <v>1</v>
      </c>
      <c r="I368" s="72" t="s">
        <v>2525</v>
      </c>
      <c r="K368" s="72" t="s">
        <v>2308</v>
      </c>
      <c r="L368" s="72" t="s">
        <v>2524</v>
      </c>
      <c r="M368" s="72">
        <v>2021</v>
      </c>
      <c r="O368" s="72" t="s">
        <v>1</v>
      </c>
      <c r="P368" s="72" t="s">
        <v>1</v>
      </c>
      <c r="Q368" s="72" t="s">
        <v>1</v>
      </c>
      <c r="R368" s="72" t="s">
        <v>1</v>
      </c>
      <c r="S368" s="72" t="s">
        <v>1</v>
      </c>
      <c r="T368" s="72" t="s">
        <v>1</v>
      </c>
      <c r="U368" s="72" t="s">
        <v>1</v>
      </c>
      <c r="V368" s="72" t="s">
        <v>1</v>
      </c>
      <c r="W368" s="72" t="s">
        <v>1</v>
      </c>
      <c r="X368" s="72" t="s">
        <v>1</v>
      </c>
      <c r="Y368" s="72" t="s">
        <v>1</v>
      </c>
      <c r="Z368" s="72" t="s">
        <v>1</v>
      </c>
      <c r="AA368" s="72" t="s">
        <v>1</v>
      </c>
      <c r="AB368" s="165" t="s">
        <v>6625</v>
      </c>
      <c r="AD368" s="165" t="s">
        <v>6642</v>
      </c>
      <c r="AE368" s="25" t="s">
        <v>2523</v>
      </c>
      <c r="AF368" s="344" t="s">
        <v>7145</v>
      </c>
      <c r="AG368" s="344" t="s">
        <v>7145</v>
      </c>
      <c r="AH368" s="59"/>
      <c r="AJ368" s="368"/>
    </row>
    <row r="369" spans="2:36">
      <c r="B369" s="72" t="s">
        <v>2522</v>
      </c>
      <c r="C369" s="73" t="s">
        <v>1691</v>
      </c>
      <c r="D369" s="74" t="s">
        <v>1</v>
      </c>
      <c r="E369" s="74" t="s">
        <v>1</v>
      </c>
      <c r="F369" s="74" t="s">
        <v>1</v>
      </c>
      <c r="H369" s="74" t="s">
        <v>1</v>
      </c>
      <c r="I369" s="72" t="s">
        <v>2521</v>
      </c>
      <c r="J369" s="72" t="s">
        <v>1</v>
      </c>
      <c r="K369" s="72" t="s">
        <v>2045</v>
      </c>
      <c r="L369" s="72" t="s">
        <v>2521</v>
      </c>
      <c r="M369" s="75" t="s">
        <v>1</v>
      </c>
      <c r="O369" s="72" t="s">
        <v>1</v>
      </c>
      <c r="P369" s="72" t="s">
        <v>1</v>
      </c>
      <c r="Q369" s="72" t="s">
        <v>1</v>
      </c>
      <c r="R369" s="72" t="s">
        <v>1</v>
      </c>
      <c r="S369" s="72" t="s">
        <v>1</v>
      </c>
      <c r="T369" s="72" t="s">
        <v>1</v>
      </c>
      <c r="U369" s="72" t="s">
        <v>1</v>
      </c>
      <c r="V369" s="72" t="s">
        <v>1</v>
      </c>
      <c r="W369" s="72" t="s">
        <v>1</v>
      </c>
      <c r="X369" s="72" t="s">
        <v>1</v>
      </c>
      <c r="Y369" s="72" t="s">
        <v>1</v>
      </c>
      <c r="Z369" s="72" t="s">
        <v>1</v>
      </c>
      <c r="AA369" s="72" t="s">
        <v>1</v>
      </c>
      <c r="AB369" s="72" t="s">
        <v>1</v>
      </c>
      <c r="AE369" s="25" t="s">
        <v>2520</v>
      </c>
      <c r="AF369" s="344" t="s">
        <v>7145</v>
      </c>
      <c r="AG369" s="344" t="s">
        <v>7145</v>
      </c>
      <c r="AH369" s="59"/>
      <c r="AJ369" s="368"/>
    </row>
    <row r="370" spans="2:36">
      <c r="B370" s="72" t="s">
        <v>2519</v>
      </c>
      <c r="C370" s="73" t="s">
        <v>1691</v>
      </c>
      <c r="D370" s="74" t="s">
        <v>1</v>
      </c>
      <c r="E370" s="74" t="s">
        <v>1</v>
      </c>
      <c r="F370" s="74" t="s">
        <v>1</v>
      </c>
      <c r="H370" s="74" t="s">
        <v>1</v>
      </c>
      <c r="I370" s="72" t="s">
        <v>2303</v>
      </c>
      <c r="K370" s="72" t="s">
        <v>2045</v>
      </c>
      <c r="L370" s="72" t="s">
        <v>2303</v>
      </c>
      <c r="M370" s="72">
        <v>2020</v>
      </c>
      <c r="N370" s="72" t="s">
        <v>2518</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72" t="s">
        <v>2517</v>
      </c>
      <c r="AF370" s="344" t="s">
        <v>7145</v>
      </c>
      <c r="AG370" s="344" t="s">
        <v>7145</v>
      </c>
      <c r="AJ370" s="368"/>
    </row>
    <row r="371" spans="2:36">
      <c r="B371" s="72" t="s">
        <v>2267</v>
      </c>
      <c r="C371" s="73" t="s">
        <v>1691</v>
      </c>
      <c r="D371" s="74" t="s">
        <v>1</v>
      </c>
      <c r="E371" s="80" t="s">
        <v>4</v>
      </c>
      <c r="F371" s="74" t="s">
        <v>1</v>
      </c>
      <c r="H371" s="77">
        <v>44454</v>
      </c>
      <c r="J371" s="72" t="s">
        <v>2266</v>
      </c>
      <c r="K371" s="72" t="s">
        <v>2045</v>
      </c>
      <c r="L371" s="72" t="s">
        <v>2265</v>
      </c>
      <c r="M371" s="75" t="s">
        <v>1</v>
      </c>
      <c r="O371" s="72" t="s">
        <v>621</v>
      </c>
      <c r="P371" s="76" t="s">
        <v>1</v>
      </c>
      <c r="Q371" s="76" t="s">
        <v>1</v>
      </c>
      <c r="R371" s="76" t="s">
        <v>1</v>
      </c>
      <c r="S371" s="76" t="s">
        <v>1</v>
      </c>
      <c r="T371" s="76" t="s">
        <v>1</v>
      </c>
      <c r="U371" s="76" t="s">
        <v>1</v>
      </c>
      <c r="V371" s="76" t="s">
        <v>1</v>
      </c>
      <c r="W371" s="76" t="s">
        <v>1</v>
      </c>
      <c r="X371" s="76" t="s">
        <v>1</v>
      </c>
      <c r="Y371" s="76" t="s">
        <v>1</v>
      </c>
      <c r="Z371" s="76" t="s">
        <v>1</v>
      </c>
      <c r="AA371" s="76" t="s">
        <v>1</v>
      </c>
      <c r="AB371" s="165" t="s">
        <v>6600</v>
      </c>
      <c r="AC371" s="165" t="s">
        <v>6603</v>
      </c>
      <c r="AD371" s="165" t="s">
        <v>2362</v>
      </c>
      <c r="AF371" s="344" t="s">
        <v>7145</v>
      </c>
      <c r="AG371" s="344" t="s">
        <v>7145</v>
      </c>
      <c r="AJ371" s="368"/>
    </row>
    <row r="372" spans="2:36">
      <c r="B372" s="72" t="s">
        <v>2103</v>
      </c>
      <c r="C372" s="73" t="s">
        <v>1691</v>
      </c>
      <c r="D372" s="74" t="s">
        <v>1</v>
      </c>
      <c r="E372" s="72" t="s">
        <v>4</v>
      </c>
      <c r="F372" s="74" t="s">
        <v>1</v>
      </c>
      <c r="H372" s="74" t="s">
        <v>1</v>
      </c>
      <c r="I372" s="72" t="s">
        <v>5215</v>
      </c>
      <c r="J372" s="72" t="s">
        <v>5213</v>
      </c>
      <c r="K372" s="72" t="s">
        <v>2045</v>
      </c>
      <c r="L372" s="72" t="s">
        <v>2056</v>
      </c>
      <c r="M372" s="72">
        <v>2021</v>
      </c>
      <c r="O372" s="72" t="s">
        <v>2280</v>
      </c>
      <c r="P372" s="76" t="s">
        <v>1</v>
      </c>
      <c r="Q372" s="76" t="s">
        <v>1</v>
      </c>
      <c r="R372" s="76" t="s">
        <v>1</v>
      </c>
      <c r="S372" s="76" t="s">
        <v>1</v>
      </c>
      <c r="T372" s="76" t="s">
        <v>1</v>
      </c>
      <c r="U372" s="76" t="s">
        <v>1</v>
      </c>
      <c r="V372" s="76" t="s">
        <v>1</v>
      </c>
      <c r="W372" s="76" t="s">
        <v>1</v>
      </c>
      <c r="X372" s="76" t="s">
        <v>1</v>
      </c>
      <c r="Y372" s="76" t="s">
        <v>1</v>
      </c>
      <c r="Z372" s="76" t="s">
        <v>1</v>
      </c>
      <c r="AA372" s="76" t="s">
        <v>1</v>
      </c>
      <c r="AB372" s="165" t="s">
        <v>6600</v>
      </c>
      <c r="AC372" s="165" t="s">
        <v>6603</v>
      </c>
      <c r="AD372" s="165" t="s">
        <v>2362</v>
      </c>
      <c r="AE372" s="25" t="s">
        <v>2102</v>
      </c>
      <c r="AF372" s="344" t="s">
        <v>7145</v>
      </c>
      <c r="AG372" s="344" t="s">
        <v>7145</v>
      </c>
      <c r="AH372" s="59"/>
      <c r="AJ372" s="368"/>
    </row>
    <row r="373" spans="2:36">
      <c r="B373" s="72" t="s">
        <v>2240</v>
      </c>
      <c r="C373" s="73" t="s">
        <v>1691</v>
      </c>
      <c r="D373" s="74" t="s">
        <v>1</v>
      </c>
      <c r="E373" s="80" t="s">
        <v>1</v>
      </c>
      <c r="F373" s="74" t="s">
        <v>1</v>
      </c>
      <c r="H373" s="74" t="s">
        <v>1</v>
      </c>
      <c r="I373" s="72" t="s">
        <v>2239</v>
      </c>
      <c r="J373" s="72" t="s">
        <v>2238</v>
      </c>
      <c r="K373" s="72" t="s">
        <v>2045</v>
      </c>
      <c r="L373" s="72" t="s">
        <v>2237</v>
      </c>
      <c r="M373" s="72">
        <v>2022</v>
      </c>
      <c r="O373" s="72" t="s">
        <v>1</v>
      </c>
      <c r="P373" s="72" t="s">
        <v>1</v>
      </c>
      <c r="Q373" s="72" t="s">
        <v>1</v>
      </c>
      <c r="R373" s="72" t="s">
        <v>1</v>
      </c>
      <c r="S373" s="72" t="s">
        <v>1</v>
      </c>
      <c r="T373" s="72" t="s">
        <v>1</v>
      </c>
      <c r="U373" s="72" t="s">
        <v>1</v>
      </c>
      <c r="V373" s="72" t="s">
        <v>1</v>
      </c>
      <c r="W373" s="72" t="s">
        <v>1</v>
      </c>
      <c r="X373" s="72" t="s">
        <v>1</v>
      </c>
      <c r="Y373" s="72" t="s">
        <v>1</v>
      </c>
      <c r="Z373" s="72" t="s">
        <v>1</v>
      </c>
      <c r="AA373" s="72" t="s">
        <v>1</v>
      </c>
      <c r="AB373" s="165" t="s">
        <v>6600</v>
      </c>
      <c r="AC373" s="165" t="s">
        <v>6608</v>
      </c>
      <c r="AD373" s="165" t="s">
        <v>6608</v>
      </c>
      <c r="AF373" s="344" t="s">
        <v>7145</v>
      </c>
      <c r="AG373" s="344" t="s">
        <v>7145</v>
      </c>
      <c r="AJ373" s="368"/>
    </row>
    <row r="374" spans="2:36">
      <c r="B374" s="72" t="s">
        <v>2120</v>
      </c>
      <c r="C374" s="73" t="s">
        <v>1691</v>
      </c>
      <c r="D374" s="74" t="s">
        <v>1</v>
      </c>
      <c r="E374" s="74" t="s">
        <v>1</v>
      </c>
      <c r="F374" s="74" t="s">
        <v>1</v>
      </c>
      <c r="H374" s="74" t="s">
        <v>1</v>
      </c>
      <c r="I374" s="72" t="s">
        <v>4836</v>
      </c>
      <c r="J374" s="72" t="s">
        <v>1</v>
      </c>
      <c r="K374" s="72" t="s">
        <v>2045</v>
      </c>
      <c r="L374" s="72" t="s">
        <v>2056</v>
      </c>
      <c r="M374" s="72">
        <v>2020</v>
      </c>
      <c r="O374" s="72" t="s">
        <v>1</v>
      </c>
      <c r="P374" s="72" t="s">
        <v>1</v>
      </c>
      <c r="Q374" s="72" t="s">
        <v>1</v>
      </c>
      <c r="R374" s="72" t="s">
        <v>1</v>
      </c>
      <c r="S374" s="72" t="s">
        <v>1</v>
      </c>
      <c r="T374" s="72" t="s">
        <v>1</v>
      </c>
      <c r="U374" s="72" t="s">
        <v>1</v>
      </c>
      <c r="V374" s="72" t="s">
        <v>1</v>
      </c>
      <c r="W374" s="72" t="s">
        <v>1</v>
      </c>
      <c r="X374" s="72" t="s">
        <v>1</v>
      </c>
      <c r="Y374" s="72" t="s">
        <v>1</v>
      </c>
      <c r="Z374" s="72" t="s">
        <v>1</v>
      </c>
      <c r="AA374" s="72" t="s">
        <v>1</v>
      </c>
      <c r="AB374" s="165" t="s">
        <v>6600</v>
      </c>
      <c r="AC374" s="165" t="s">
        <v>6604</v>
      </c>
      <c r="AD374" s="165" t="s">
        <v>3956</v>
      </c>
      <c r="AE374" s="25" t="s">
        <v>2119</v>
      </c>
      <c r="AF374" s="344" t="s">
        <v>7145</v>
      </c>
      <c r="AG374" s="344" t="s">
        <v>7145</v>
      </c>
      <c r="AH374" s="59"/>
      <c r="AJ374" s="368"/>
    </row>
    <row r="375" spans="2:36">
      <c r="E375" s="80"/>
      <c r="H375" s="74"/>
      <c r="P375" s="72"/>
      <c r="Q375" s="72"/>
      <c r="R375" s="72"/>
      <c r="S375" s="72"/>
      <c r="T375" s="72"/>
      <c r="U375" s="72"/>
      <c r="V375" s="72"/>
      <c r="W375" s="72"/>
      <c r="X375" s="72"/>
      <c r="Y375" s="72"/>
      <c r="Z375" s="72"/>
      <c r="AA375" s="72"/>
      <c r="AF375" s="344" t="s">
        <v>7145</v>
      </c>
      <c r="AG375" s="344" t="s">
        <v>7145</v>
      </c>
      <c r="AJ375" s="368"/>
    </row>
    <row r="376" spans="2:36">
      <c r="B376" s="26" t="s">
        <v>2516</v>
      </c>
      <c r="E376" s="80"/>
      <c r="H376" s="74"/>
      <c r="P376" s="72"/>
      <c r="Q376" s="72"/>
      <c r="R376" s="72"/>
      <c r="S376" s="72"/>
      <c r="T376" s="72"/>
      <c r="U376" s="72"/>
      <c r="V376" s="72"/>
      <c r="W376" s="72"/>
      <c r="X376" s="72"/>
      <c r="Y376" s="72"/>
      <c r="Z376" s="72"/>
      <c r="AA376" s="72"/>
      <c r="AF376" s="344" t="s">
        <v>7145</v>
      </c>
      <c r="AG376" s="344" t="s">
        <v>7145</v>
      </c>
      <c r="AJ376" s="368"/>
    </row>
    <row r="377" spans="2:36">
      <c r="B377" s="72" t="s">
        <v>1090</v>
      </c>
      <c r="C377" s="96" t="s">
        <v>5416</v>
      </c>
      <c r="D377" s="74">
        <v>54750</v>
      </c>
      <c r="E377" s="102" t="s">
        <v>3793</v>
      </c>
      <c r="H377" s="74"/>
      <c r="P377" s="72"/>
      <c r="Q377" s="72"/>
      <c r="R377" s="72"/>
      <c r="S377" s="72"/>
      <c r="T377" s="72"/>
      <c r="U377" s="72"/>
      <c r="V377" s="72"/>
      <c r="W377" s="72"/>
      <c r="X377" s="72"/>
      <c r="Y377" s="72"/>
      <c r="Z377" s="72"/>
      <c r="AA377" s="72"/>
      <c r="AF377" s="344" t="s">
        <v>7145</v>
      </c>
      <c r="AG377" s="344" t="s">
        <v>7145</v>
      </c>
      <c r="AJ377" s="368"/>
    </row>
    <row r="378" spans="2:36">
      <c r="B378" s="72" t="s">
        <v>2515</v>
      </c>
      <c r="C378" s="96" t="s">
        <v>1691</v>
      </c>
      <c r="D378" s="74">
        <v>10000</v>
      </c>
      <c r="AF378" s="344" t="s">
        <v>7145</v>
      </c>
      <c r="AG378" s="344" t="s">
        <v>7145</v>
      </c>
      <c r="AJ378" s="368"/>
    </row>
    <row r="379" spans="2:36">
      <c r="B379" s="72" t="s">
        <v>2514</v>
      </c>
      <c r="C379" s="73" t="s">
        <v>1691</v>
      </c>
      <c r="E379" s="72" t="s">
        <v>18</v>
      </c>
      <c r="K379" s="72" t="s">
        <v>2062</v>
      </c>
      <c r="N379" s="72" t="s">
        <v>2060</v>
      </c>
      <c r="AB379" s="72" t="s">
        <v>2513</v>
      </c>
      <c r="AE379" s="25" t="s">
        <v>2512</v>
      </c>
      <c r="AF379" s="344" t="s">
        <v>7145</v>
      </c>
      <c r="AG379" s="344" t="s">
        <v>7145</v>
      </c>
      <c r="AH379" s="59"/>
      <c r="AJ379" s="368"/>
    </row>
    <row r="380" spans="2:36">
      <c r="B380" s="72" t="s">
        <v>2511</v>
      </c>
      <c r="C380" s="73" t="s">
        <v>1691</v>
      </c>
      <c r="K380" s="72" t="s">
        <v>2308</v>
      </c>
      <c r="L380" s="72" t="s">
        <v>2510</v>
      </c>
      <c r="N380" s="72" t="s">
        <v>2060</v>
      </c>
      <c r="AF380" s="344" t="s">
        <v>7145</v>
      </c>
      <c r="AG380" s="344" t="s">
        <v>7145</v>
      </c>
      <c r="AJ380" s="368"/>
    </row>
    <row r="381" spans="2:36">
      <c r="B381" s="72" t="s">
        <v>2509</v>
      </c>
      <c r="C381" s="73" t="s">
        <v>2138</v>
      </c>
      <c r="N381" s="72" t="s">
        <v>2508</v>
      </c>
      <c r="AF381" s="344" t="s">
        <v>7145</v>
      </c>
      <c r="AG381" s="344" t="s">
        <v>7145</v>
      </c>
      <c r="AJ381" s="368"/>
    </row>
    <row r="382" spans="2:36">
      <c r="B382" s="72" t="s">
        <v>2507</v>
      </c>
      <c r="C382" s="73" t="s">
        <v>2138</v>
      </c>
      <c r="N382" s="72" t="s">
        <v>2506</v>
      </c>
      <c r="AF382" s="344" t="s">
        <v>7145</v>
      </c>
      <c r="AG382" s="344" t="s">
        <v>7145</v>
      </c>
      <c r="AJ382" s="368"/>
    </row>
    <row r="383" spans="2:36">
      <c r="B383" s="72" t="s">
        <v>2505</v>
      </c>
      <c r="C383" s="73" t="s">
        <v>2138</v>
      </c>
      <c r="N383" s="72" t="s">
        <v>2504</v>
      </c>
      <c r="AF383" s="344" t="s">
        <v>7145</v>
      </c>
      <c r="AG383" s="344" t="s">
        <v>7145</v>
      </c>
      <c r="AJ383" s="368"/>
    </row>
    <row r="384" spans="2:36">
      <c r="B384" s="72" t="s">
        <v>2503</v>
      </c>
      <c r="C384" s="73" t="s">
        <v>2138</v>
      </c>
      <c r="N384" s="72" t="s">
        <v>1090</v>
      </c>
      <c r="AF384" s="344" t="s">
        <v>7145</v>
      </c>
      <c r="AG384" s="344" t="s">
        <v>7145</v>
      </c>
      <c r="AJ384" s="368"/>
    </row>
    <row r="385" spans="2:36">
      <c r="B385" s="72" t="s">
        <v>2502</v>
      </c>
      <c r="C385" s="73" t="s">
        <v>1691</v>
      </c>
      <c r="D385" s="74">
        <v>7900</v>
      </c>
      <c r="E385" s="72" t="s">
        <v>504</v>
      </c>
      <c r="F385" s="74">
        <v>200</v>
      </c>
      <c r="H385" s="77">
        <v>44175</v>
      </c>
      <c r="I385" s="72" t="s">
        <v>2501</v>
      </c>
      <c r="J385" s="72" t="s">
        <v>2500</v>
      </c>
      <c r="K385" s="72" t="s">
        <v>2499</v>
      </c>
      <c r="L385" s="72" t="s">
        <v>2062</v>
      </c>
      <c r="M385" s="72">
        <v>2015</v>
      </c>
      <c r="N385" s="72" t="s">
        <v>2269</v>
      </c>
      <c r="O385" s="72" t="s">
        <v>2498</v>
      </c>
      <c r="P385" s="76" t="s">
        <v>53</v>
      </c>
      <c r="Q385" s="76">
        <v>200</v>
      </c>
      <c r="R385" s="76" t="s">
        <v>2497</v>
      </c>
      <c r="S385" s="76" t="s">
        <v>9</v>
      </c>
      <c r="T385" s="76">
        <v>110</v>
      </c>
      <c r="U385" s="76" t="s">
        <v>2496</v>
      </c>
      <c r="V385" s="76" t="s">
        <v>8</v>
      </c>
      <c r="W385" s="76">
        <v>80</v>
      </c>
      <c r="X385" s="76" t="s">
        <v>2495</v>
      </c>
      <c r="Y385" s="76" t="s">
        <v>18</v>
      </c>
      <c r="Z385" s="76">
        <v>70</v>
      </c>
      <c r="AA385" s="76" t="s">
        <v>2494</v>
      </c>
      <c r="AB385" s="72" t="s">
        <v>2493</v>
      </c>
      <c r="AF385" s="344" t="s">
        <v>7145</v>
      </c>
      <c r="AG385" s="344" t="s">
        <v>7145</v>
      </c>
      <c r="AJ385" s="368"/>
    </row>
    <row r="386" spans="2:36">
      <c r="B386" s="72" t="s">
        <v>2492</v>
      </c>
      <c r="C386" s="73" t="s">
        <v>1691</v>
      </c>
      <c r="D386" s="74">
        <v>5200</v>
      </c>
      <c r="E386" s="72" t="s">
        <v>53</v>
      </c>
      <c r="F386" s="74">
        <v>400</v>
      </c>
      <c r="H386" s="77">
        <v>28327</v>
      </c>
      <c r="I386" s="72" t="s">
        <v>2491</v>
      </c>
      <c r="J386" s="72" t="s">
        <v>2490</v>
      </c>
      <c r="K386" s="72" t="s">
        <v>2045</v>
      </c>
      <c r="L386" s="72" t="s">
        <v>2071</v>
      </c>
      <c r="M386" s="72">
        <v>2012</v>
      </c>
      <c r="O386" s="72" t="s">
        <v>2489</v>
      </c>
      <c r="P386" s="76" t="s">
        <v>1</v>
      </c>
      <c r="Q386" s="76" t="s">
        <v>1</v>
      </c>
      <c r="R386" s="76" t="s">
        <v>1</v>
      </c>
      <c r="S386" s="76" t="s">
        <v>1</v>
      </c>
      <c r="T386" s="76" t="s">
        <v>1</v>
      </c>
      <c r="U386" s="76" t="s">
        <v>1</v>
      </c>
      <c r="V386" s="76" t="s">
        <v>1</v>
      </c>
      <c r="W386" s="76" t="s">
        <v>1</v>
      </c>
      <c r="X386" s="76" t="s">
        <v>1</v>
      </c>
      <c r="Y386" s="76" t="s">
        <v>1</v>
      </c>
      <c r="Z386" s="76" t="s">
        <v>1</v>
      </c>
      <c r="AA386" s="76" t="s">
        <v>1</v>
      </c>
      <c r="AB386" s="72" t="s">
        <v>2488</v>
      </c>
      <c r="AJ386" s="368"/>
    </row>
    <row r="387" spans="2:36">
      <c r="B387" s="72" t="s">
        <v>2124</v>
      </c>
      <c r="C387" s="73" t="s">
        <v>1691</v>
      </c>
      <c r="D387" s="74">
        <v>4200</v>
      </c>
      <c r="E387" s="72" t="s">
        <v>504</v>
      </c>
      <c r="F387" s="74">
        <v>200</v>
      </c>
      <c r="H387" s="77">
        <v>44349</v>
      </c>
      <c r="I387" s="72" t="s">
        <v>4461</v>
      </c>
      <c r="J387" s="72" t="s">
        <v>4460</v>
      </c>
      <c r="K387" s="72" t="s">
        <v>2045</v>
      </c>
      <c r="L387" s="72" t="s">
        <v>2123</v>
      </c>
      <c r="M387" s="72">
        <v>2014</v>
      </c>
      <c r="AB387" s="72" t="s">
        <v>2122</v>
      </c>
      <c r="AE387" s="25" t="s">
        <v>2121</v>
      </c>
      <c r="AF387" s="64"/>
      <c r="AG387" s="59"/>
      <c r="AH387" s="59"/>
      <c r="AJ387" s="368"/>
    </row>
    <row r="388" spans="2:36">
      <c r="B388" s="72" t="s">
        <v>2487</v>
      </c>
      <c r="C388" s="73" t="s">
        <v>1691</v>
      </c>
      <c r="D388" s="74">
        <v>4000</v>
      </c>
      <c r="E388" s="72" t="s">
        <v>2486</v>
      </c>
      <c r="F388" s="74">
        <v>400</v>
      </c>
      <c r="H388" s="77">
        <v>44378</v>
      </c>
      <c r="I388" s="72" t="s">
        <v>2485</v>
      </c>
      <c r="J388" s="72" t="s">
        <v>2484</v>
      </c>
      <c r="K388" s="72" t="s">
        <v>2045</v>
      </c>
      <c r="L388" s="72" t="s">
        <v>2062</v>
      </c>
      <c r="M388" s="72">
        <v>2012</v>
      </c>
      <c r="O388" s="72" t="s">
        <v>2483</v>
      </c>
      <c r="P388" s="76" t="s">
        <v>504</v>
      </c>
      <c r="Q388" s="76" t="s">
        <v>2482</v>
      </c>
      <c r="R388" s="76" t="s">
        <v>2481</v>
      </c>
      <c r="S388" s="76" t="s">
        <v>53</v>
      </c>
      <c r="T388" s="76">
        <v>106</v>
      </c>
      <c r="U388" s="76" t="s">
        <v>2480</v>
      </c>
      <c r="V388" s="76" t="s">
        <v>9</v>
      </c>
      <c r="W388" s="76">
        <v>52</v>
      </c>
      <c r="X388" s="76" t="s">
        <v>2479</v>
      </c>
      <c r="Y388" s="76" t="s">
        <v>8</v>
      </c>
      <c r="Z388" s="76">
        <v>32.799999999999997</v>
      </c>
      <c r="AA388" s="76" t="s">
        <v>2478</v>
      </c>
      <c r="AB388" s="72" t="s">
        <v>2098</v>
      </c>
      <c r="AJ388" s="368"/>
    </row>
    <row r="389" spans="2:36">
      <c r="B389" s="72" t="s">
        <v>2477</v>
      </c>
      <c r="C389" s="73" t="s">
        <v>1691</v>
      </c>
      <c r="D389" s="74">
        <v>3100</v>
      </c>
      <c r="E389" s="72" t="s">
        <v>9</v>
      </c>
      <c r="F389" s="74">
        <v>150</v>
      </c>
      <c r="H389" s="77">
        <v>44545</v>
      </c>
      <c r="I389" s="72" t="s">
        <v>2476</v>
      </c>
      <c r="J389" s="72" t="s">
        <v>1</v>
      </c>
      <c r="K389" s="72" t="s">
        <v>2045</v>
      </c>
      <c r="L389" s="72" t="s">
        <v>2062</v>
      </c>
      <c r="M389" s="72">
        <v>2014</v>
      </c>
      <c r="O389" s="72" t="s">
        <v>2475</v>
      </c>
      <c r="P389" s="76" t="s">
        <v>1</v>
      </c>
      <c r="Q389" s="76" t="s">
        <v>1</v>
      </c>
      <c r="R389" s="76" t="s">
        <v>1</v>
      </c>
      <c r="S389" s="76" t="s">
        <v>1</v>
      </c>
      <c r="T389" s="76" t="s">
        <v>1</v>
      </c>
      <c r="U389" s="76" t="s">
        <v>1</v>
      </c>
      <c r="V389" s="76" t="s">
        <v>1</v>
      </c>
      <c r="W389" s="76" t="s">
        <v>1</v>
      </c>
      <c r="X389" s="76" t="s">
        <v>1</v>
      </c>
      <c r="Y389" s="76" t="s">
        <v>1</v>
      </c>
      <c r="Z389" s="76" t="s">
        <v>1</v>
      </c>
      <c r="AA389" s="76" t="s">
        <v>1</v>
      </c>
      <c r="AB389" s="72" t="s">
        <v>2362</v>
      </c>
      <c r="AJ389" s="368"/>
    </row>
    <row r="390" spans="2:36">
      <c r="B390" s="72" t="s">
        <v>2474</v>
      </c>
      <c r="C390" s="73" t="s">
        <v>1691</v>
      </c>
      <c r="D390" s="74">
        <v>2800</v>
      </c>
      <c r="E390" s="72" t="s">
        <v>18</v>
      </c>
      <c r="I390" s="72" t="s">
        <v>2473</v>
      </c>
      <c r="K390" s="72" t="s">
        <v>2045</v>
      </c>
      <c r="L390" s="72" t="s">
        <v>2451</v>
      </c>
      <c r="M390" s="72">
        <v>2006</v>
      </c>
      <c r="N390" s="72" t="s">
        <v>2472</v>
      </c>
      <c r="AB390" s="72" t="s">
        <v>2305</v>
      </c>
      <c r="AE390" s="25" t="s">
        <v>2471</v>
      </c>
      <c r="AF390" s="64"/>
      <c r="AG390" s="59"/>
      <c r="AH390" s="59"/>
      <c r="AJ390" s="368"/>
    </row>
    <row r="391" spans="2:36">
      <c r="B391" s="72" t="s">
        <v>2470</v>
      </c>
      <c r="C391" s="73" t="s">
        <v>1691</v>
      </c>
      <c r="D391" s="74">
        <v>2500</v>
      </c>
      <c r="E391" s="72" t="s">
        <v>1</v>
      </c>
      <c r="F391" s="72" t="s">
        <v>1</v>
      </c>
      <c r="G391" s="72"/>
      <c r="H391" s="72" t="s">
        <v>1</v>
      </c>
      <c r="I391" s="72" t="s">
        <v>2469</v>
      </c>
      <c r="J391" s="72" t="s">
        <v>2468</v>
      </c>
      <c r="K391" s="72" t="s">
        <v>2045</v>
      </c>
      <c r="L391" s="72" t="s">
        <v>2467</v>
      </c>
      <c r="M391" s="72" t="s">
        <v>2466</v>
      </c>
      <c r="O391" s="72" t="s">
        <v>1</v>
      </c>
      <c r="P391" s="72" t="s">
        <v>1</v>
      </c>
      <c r="Q391" s="72" t="s">
        <v>1</v>
      </c>
      <c r="R391" s="72" t="s">
        <v>1</v>
      </c>
      <c r="S391" s="72" t="s">
        <v>1</v>
      </c>
      <c r="T391" s="72" t="s">
        <v>1</v>
      </c>
      <c r="U391" s="72" t="s">
        <v>1</v>
      </c>
      <c r="V391" s="72" t="s">
        <v>1</v>
      </c>
      <c r="W391" s="72" t="s">
        <v>1</v>
      </c>
      <c r="X391" s="72" t="s">
        <v>1</v>
      </c>
      <c r="Y391" s="72" t="s">
        <v>1</v>
      </c>
      <c r="Z391" s="72" t="s">
        <v>1</v>
      </c>
      <c r="AA391" s="72" t="s">
        <v>1</v>
      </c>
      <c r="AB391" s="72" t="s">
        <v>2465</v>
      </c>
      <c r="AJ391" s="368"/>
    </row>
    <row r="392" spans="2:36">
      <c r="B392" s="72" t="s">
        <v>2464</v>
      </c>
      <c r="C392" s="73" t="s">
        <v>1691</v>
      </c>
      <c r="D392" s="74">
        <v>1900</v>
      </c>
      <c r="E392" s="72" t="s">
        <v>18</v>
      </c>
      <c r="F392" s="74">
        <v>150</v>
      </c>
      <c r="H392" s="77">
        <v>44649</v>
      </c>
      <c r="I392" s="72" t="s">
        <v>2463</v>
      </c>
      <c r="J392" s="72" t="s">
        <v>1</v>
      </c>
      <c r="K392" s="72" t="s">
        <v>2045</v>
      </c>
      <c r="L392" s="72" t="s">
        <v>2062</v>
      </c>
      <c r="M392" s="72">
        <v>2018</v>
      </c>
      <c r="N392" s="72" t="s">
        <v>2462</v>
      </c>
      <c r="O392" s="72" t="s">
        <v>2461</v>
      </c>
      <c r="P392" s="76" t="s">
        <v>7</v>
      </c>
      <c r="Q392" s="76" t="s">
        <v>2460</v>
      </c>
      <c r="R392" s="76" t="s">
        <v>1</v>
      </c>
      <c r="S392" s="76" t="s">
        <v>1</v>
      </c>
      <c r="T392" s="76" t="s">
        <v>1</v>
      </c>
      <c r="U392" s="76" t="s">
        <v>1</v>
      </c>
      <c r="V392" s="76" t="s">
        <v>1</v>
      </c>
      <c r="W392" s="76" t="s">
        <v>1</v>
      </c>
      <c r="X392" s="76" t="s">
        <v>1</v>
      </c>
      <c r="Y392" s="76" t="s">
        <v>1</v>
      </c>
      <c r="Z392" s="76" t="s">
        <v>1</v>
      </c>
      <c r="AA392" s="76" t="s">
        <v>1</v>
      </c>
      <c r="AB392" s="72" t="s">
        <v>2459</v>
      </c>
      <c r="AJ392" s="368"/>
    </row>
    <row r="393" spans="2:36">
      <c r="B393" s="72" t="s">
        <v>2458</v>
      </c>
      <c r="C393" s="73" t="s">
        <v>1691</v>
      </c>
      <c r="D393" s="74">
        <v>1900</v>
      </c>
      <c r="E393" s="72" t="s">
        <v>9</v>
      </c>
      <c r="F393" s="74">
        <v>150</v>
      </c>
      <c r="H393" s="77">
        <v>44523</v>
      </c>
      <c r="I393" s="72" t="s">
        <v>2457</v>
      </c>
      <c r="J393" s="72" t="s">
        <v>1</v>
      </c>
      <c r="K393" s="72" t="s">
        <v>2045</v>
      </c>
      <c r="L393" s="72" t="s">
        <v>2456</v>
      </c>
      <c r="M393" s="72">
        <v>2017</v>
      </c>
      <c r="O393" s="72" t="s">
        <v>2455</v>
      </c>
      <c r="P393" s="76" t="s">
        <v>1</v>
      </c>
      <c r="Q393" s="76" t="s">
        <v>1</v>
      </c>
      <c r="R393" s="76" t="s">
        <v>1</v>
      </c>
      <c r="S393" s="76" t="s">
        <v>1</v>
      </c>
      <c r="T393" s="76" t="s">
        <v>1</v>
      </c>
      <c r="U393" s="76" t="s">
        <v>1</v>
      </c>
      <c r="V393" s="76" t="s">
        <v>1</v>
      </c>
      <c r="W393" s="76" t="s">
        <v>1</v>
      </c>
      <c r="X393" s="76" t="s">
        <v>1</v>
      </c>
      <c r="Y393" s="76" t="s">
        <v>1</v>
      </c>
      <c r="Z393" s="76" t="s">
        <v>1</v>
      </c>
      <c r="AA393" s="76" t="s">
        <v>1</v>
      </c>
      <c r="AB393" s="72" t="s">
        <v>2055</v>
      </c>
      <c r="AJ393" s="368"/>
    </row>
    <row r="394" spans="2:36">
      <c r="B394" s="72" t="s">
        <v>2454</v>
      </c>
      <c r="C394" s="73" t="s">
        <v>1691</v>
      </c>
      <c r="D394" s="74">
        <v>1700</v>
      </c>
      <c r="E394" s="72" t="s">
        <v>8</v>
      </c>
      <c r="F394" s="74">
        <v>100</v>
      </c>
      <c r="H394" s="77">
        <v>45027</v>
      </c>
      <c r="I394" s="72" t="s">
        <v>2453</v>
      </c>
      <c r="J394" s="72" t="s">
        <v>2452</v>
      </c>
      <c r="K394" s="72" t="s">
        <v>2045</v>
      </c>
      <c r="L394" s="72" t="s">
        <v>2451</v>
      </c>
      <c r="M394" s="72">
        <v>2008</v>
      </c>
      <c r="N394" s="72" t="s">
        <v>2450</v>
      </c>
      <c r="O394" s="72" t="s">
        <v>2449</v>
      </c>
      <c r="P394" s="76" t="s">
        <v>1</v>
      </c>
      <c r="Q394" s="76" t="s">
        <v>1</v>
      </c>
      <c r="R394" s="76" t="s">
        <v>1</v>
      </c>
      <c r="S394" s="76" t="s">
        <v>1</v>
      </c>
      <c r="T394" s="76" t="s">
        <v>1</v>
      </c>
      <c r="U394" s="76" t="s">
        <v>1</v>
      </c>
      <c r="V394" s="76" t="s">
        <v>1</v>
      </c>
      <c r="W394" s="76" t="s">
        <v>1</v>
      </c>
      <c r="X394" s="76" t="s">
        <v>1</v>
      </c>
      <c r="Y394" s="76" t="s">
        <v>1</v>
      </c>
      <c r="Z394" s="76" t="s">
        <v>1</v>
      </c>
      <c r="AA394" s="76" t="s">
        <v>1</v>
      </c>
      <c r="AB394" s="72" t="s">
        <v>2055</v>
      </c>
      <c r="AE394" s="25" t="s">
        <v>2448</v>
      </c>
      <c r="AF394" s="64"/>
      <c r="AG394" s="59"/>
      <c r="AH394" s="59"/>
      <c r="AJ394" s="368"/>
    </row>
    <row r="395" spans="2:36">
      <c r="B395" s="72" t="s">
        <v>2447</v>
      </c>
      <c r="C395" s="73" t="s">
        <v>1691</v>
      </c>
      <c r="D395" s="74">
        <v>1700</v>
      </c>
      <c r="E395" s="72" t="s">
        <v>8</v>
      </c>
      <c r="F395" s="74">
        <v>85</v>
      </c>
      <c r="H395" s="77">
        <v>42846</v>
      </c>
      <c r="J395" s="72" t="s">
        <v>2446</v>
      </c>
      <c r="K395" s="72" t="s">
        <v>2308</v>
      </c>
      <c r="L395" s="72" t="s">
        <v>2445</v>
      </c>
      <c r="M395" s="72">
        <v>2009</v>
      </c>
      <c r="O395" s="72" t="s">
        <v>1</v>
      </c>
      <c r="P395" s="72" t="s">
        <v>1</v>
      </c>
      <c r="Q395" s="72" t="s">
        <v>1</v>
      </c>
      <c r="R395" s="72" t="s">
        <v>1</v>
      </c>
      <c r="S395" s="72" t="s">
        <v>1</v>
      </c>
      <c r="T395" s="72" t="s">
        <v>1</v>
      </c>
      <c r="U395" s="72" t="s">
        <v>1</v>
      </c>
      <c r="V395" s="72" t="s">
        <v>1</v>
      </c>
      <c r="W395" s="72" t="s">
        <v>1</v>
      </c>
      <c r="X395" s="72" t="s">
        <v>1</v>
      </c>
      <c r="Y395" s="72" t="s">
        <v>1</v>
      </c>
      <c r="Z395" s="72" t="s">
        <v>1</v>
      </c>
      <c r="AA395" s="72" t="s">
        <v>1</v>
      </c>
      <c r="AB395" s="72" t="s">
        <v>2043</v>
      </c>
      <c r="AJ395" s="368"/>
    </row>
    <row r="396" spans="2:36">
      <c r="B396" s="72" t="s">
        <v>148</v>
      </c>
      <c r="C396" s="73" t="s">
        <v>1691</v>
      </c>
      <c r="D396" s="74">
        <v>1500</v>
      </c>
      <c r="E396" s="72" t="s">
        <v>9</v>
      </c>
      <c r="F396" s="74">
        <v>300</v>
      </c>
      <c r="H396" s="77">
        <v>44271</v>
      </c>
      <c r="J396" s="72" t="s">
        <v>2444</v>
      </c>
      <c r="K396" s="72" t="s">
        <v>2045</v>
      </c>
      <c r="L396" s="72" t="s">
        <v>2443</v>
      </c>
      <c r="M396" s="72">
        <v>2007</v>
      </c>
      <c r="N396" s="72" t="s">
        <v>2442</v>
      </c>
      <c r="O396" s="72" t="s">
        <v>2441</v>
      </c>
      <c r="P396" s="76" t="s">
        <v>8</v>
      </c>
      <c r="Q396" s="76">
        <v>38</v>
      </c>
      <c r="R396" s="76" t="s">
        <v>2440</v>
      </c>
      <c r="S396" s="76" t="s">
        <v>18</v>
      </c>
      <c r="T396" s="76" t="s">
        <v>1</v>
      </c>
      <c r="U396" s="76" t="s">
        <v>2439</v>
      </c>
      <c r="V396" s="76" t="s">
        <v>7</v>
      </c>
      <c r="W396" s="76">
        <v>10</v>
      </c>
      <c r="X396" s="76" t="s">
        <v>2438</v>
      </c>
      <c r="Y396" s="76" t="s">
        <v>5</v>
      </c>
      <c r="Z396" s="76" t="s">
        <v>2437</v>
      </c>
      <c r="AA396" s="76" t="s">
        <v>2436</v>
      </c>
      <c r="AB396" s="72" t="s">
        <v>2435</v>
      </c>
      <c r="AE396" s="25" t="s">
        <v>2434</v>
      </c>
      <c r="AF396" s="64"/>
      <c r="AG396" s="59"/>
      <c r="AH396" s="59"/>
      <c r="AJ396" s="368"/>
    </row>
    <row r="397" spans="2:36">
      <c r="B397" s="72" t="s">
        <v>2433</v>
      </c>
      <c r="C397" s="73" t="s">
        <v>1691</v>
      </c>
      <c r="D397" s="74">
        <v>1400</v>
      </c>
      <c r="E397" s="72" t="s">
        <v>8</v>
      </c>
      <c r="F397" s="74">
        <v>70</v>
      </c>
      <c r="H397" s="77">
        <v>44907</v>
      </c>
      <c r="I397" s="72" t="s">
        <v>2432</v>
      </c>
      <c r="J397" s="72" t="s">
        <v>2431</v>
      </c>
      <c r="K397" s="72" t="s">
        <v>2045</v>
      </c>
      <c r="L397" s="72" t="s">
        <v>2430</v>
      </c>
      <c r="M397" s="72">
        <v>2015</v>
      </c>
      <c r="N397" s="72" t="s">
        <v>2429</v>
      </c>
      <c r="O397" s="72" t="s">
        <v>1</v>
      </c>
      <c r="P397" s="72" t="s">
        <v>1</v>
      </c>
      <c r="Q397" s="72" t="s">
        <v>1</v>
      </c>
      <c r="R397" s="72" t="s">
        <v>1</v>
      </c>
      <c r="S397" s="72" t="s">
        <v>1</v>
      </c>
      <c r="T397" s="72" t="s">
        <v>1</v>
      </c>
      <c r="U397" s="72" t="s">
        <v>1</v>
      </c>
      <c r="V397" s="72" t="s">
        <v>1</v>
      </c>
      <c r="W397" s="72" t="s">
        <v>1</v>
      </c>
      <c r="X397" s="72" t="s">
        <v>1</v>
      </c>
      <c r="Y397" s="72" t="s">
        <v>1</v>
      </c>
      <c r="Z397" s="72" t="s">
        <v>1</v>
      </c>
      <c r="AA397" s="72" t="s">
        <v>1</v>
      </c>
      <c r="AB397" s="72" t="s">
        <v>2428</v>
      </c>
      <c r="AE397" s="25" t="s">
        <v>2427</v>
      </c>
      <c r="AF397" s="64"/>
      <c r="AG397" s="59"/>
      <c r="AH397" s="59"/>
      <c r="AJ397" s="368"/>
    </row>
    <row r="398" spans="2:36">
      <c r="B398" s="72" t="s">
        <v>2426</v>
      </c>
      <c r="C398" s="73" t="s">
        <v>1691</v>
      </c>
      <c r="D398" s="74">
        <v>1300</v>
      </c>
      <c r="E398" s="72" t="s">
        <v>8</v>
      </c>
      <c r="F398" s="74">
        <v>150</v>
      </c>
      <c r="H398" s="77">
        <v>44656</v>
      </c>
      <c r="J398" s="72" t="s">
        <v>2425</v>
      </c>
      <c r="K398" s="72" t="s">
        <v>2045</v>
      </c>
      <c r="L398" s="72" t="s">
        <v>2062</v>
      </c>
      <c r="M398" s="78">
        <v>42323</v>
      </c>
      <c r="O398" s="72" t="s">
        <v>2424</v>
      </c>
      <c r="P398" s="76" t="s">
        <v>1</v>
      </c>
      <c r="Q398" s="76" t="s">
        <v>1</v>
      </c>
      <c r="R398" s="76" t="s">
        <v>1</v>
      </c>
      <c r="S398" s="76" t="s">
        <v>1</v>
      </c>
      <c r="T398" s="76" t="s">
        <v>1</v>
      </c>
      <c r="U398" s="76" t="s">
        <v>1</v>
      </c>
      <c r="V398" s="76" t="s">
        <v>1</v>
      </c>
      <c r="W398" s="76" t="s">
        <v>1</v>
      </c>
      <c r="X398" s="76" t="s">
        <v>1</v>
      </c>
      <c r="Y398" s="76" t="s">
        <v>1</v>
      </c>
      <c r="Z398" s="76" t="s">
        <v>1</v>
      </c>
      <c r="AA398" s="76" t="s">
        <v>1</v>
      </c>
      <c r="AB398" s="72" t="s">
        <v>2362</v>
      </c>
      <c r="AJ398" s="368"/>
    </row>
    <row r="399" spans="2:36">
      <c r="B399" s="72" t="s">
        <v>2423</v>
      </c>
      <c r="C399" s="73" t="s">
        <v>1691</v>
      </c>
      <c r="D399" s="74">
        <v>1300</v>
      </c>
      <c r="E399" s="72" t="s">
        <v>8</v>
      </c>
      <c r="F399" s="74">
        <v>140</v>
      </c>
      <c r="H399" s="77">
        <v>44602</v>
      </c>
      <c r="K399" s="72" t="s">
        <v>2045</v>
      </c>
      <c r="L399" s="72" t="s">
        <v>2082</v>
      </c>
      <c r="M399" s="72">
        <v>2018</v>
      </c>
      <c r="N399" s="72" t="s">
        <v>2422</v>
      </c>
      <c r="AB399" s="72" t="s">
        <v>2152</v>
      </c>
      <c r="AE399" s="25" t="s">
        <v>2421</v>
      </c>
      <c r="AF399" s="64"/>
      <c r="AG399" s="59"/>
      <c r="AH399" s="59"/>
      <c r="AJ399" s="368"/>
    </row>
    <row r="400" spans="2:36">
      <c r="B400" s="72" t="s">
        <v>907</v>
      </c>
      <c r="C400" s="73" t="s">
        <v>1691</v>
      </c>
      <c r="D400" s="74">
        <v>1100</v>
      </c>
      <c r="E400" s="72" t="s">
        <v>7</v>
      </c>
      <c r="F400" s="74">
        <v>97.4</v>
      </c>
      <c r="H400" s="77">
        <v>45041</v>
      </c>
      <c r="I400" s="72" t="s">
        <v>2420</v>
      </c>
      <c r="J400" s="72" t="s">
        <v>2419</v>
      </c>
      <c r="K400" s="72" t="s">
        <v>2045</v>
      </c>
      <c r="L400" s="72" t="s">
        <v>2237</v>
      </c>
      <c r="M400" s="72">
        <v>2016</v>
      </c>
      <c r="O400" s="72" t="s">
        <v>2418</v>
      </c>
      <c r="P400" s="76" t="s">
        <v>2417</v>
      </c>
      <c r="Q400" s="76">
        <v>80</v>
      </c>
      <c r="R400" s="76" t="s">
        <v>2416</v>
      </c>
      <c r="S400" s="76" t="s">
        <v>5</v>
      </c>
      <c r="T400" s="76">
        <v>20</v>
      </c>
      <c r="U400" s="76" t="s">
        <v>2415</v>
      </c>
      <c r="V400" s="76" t="s">
        <v>4</v>
      </c>
      <c r="W400" s="76">
        <v>4.5</v>
      </c>
      <c r="X400" s="76" t="s">
        <v>2414</v>
      </c>
      <c r="Y400" s="76" t="s">
        <v>278</v>
      </c>
      <c r="Z400" s="76">
        <v>0.12</v>
      </c>
      <c r="AA400" s="76" t="s">
        <v>2413</v>
      </c>
      <c r="AB400" s="72" t="s">
        <v>2362</v>
      </c>
      <c r="AJ400" s="368"/>
    </row>
    <row r="401" spans="2:36">
      <c r="B401" s="72" t="s">
        <v>2412</v>
      </c>
      <c r="C401" s="73" t="s">
        <v>1691</v>
      </c>
      <c r="D401" s="74">
        <v>1000</v>
      </c>
      <c r="E401" s="72" t="s">
        <v>7</v>
      </c>
      <c r="F401" s="74">
        <v>500</v>
      </c>
      <c r="H401" s="77">
        <v>44971</v>
      </c>
      <c r="I401" s="72" t="s">
        <v>2411</v>
      </c>
      <c r="J401" s="72" t="s">
        <v>1</v>
      </c>
      <c r="K401" s="72" t="s">
        <v>2045</v>
      </c>
      <c r="L401" s="72" t="s">
        <v>2082</v>
      </c>
      <c r="M401" s="72">
        <v>2016</v>
      </c>
      <c r="N401" s="72" t="s">
        <v>2410</v>
      </c>
      <c r="O401" s="72" t="s">
        <v>2409</v>
      </c>
      <c r="AB401" s="72" t="s">
        <v>2152</v>
      </c>
      <c r="AJ401" s="368"/>
    </row>
    <row r="402" spans="2:36">
      <c r="B402" s="72" t="s">
        <v>2408</v>
      </c>
      <c r="C402" s="73" t="s">
        <v>1691</v>
      </c>
      <c r="D402" s="74">
        <v>1000</v>
      </c>
      <c r="E402" s="72" t="s">
        <v>9</v>
      </c>
      <c r="F402" s="74">
        <v>300</v>
      </c>
      <c r="H402" s="77">
        <v>43917</v>
      </c>
      <c r="I402" s="72" t="s">
        <v>2407</v>
      </c>
      <c r="J402" s="72" t="s">
        <v>2406</v>
      </c>
      <c r="K402" s="72" t="s">
        <v>2045</v>
      </c>
      <c r="L402" s="72" t="s">
        <v>2123</v>
      </c>
      <c r="M402" s="72">
        <v>2014</v>
      </c>
      <c r="N402" s="72" t="s">
        <v>2405</v>
      </c>
      <c r="AB402" s="72" t="s">
        <v>2370</v>
      </c>
      <c r="AE402" s="25" t="s">
        <v>2404</v>
      </c>
      <c r="AF402" s="64"/>
      <c r="AG402" s="59"/>
      <c r="AH402" s="59"/>
      <c r="AJ402" s="368"/>
    </row>
    <row r="403" spans="2:36">
      <c r="B403" s="72" t="s">
        <v>2403</v>
      </c>
      <c r="C403" s="73" t="s">
        <v>1691</v>
      </c>
      <c r="D403" s="74">
        <v>1000</v>
      </c>
      <c r="E403" s="72" t="s">
        <v>7</v>
      </c>
      <c r="F403" s="74">
        <v>283</v>
      </c>
      <c r="H403" s="77">
        <v>43689</v>
      </c>
      <c r="I403" s="72" t="s">
        <v>2402</v>
      </c>
      <c r="J403" s="72" t="s">
        <v>2401</v>
      </c>
      <c r="K403" s="72" t="s">
        <v>2045</v>
      </c>
      <c r="L403" s="72" t="s">
        <v>2400</v>
      </c>
      <c r="M403" s="72">
        <v>2015</v>
      </c>
      <c r="N403" s="72" t="s">
        <v>2399</v>
      </c>
      <c r="O403" s="72" t="s">
        <v>2398</v>
      </c>
      <c r="P403" s="76" t="s">
        <v>1</v>
      </c>
      <c r="Q403" s="76" t="s">
        <v>1</v>
      </c>
      <c r="R403" s="76" t="s">
        <v>1</v>
      </c>
      <c r="S403" s="76" t="s">
        <v>1</v>
      </c>
      <c r="T403" s="76" t="s">
        <v>1</v>
      </c>
      <c r="U403" s="76" t="s">
        <v>1</v>
      </c>
      <c r="V403" s="76" t="s">
        <v>1</v>
      </c>
      <c r="W403" s="76" t="s">
        <v>1</v>
      </c>
      <c r="X403" s="76" t="s">
        <v>1</v>
      </c>
      <c r="Y403" s="76" t="s">
        <v>1</v>
      </c>
      <c r="Z403" s="76" t="s">
        <v>1</v>
      </c>
      <c r="AA403" s="76" t="s">
        <v>1</v>
      </c>
      <c r="AB403" s="72" t="s">
        <v>2370</v>
      </c>
      <c r="AE403" s="25" t="s">
        <v>2397</v>
      </c>
      <c r="AF403" s="64"/>
      <c r="AG403" s="59"/>
      <c r="AH403" s="59"/>
      <c r="AJ403" s="368"/>
    </row>
    <row r="404" spans="2:36">
      <c r="B404" s="72" t="s">
        <v>2396</v>
      </c>
      <c r="C404" s="73" t="s">
        <v>1691</v>
      </c>
      <c r="D404" s="74">
        <v>1000</v>
      </c>
      <c r="E404" s="72" t="s">
        <v>7</v>
      </c>
      <c r="F404" s="74">
        <v>140</v>
      </c>
      <c r="H404" s="27">
        <v>43322</v>
      </c>
      <c r="I404" s="72" t="s">
        <v>2395</v>
      </c>
      <c r="J404" s="72" t="s">
        <v>2394</v>
      </c>
      <c r="K404" s="72" t="s">
        <v>2045</v>
      </c>
      <c r="L404" s="72" t="s">
        <v>2393</v>
      </c>
      <c r="M404" s="72">
        <v>2014</v>
      </c>
      <c r="N404" s="72" t="s">
        <v>2392</v>
      </c>
      <c r="O404" s="72" t="s">
        <v>2391</v>
      </c>
      <c r="P404" s="76" t="s">
        <v>1</v>
      </c>
      <c r="Q404" s="76" t="s">
        <v>1</v>
      </c>
      <c r="R404" s="76" t="s">
        <v>1</v>
      </c>
      <c r="S404" s="76" t="s">
        <v>1</v>
      </c>
      <c r="T404" s="76" t="s">
        <v>1</v>
      </c>
      <c r="U404" s="76" t="s">
        <v>1</v>
      </c>
      <c r="V404" s="76" t="s">
        <v>1</v>
      </c>
      <c r="W404" s="76" t="s">
        <v>1</v>
      </c>
      <c r="X404" s="76" t="s">
        <v>1</v>
      </c>
      <c r="Y404" s="76" t="s">
        <v>1</v>
      </c>
      <c r="Z404" s="76" t="s">
        <v>1</v>
      </c>
      <c r="AA404" s="76" t="s">
        <v>1</v>
      </c>
      <c r="AB404" s="72" t="s">
        <v>2370</v>
      </c>
      <c r="AJ404" s="368"/>
    </row>
    <row r="405" spans="2:36">
      <c r="B405" s="72" t="s">
        <v>29</v>
      </c>
      <c r="C405" s="73" t="s">
        <v>2138</v>
      </c>
      <c r="D405" s="74">
        <v>1000</v>
      </c>
      <c r="E405" s="72" t="s">
        <v>5</v>
      </c>
      <c r="F405" s="74">
        <v>228.57142857142858</v>
      </c>
      <c r="H405" s="77">
        <v>45078</v>
      </c>
      <c r="I405" s="72" t="s">
        <v>2390</v>
      </c>
      <c r="J405" s="72" t="s">
        <v>2386</v>
      </c>
      <c r="K405" s="72" t="s">
        <v>2045</v>
      </c>
      <c r="L405" s="72" t="s">
        <v>2389</v>
      </c>
      <c r="M405" s="72">
        <v>2023</v>
      </c>
      <c r="N405" s="72" t="s">
        <v>2388</v>
      </c>
      <c r="O405" s="72" t="s">
        <v>2387</v>
      </c>
      <c r="P405" s="76" t="s">
        <v>5</v>
      </c>
      <c r="Q405" s="76">
        <v>50</v>
      </c>
      <c r="R405" s="76" t="s">
        <v>2386</v>
      </c>
      <c r="S405" s="76" t="s">
        <v>1</v>
      </c>
      <c r="T405" s="76" t="s">
        <v>1</v>
      </c>
      <c r="U405" s="76" t="s">
        <v>1</v>
      </c>
      <c r="V405" s="76" t="s">
        <v>1</v>
      </c>
      <c r="W405" s="76" t="s">
        <v>1</v>
      </c>
      <c r="X405" s="76" t="s">
        <v>1</v>
      </c>
      <c r="Y405" s="76" t="s">
        <v>1</v>
      </c>
      <c r="Z405" s="76" t="s">
        <v>1</v>
      </c>
      <c r="AA405" s="76" t="s">
        <v>1</v>
      </c>
      <c r="AB405" s="72" t="s">
        <v>2370</v>
      </c>
      <c r="AJ405" s="368"/>
    </row>
    <row r="406" spans="2:36">
      <c r="B406" s="72" t="s">
        <v>2385</v>
      </c>
      <c r="C406" s="73" t="s">
        <v>2138</v>
      </c>
      <c r="D406" s="74">
        <v>1000</v>
      </c>
      <c r="N406" s="72" t="s">
        <v>2384</v>
      </c>
      <c r="AB406" s="72" t="s">
        <v>2048</v>
      </c>
      <c r="AE406" s="25" t="s">
        <v>2383</v>
      </c>
      <c r="AF406" s="64"/>
      <c r="AG406" s="59"/>
      <c r="AH406" s="59"/>
      <c r="AJ406" s="368"/>
    </row>
    <row r="407" spans="2:36">
      <c r="B407" s="72" t="s">
        <v>2382</v>
      </c>
      <c r="C407" s="73" t="s">
        <v>1691</v>
      </c>
      <c r="D407" s="74">
        <v>785</v>
      </c>
      <c r="E407" s="72" t="s">
        <v>7</v>
      </c>
      <c r="F407" s="74">
        <v>215</v>
      </c>
      <c r="H407" s="77">
        <v>44496</v>
      </c>
      <c r="I407" s="72" t="s">
        <v>2381</v>
      </c>
      <c r="J407" s="72" t="s">
        <v>2380</v>
      </c>
      <c r="K407" s="72" t="s">
        <v>2062</v>
      </c>
      <c r="L407" s="72" t="s">
        <v>2379</v>
      </c>
      <c r="M407" s="72">
        <v>2018</v>
      </c>
      <c r="N407" s="72" t="s">
        <v>2378</v>
      </c>
      <c r="O407" s="72" t="s">
        <v>2377</v>
      </c>
      <c r="AB407" s="72" t="s">
        <v>2055</v>
      </c>
      <c r="AE407" s="25" t="s">
        <v>2376</v>
      </c>
      <c r="AF407" s="64"/>
      <c r="AG407" s="59"/>
      <c r="AH407" s="59"/>
      <c r="AJ407" s="368"/>
    </row>
    <row r="408" spans="2:36">
      <c r="B408" s="72" t="s">
        <v>2375</v>
      </c>
      <c r="C408" s="73" t="s">
        <v>1691</v>
      </c>
      <c r="D408" s="74">
        <v>700</v>
      </c>
      <c r="E408" s="72" t="s">
        <v>18</v>
      </c>
      <c r="K408" s="72" t="s">
        <v>2045</v>
      </c>
      <c r="L408" s="72" t="s">
        <v>2349</v>
      </c>
      <c r="N408" s="72" t="s">
        <v>2374</v>
      </c>
      <c r="AE408" s="25"/>
      <c r="AF408" s="64"/>
      <c r="AG408" s="59"/>
      <c r="AH408" s="59"/>
      <c r="AJ408" s="368"/>
    </row>
    <row r="409" spans="2:36">
      <c r="B409" s="72" t="s">
        <v>2373</v>
      </c>
      <c r="C409" s="73" t="s">
        <v>1691</v>
      </c>
      <c r="D409" s="74">
        <v>700</v>
      </c>
      <c r="E409" s="72" t="s">
        <v>7</v>
      </c>
      <c r="F409" s="74">
        <f>1500/7</f>
        <v>214.28571428571428</v>
      </c>
      <c r="H409" s="77">
        <v>44922</v>
      </c>
      <c r="I409" s="72" t="s">
        <v>2372</v>
      </c>
      <c r="J409" s="72" t="s">
        <v>2371</v>
      </c>
      <c r="K409" s="72" t="s">
        <v>2045</v>
      </c>
      <c r="L409" s="72" t="s">
        <v>2079</v>
      </c>
      <c r="M409" s="72">
        <v>2020</v>
      </c>
      <c r="O409" s="72" t="s">
        <v>1</v>
      </c>
      <c r="P409" s="72" t="s">
        <v>1</v>
      </c>
      <c r="Q409" s="72" t="s">
        <v>1</v>
      </c>
      <c r="R409" s="72" t="s">
        <v>1</v>
      </c>
      <c r="S409" s="72" t="s">
        <v>1</v>
      </c>
      <c r="T409" s="72" t="s">
        <v>1</v>
      </c>
      <c r="U409" s="72" t="s">
        <v>1</v>
      </c>
      <c r="V409" s="72" t="s">
        <v>1</v>
      </c>
      <c r="W409" s="72" t="s">
        <v>1</v>
      </c>
      <c r="X409" s="72" t="s">
        <v>1</v>
      </c>
      <c r="Y409" s="72" t="s">
        <v>1</v>
      </c>
      <c r="Z409" s="72" t="s">
        <v>1</v>
      </c>
      <c r="AA409" s="72" t="s">
        <v>1</v>
      </c>
      <c r="AB409" s="72" t="s">
        <v>2370</v>
      </c>
      <c r="AE409" s="25" t="s">
        <v>2369</v>
      </c>
      <c r="AF409" s="64"/>
      <c r="AG409" s="59"/>
      <c r="AH409" s="59"/>
      <c r="AJ409" s="368"/>
    </row>
    <row r="410" spans="2:36">
      <c r="B410" s="72" t="s">
        <v>2368</v>
      </c>
      <c r="C410" s="73" t="s">
        <v>1691</v>
      </c>
      <c r="D410" s="74">
        <v>400</v>
      </c>
      <c r="E410" s="72" t="s">
        <v>7</v>
      </c>
      <c r="F410" s="74">
        <v>44</v>
      </c>
      <c r="H410" s="77">
        <v>45006</v>
      </c>
      <c r="I410" s="72" t="s">
        <v>2367</v>
      </c>
      <c r="J410" s="72" t="s">
        <v>2366</v>
      </c>
      <c r="K410" s="72" t="s">
        <v>2045</v>
      </c>
      <c r="L410" s="72" t="s">
        <v>2100</v>
      </c>
      <c r="M410" s="72">
        <v>2012</v>
      </c>
      <c r="O410" s="72" t="s">
        <v>2365</v>
      </c>
      <c r="P410" s="76" t="s">
        <v>1</v>
      </c>
      <c r="Q410" s="76">
        <v>39.700000000000003</v>
      </c>
      <c r="R410" s="76" t="s">
        <v>1</v>
      </c>
      <c r="S410" s="76" t="s">
        <v>5</v>
      </c>
      <c r="T410" s="76">
        <v>15</v>
      </c>
      <c r="U410" s="76" t="s">
        <v>2364</v>
      </c>
      <c r="V410" s="76" t="s">
        <v>4</v>
      </c>
      <c r="W410" s="76">
        <v>4</v>
      </c>
      <c r="X410" s="76" t="s">
        <v>2363</v>
      </c>
      <c r="Y410" s="76" t="s">
        <v>278</v>
      </c>
      <c r="Z410" s="76" t="s">
        <v>1</v>
      </c>
      <c r="AA410" s="76" t="s">
        <v>1</v>
      </c>
      <c r="AB410" s="72" t="s">
        <v>2362</v>
      </c>
      <c r="AJ410" s="368"/>
    </row>
    <row r="411" spans="2:36">
      <c r="B411" s="72" t="s">
        <v>2361</v>
      </c>
      <c r="C411" s="73" t="s">
        <v>1691</v>
      </c>
      <c r="D411" s="74">
        <v>500</v>
      </c>
      <c r="E411" s="72" t="s">
        <v>7</v>
      </c>
      <c r="F411" s="74">
        <v>159</v>
      </c>
      <c r="H411" s="77">
        <v>45092</v>
      </c>
      <c r="I411" s="72" t="s">
        <v>2360</v>
      </c>
      <c r="J411" s="72" t="s">
        <v>1</v>
      </c>
      <c r="K411" s="72" t="s">
        <v>2203</v>
      </c>
      <c r="L411" s="72" t="s">
        <v>2203</v>
      </c>
      <c r="M411" s="72">
        <v>2015</v>
      </c>
      <c r="O411" s="72" t="s">
        <v>2359</v>
      </c>
      <c r="P411" s="76" t="s">
        <v>7</v>
      </c>
      <c r="Q411" s="76">
        <v>159</v>
      </c>
      <c r="R411" s="76" t="s">
        <v>2358</v>
      </c>
      <c r="S411" s="76" t="s">
        <v>5</v>
      </c>
      <c r="T411" s="76">
        <v>12</v>
      </c>
      <c r="U411" s="76" t="s">
        <v>2357</v>
      </c>
      <c r="V411" s="76" t="s">
        <v>1</v>
      </c>
      <c r="W411" s="76" t="s">
        <v>1</v>
      </c>
      <c r="X411" s="76" t="s">
        <v>1</v>
      </c>
      <c r="Y411" s="76" t="s">
        <v>1</v>
      </c>
      <c r="Z411" s="76" t="s">
        <v>1</v>
      </c>
      <c r="AA411" s="76" t="s">
        <v>1</v>
      </c>
      <c r="AB411" s="72" t="s">
        <v>2152</v>
      </c>
      <c r="AJ411" s="368"/>
    </row>
    <row r="412" spans="2:36">
      <c r="B412" s="72" t="s">
        <v>622</v>
      </c>
      <c r="C412" s="73" t="s">
        <v>1691</v>
      </c>
      <c r="D412" s="74">
        <v>500</v>
      </c>
      <c r="E412" s="72" t="s">
        <v>18</v>
      </c>
      <c r="F412" s="74">
        <v>169</v>
      </c>
      <c r="H412" s="77">
        <v>44727</v>
      </c>
      <c r="I412" s="72" t="s">
        <v>2355</v>
      </c>
      <c r="J412" s="72" t="s">
        <v>2356</v>
      </c>
      <c r="K412" s="72" t="s">
        <v>2355</v>
      </c>
      <c r="L412" s="72" t="s">
        <v>2355</v>
      </c>
      <c r="M412" s="72">
        <v>2010</v>
      </c>
      <c r="O412" s="72" t="s">
        <v>623</v>
      </c>
      <c r="P412" s="76" t="s">
        <v>7</v>
      </c>
      <c r="Q412" s="76">
        <v>14</v>
      </c>
      <c r="R412" s="76" t="s">
        <v>2354</v>
      </c>
      <c r="S412" s="76" t="s">
        <v>5</v>
      </c>
      <c r="T412" s="76">
        <v>6</v>
      </c>
      <c r="U412" s="76" t="s">
        <v>2353</v>
      </c>
      <c r="V412" s="76" t="s">
        <v>1</v>
      </c>
      <c r="W412" s="76" t="s">
        <v>1</v>
      </c>
      <c r="X412" s="76" t="s">
        <v>1</v>
      </c>
      <c r="Y412" s="76" t="s">
        <v>1</v>
      </c>
      <c r="Z412" s="76" t="s">
        <v>1</v>
      </c>
      <c r="AA412" s="76" t="s">
        <v>1</v>
      </c>
      <c r="AB412" s="72" t="s">
        <v>2352</v>
      </c>
      <c r="AJ412" s="368"/>
    </row>
    <row r="413" spans="2:36">
      <c r="B413" s="72" t="s">
        <v>901</v>
      </c>
      <c r="C413" s="73" t="s">
        <v>1691</v>
      </c>
      <c r="D413" s="74">
        <v>400</v>
      </c>
      <c r="E413" s="72" t="s">
        <v>5</v>
      </c>
      <c r="F413" s="74">
        <v>70</v>
      </c>
      <c r="H413" s="77">
        <v>45035</v>
      </c>
      <c r="I413" s="72" t="s">
        <v>2351</v>
      </c>
      <c r="J413" s="72" t="s">
        <v>2350</v>
      </c>
      <c r="K413" s="72" t="s">
        <v>2045</v>
      </c>
      <c r="L413" s="72" t="s">
        <v>2349</v>
      </c>
      <c r="M413" s="72">
        <v>2022</v>
      </c>
      <c r="O413" s="72" t="s">
        <v>2348</v>
      </c>
      <c r="P413" s="76" t="s">
        <v>1</v>
      </c>
      <c r="Q413" s="76" t="s">
        <v>1</v>
      </c>
      <c r="R413" s="76" t="s">
        <v>1</v>
      </c>
      <c r="S413" s="76" t="s">
        <v>1</v>
      </c>
      <c r="T413" s="76" t="s">
        <v>1</v>
      </c>
      <c r="U413" s="76" t="s">
        <v>1</v>
      </c>
      <c r="V413" s="76" t="s">
        <v>1</v>
      </c>
      <c r="W413" s="76" t="s">
        <v>1</v>
      </c>
      <c r="X413" s="76" t="s">
        <v>1</v>
      </c>
      <c r="Y413" s="76" t="s">
        <v>1</v>
      </c>
      <c r="Z413" s="76" t="s">
        <v>1</v>
      </c>
      <c r="AA413" s="76" t="s">
        <v>1</v>
      </c>
      <c r="AB413" s="72" t="s">
        <v>2191</v>
      </c>
      <c r="AJ413" s="368"/>
    </row>
    <row r="414" spans="2:36">
      <c r="B414" s="72" t="s">
        <v>2347</v>
      </c>
      <c r="C414" s="73" t="s">
        <v>1691</v>
      </c>
      <c r="D414" s="74">
        <v>300</v>
      </c>
      <c r="E414" s="72" t="s">
        <v>18</v>
      </c>
      <c r="F414" s="74">
        <v>40</v>
      </c>
      <c r="H414" s="77">
        <v>44909</v>
      </c>
      <c r="I414" s="72" t="s">
        <v>2346</v>
      </c>
      <c r="J414" s="72" t="s">
        <v>2345</v>
      </c>
      <c r="K414" s="72" t="s">
        <v>2045</v>
      </c>
      <c r="L414" s="72" t="s">
        <v>2344</v>
      </c>
      <c r="M414" s="72">
        <v>2013</v>
      </c>
      <c r="N414" s="72" t="s">
        <v>2343</v>
      </c>
      <c r="O414" s="72" t="s">
        <v>2342</v>
      </c>
      <c r="P414" s="76" t="s">
        <v>18</v>
      </c>
      <c r="Q414" s="76">
        <v>40</v>
      </c>
      <c r="R414" s="76" t="s">
        <v>2341</v>
      </c>
      <c r="S414" s="76" t="s">
        <v>7</v>
      </c>
      <c r="T414" s="76" t="s">
        <v>1</v>
      </c>
      <c r="U414" s="76" t="s">
        <v>2340</v>
      </c>
      <c r="V414" s="76" t="s">
        <v>5</v>
      </c>
      <c r="W414" s="76">
        <v>15</v>
      </c>
      <c r="X414" s="76" t="s">
        <v>2339</v>
      </c>
      <c r="Y414" s="76" t="s">
        <v>1</v>
      </c>
      <c r="Z414" s="76" t="s">
        <v>1</v>
      </c>
      <c r="AA414" s="76" t="s">
        <v>1</v>
      </c>
      <c r="AB414" s="72" t="s">
        <v>2043</v>
      </c>
      <c r="AJ414" s="368"/>
    </row>
    <row r="415" spans="2:36">
      <c r="B415" s="72" t="s">
        <v>2338</v>
      </c>
      <c r="C415" s="73" t="s">
        <v>1691</v>
      </c>
      <c r="D415" s="74" t="s">
        <v>1</v>
      </c>
      <c r="E415" s="72" t="s">
        <v>4</v>
      </c>
      <c r="F415" s="74" t="s">
        <v>1</v>
      </c>
      <c r="H415" s="77">
        <v>44750</v>
      </c>
      <c r="I415" s="72" t="s">
        <v>2337</v>
      </c>
      <c r="J415" s="72" t="s">
        <v>2336</v>
      </c>
      <c r="K415" s="72" t="s">
        <v>968</v>
      </c>
      <c r="L415" s="72" t="s">
        <v>2335</v>
      </c>
      <c r="M415" s="72">
        <v>2020</v>
      </c>
      <c r="O415" s="72" t="s">
        <v>125</v>
      </c>
      <c r="P415" s="76" t="s">
        <v>278</v>
      </c>
      <c r="Q415" s="76">
        <v>2</v>
      </c>
      <c r="R415" s="76" t="s">
        <v>2334</v>
      </c>
      <c r="S415" s="76" t="s">
        <v>1</v>
      </c>
      <c r="T415" s="76" t="s">
        <v>1</v>
      </c>
      <c r="U415" s="76" t="s">
        <v>1</v>
      </c>
      <c r="V415" s="76" t="s">
        <v>1</v>
      </c>
      <c r="W415" s="76" t="s">
        <v>1</v>
      </c>
      <c r="X415" s="76" t="s">
        <v>1</v>
      </c>
      <c r="Y415" s="76" t="s">
        <v>1</v>
      </c>
      <c r="Z415" s="76" t="s">
        <v>1</v>
      </c>
      <c r="AA415" s="76" t="s">
        <v>1</v>
      </c>
      <c r="AB415" s="72" t="s">
        <v>2163</v>
      </c>
      <c r="AJ415" s="368"/>
    </row>
    <row r="416" spans="2:36">
      <c r="B416" s="72" t="s">
        <v>2333</v>
      </c>
      <c r="C416" s="73" t="s">
        <v>2138</v>
      </c>
      <c r="D416" s="74">
        <v>230</v>
      </c>
      <c r="E416" s="72" t="s">
        <v>5</v>
      </c>
      <c r="F416" s="74">
        <v>150</v>
      </c>
      <c r="H416" s="77">
        <v>44165</v>
      </c>
      <c r="J416" s="72" t="s">
        <v>1</v>
      </c>
      <c r="K416" s="72" t="s">
        <v>2045</v>
      </c>
      <c r="L416" s="72" t="s">
        <v>2332</v>
      </c>
      <c r="M416" s="72">
        <v>2016</v>
      </c>
      <c r="O416" s="72" t="s">
        <v>2331</v>
      </c>
      <c r="P416" s="76" t="s">
        <v>1</v>
      </c>
      <c r="Q416" s="76" t="s">
        <v>1</v>
      </c>
      <c r="R416" s="76" t="s">
        <v>1</v>
      </c>
      <c r="S416" s="76" t="s">
        <v>1</v>
      </c>
      <c r="T416" s="76" t="s">
        <v>1</v>
      </c>
      <c r="U416" s="76" t="s">
        <v>1</v>
      </c>
      <c r="V416" s="76" t="s">
        <v>1</v>
      </c>
      <c r="W416" s="76" t="s">
        <v>1</v>
      </c>
      <c r="X416" s="76" t="s">
        <v>1</v>
      </c>
      <c r="Y416" s="76" t="s">
        <v>1</v>
      </c>
      <c r="Z416" s="76" t="s">
        <v>1</v>
      </c>
      <c r="AA416" s="76" t="s">
        <v>1</v>
      </c>
      <c r="AB416" s="72" t="s">
        <v>2330</v>
      </c>
      <c r="AJ416" s="368"/>
    </row>
    <row r="417" spans="2:36">
      <c r="B417" s="72" t="s">
        <v>2063</v>
      </c>
      <c r="C417" s="73" t="s">
        <v>1691</v>
      </c>
      <c r="D417" s="74">
        <v>200</v>
      </c>
      <c r="E417" s="72" t="s">
        <v>7</v>
      </c>
      <c r="F417" s="74">
        <v>56</v>
      </c>
      <c r="H417" s="77">
        <v>43754</v>
      </c>
      <c r="I417" s="134" t="s">
        <v>2061</v>
      </c>
      <c r="K417" s="72" t="s">
        <v>2062</v>
      </c>
      <c r="L417" s="72" t="s">
        <v>2061</v>
      </c>
      <c r="M417" s="72">
        <v>2014</v>
      </c>
      <c r="N417" s="134" t="s">
        <v>6196</v>
      </c>
      <c r="O417" s="134" t="s">
        <v>6198</v>
      </c>
      <c r="P417" s="139" t="s">
        <v>1</v>
      </c>
      <c r="Q417" s="139" t="s">
        <v>1</v>
      </c>
      <c r="R417" s="139" t="s">
        <v>1</v>
      </c>
      <c r="S417" s="139" t="s">
        <v>1</v>
      </c>
      <c r="T417" s="139" t="s">
        <v>1</v>
      </c>
      <c r="U417" s="139" t="s">
        <v>1</v>
      </c>
      <c r="V417" s="139" t="s">
        <v>1</v>
      </c>
      <c r="W417" s="139" t="s">
        <v>1</v>
      </c>
      <c r="X417" s="139" t="s">
        <v>1</v>
      </c>
      <c r="Y417" s="139" t="s">
        <v>1</v>
      </c>
      <c r="Z417" s="139" t="s">
        <v>1</v>
      </c>
      <c r="AA417" s="139" t="s">
        <v>1</v>
      </c>
      <c r="AB417" s="72" t="s">
        <v>2059</v>
      </c>
      <c r="AE417" s="25" t="s">
        <v>2058</v>
      </c>
      <c r="AF417" s="64"/>
      <c r="AG417" s="59"/>
      <c r="AH417" s="59"/>
      <c r="AJ417" s="368"/>
    </row>
    <row r="418" spans="2:36">
      <c r="B418" s="238" t="s">
        <v>7530</v>
      </c>
      <c r="C418" s="237" t="s">
        <v>1691</v>
      </c>
      <c r="D418" s="72">
        <v>200</v>
      </c>
      <c r="E418" s="238" t="s">
        <v>5</v>
      </c>
      <c r="F418" s="72">
        <v>45</v>
      </c>
      <c r="G418" s="72">
        <f>F418+Q418</f>
        <v>53</v>
      </c>
      <c r="H418" s="78">
        <v>45000</v>
      </c>
      <c r="I418" s="238" t="s">
        <v>7537</v>
      </c>
      <c r="J418" s="238" t="s">
        <v>7532</v>
      </c>
      <c r="K418" s="238" t="s">
        <v>2045</v>
      </c>
      <c r="L418" s="238" t="s">
        <v>2062</v>
      </c>
      <c r="M418" s="72">
        <v>2020</v>
      </c>
      <c r="O418" s="238" t="s">
        <v>7535</v>
      </c>
      <c r="P418" s="238" t="s">
        <v>5</v>
      </c>
      <c r="Q418" s="72">
        <v>8</v>
      </c>
      <c r="R418" s="238" t="s">
        <v>7536</v>
      </c>
      <c r="S418" s="238" t="s">
        <v>1</v>
      </c>
      <c r="T418" s="238" t="s">
        <v>1</v>
      </c>
      <c r="U418" s="238" t="s">
        <v>1</v>
      </c>
      <c r="V418" s="238" t="s">
        <v>1</v>
      </c>
      <c r="W418" s="238" t="s">
        <v>1</v>
      </c>
      <c r="X418" s="238" t="s">
        <v>1</v>
      </c>
      <c r="Y418" s="238" t="s">
        <v>1</v>
      </c>
      <c r="Z418" s="238" t="s">
        <v>1</v>
      </c>
      <c r="AA418" s="238" t="s">
        <v>1</v>
      </c>
      <c r="AB418" s="238" t="s">
        <v>6600</v>
      </c>
      <c r="AC418" s="238" t="s">
        <v>7533</v>
      </c>
      <c r="AD418" s="238" t="s">
        <v>7534</v>
      </c>
      <c r="AE418" s="25" t="s">
        <v>7531</v>
      </c>
      <c r="AF418" s="72"/>
      <c r="AG418" s="72"/>
      <c r="AH418" s="72"/>
      <c r="AJ418" s="368"/>
    </row>
    <row r="419" spans="2:36">
      <c r="B419" s="72" t="s">
        <v>2329</v>
      </c>
      <c r="C419" s="73" t="s">
        <v>2138</v>
      </c>
      <c r="D419" s="74">
        <v>200</v>
      </c>
      <c r="E419" s="72" t="s">
        <v>8</v>
      </c>
      <c r="F419" s="74">
        <v>30</v>
      </c>
      <c r="H419" s="77">
        <v>43178</v>
      </c>
      <c r="I419" s="72" t="s">
        <v>2328</v>
      </c>
      <c r="J419" s="72" t="s">
        <v>2327</v>
      </c>
      <c r="K419" s="72" t="s">
        <v>2045</v>
      </c>
      <c r="L419" s="72" t="s">
        <v>2082</v>
      </c>
      <c r="M419" s="72">
        <v>2000</v>
      </c>
      <c r="N419" s="72" t="s">
        <v>2326</v>
      </c>
      <c r="O419" s="72" t="s">
        <v>2325</v>
      </c>
      <c r="P419" s="76" t="s">
        <v>8</v>
      </c>
      <c r="Q419" s="76">
        <v>40</v>
      </c>
      <c r="R419" s="76" t="s">
        <v>2324</v>
      </c>
      <c r="S419" s="76" t="s">
        <v>1</v>
      </c>
      <c r="T419" s="76" t="s">
        <v>1</v>
      </c>
      <c r="U419" s="76" t="s">
        <v>1</v>
      </c>
      <c r="V419" s="76" t="s">
        <v>1</v>
      </c>
      <c r="W419" s="76" t="s">
        <v>1</v>
      </c>
      <c r="X419" s="76" t="s">
        <v>1</v>
      </c>
      <c r="Y419" s="76" t="s">
        <v>1</v>
      </c>
      <c r="Z419" s="76" t="s">
        <v>1</v>
      </c>
      <c r="AA419" s="76" t="s">
        <v>1</v>
      </c>
      <c r="AB419" s="72" t="s">
        <v>2323</v>
      </c>
      <c r="AJ419" s="368"/>
    </row>
    <row r="420" spans="2:36">
      <c r="B420" s="72" t="s">
        <v>2322</v>
      </c>
      <c r="C420" s="73" t="s">
        <v>1691</v>
      </c>
      <c r="D420" s="74">
        <v>150</v>
      </c>
      <c r="E420" s="72" t="s">
        <v>18</v>
      </c>
      <c r="F420" s="74">
        <v>30</v>
      </c>
      <c r="H420" s="77">
        <v>44251</v>
      </c>
      <c r="I420" s="72" t="s">
        <v>2321</v>
      </c>
      <c r="J420" s="72" t="s">
        <v>2320</v>
      </c>
      <c r="K420" s="72" t="s">
        <v>2045</v>
      </c>
      <c r="L420" s="72" t="s">
        <v>2319</v>
      </c>
      <c r="M420" s="72">
        <v>2014</v>
      </c>
      <c r="O420" s="72" t="s">
        <v>2318</v>
      </c>
      <c r="P420" s="76" t="s">
        <v>1</v>
      </c>
      <c r="Q420" s="76" t="s">
        <v>1</v>
      </c>
      <c r="R420" s="76" t="s">
        <v>1</v>
      </c>
      <c r="S420" s="76" t="s">
        <v>1</v>
      </c>
      <c r="T420" s="76" t="s">
        <v>1</v>
      </c>
      <c r="U420" s="76" t="s">
        <v>1</v>
      </c>
      <c r="V420" s="76" t="s">
        <v>1</v>
      </c>
      <c r="W420" s="76" t="s">
        <v>1</v>
      </c>
      <c r="X420" s="76" t="s">
        <v>1</v>
      </c>
      <c r="Y420" s="76" t="s">
        <v>1</v>
      </c>
      <c r="Z420" s="76" t="s">
        <v>1</v>
      </c>
      <c r="AA420" s="76" t="s">
        <v>1</v>
      </c>
      <c r="AB420" s="72" t="s">
        <v>2048</v>
      </c>
      <c r="AJ420" s="368"/>
    </row>
    <row r="421" spans="2:36">
      <c r="B421" s="72" t="s">
        <v>2107</v>
      </c>
      <c r="C421" s="73" t="s">
        <v>1691</v>
      </c>
      <c r="D421" s="74">
        <v>100</v>
      </c>
      <c r="E421" s="72" t="s">
        <v>4</v>
      </c>
      <c r="F421" s="74">
        <v>2</v>
      </c>
      <c r="H421" s="77">
        <v>45015</v>
      </c>
      <c r="I421" s="72" t="s">
        <v>2367</v>
      </c>
      <c r="J421" s="72" t="s">
        <v>1</v>
      </c>
      <c r="K421" s="72" t="s">
        <v>2045</v>
      </c>
      <c r="L421" s="72" t="s">
        <v>2079</v>
      </c>
      <c r="M421" s="72">
        <v>2022</v>
      </c>
      <c r="N421" s="72" t="s">
        <v>2106</v>
      </c>
      <c r="O421" s="72" t="s">
        <v>1</v>
      </c>
      <c r="P421" s="72" t="s">
        <v>1</v>
      </c>
      <c r="Q421" s="72" t="s">
        <v>1</v>
      </c>
      <c r="R421" s="72" t="s">
        <v>1</v>
      </c>
      <c r="S421" s="72" t="s">
        <v>1</v>
      </c>
      <c r="T421" s="72" t="s">
        <v>1</v>
      </c>
      <c r="U421" s="72" t="s">
        <v>1</v>
      </c>
      <c r="V421" s="72" t="s">
        <v>1</v>
      </c>
      <c r="W421" s="72" t="s">
        <v>1</v>
      </c>
      <c r="X421" s="72" t="s">
        <v>1</v>
      </c>
      <c r="Y421" s="72" t="s">
        <v>1</v>
      </c>
      <c r="Z421" s="72" t="s">
        <v>1</v>
      </c>
      <c r="AA421" s="72" t="s">
        <v>1</v>
      </c>
      <c r="AB421" s="72" t="s">
        <v>2105</v>
      </c>
      <c r="AE421" s="25" t="s">
        <v>2104</v>
      </c>
      <c r="AF421" s="64"/>
      <c r="AG421" s="59"/>
      <c r="AH421" s="59"/>
      <c r="AJ421" s="368"/>
    </row>
    <row r="422" spans="2:36" s="176" customFormat="1">
      <c r="B422" s="176" t="s">
        <v>2022</v>
      </c>
      <c r="C422" s="184" t="s">
        <v>1691</v>
      </c>
      <c r="D422" s="178">
        <v>100</v>
      </c>
      <c r="E422" s="176" t="s">
        <v>5</v>
      </c>
      <c r="F422" s="178">
        <v>15</v>
      </c>
      <c r="G422" s="178">
        <f>F422+Q422</f>
        <v>19</v>
      </c>
      <c r="H422" s="185">
        <v>44872</v>
      </c>
      <c r="I422" s="176" t="s">
        <v>6732</v>
      </c>
      <c r="J422" s="176" t="s">
        <v>6731</v>
      </c>
      <c r="K422" s="176" t="s">
        <v>2045</v>
      </c>
      <c r="L422" s="176" t="s">
        <v>6730</v>
      </c>
      <c r="M422" s="176">
        <v>2019</v>
      </c>
      <c r="N422" s="176" t="s">
        <v>6380</v>
      </c>
      <c r="O422" s="176" t="s">
        <v>6734</v>
      </c>
      <c r="P422" s="179" t="s">
        <v>4</v>
      </c>
      <c r="Q422" s="179">
        <v>4</v>
      </c>
      <c r="R422" s="192">
        <v>44673</v>
      </c>
      <c r="S422" s="179" t="s">
        <v>4</v>
      </c>
      <c r="T422" s="179" t="s">
        <v>1</v>
      </c>
      <c r="U422" s="179" t="s">
        <v>6735</v>
      </c>
      <c r="V422" s="179" t="s">
        <v>1</v>
      </c>
      <c r="W422" s="179" t="s">
        <v>1</v>
      </c>
      <c r="X422" s="179" t="s">
        <v>1</v>
      </c>
      <c r="Y422" s="179" t="s">
        <v>1</v>
      </c>
      <c r="Z422" s="179" t="s">
        <v>1</v>
      </c>
      <c r="AA422" s="179" t="s">
        <v>1</v>
      </c>
      <c r="AB422" s="176" t="s">
        <v>6600</v>
      </c>
      <c r="AC422" s="176" t="s">
        <v>6603</v>
      </c>
      <c r="AD422" s="176" t="s">
        <v>2362</v>
      </c>
      <c r="AE422" s="25" t="s">
        <v>6733</v>
      </c>
      <c r="AF422" s="63"/>
      <c r="AG422" s="58"/>
      <c r="AH422" s="58"/>
      <c r="AJ422" s="368"/>
    </row>
    <row r="423" spans="2:36" s="274" customFormat="1">
      <c r="B423" s="274" t="s">
        <v>2002</v>
      </c>
      <c r="C423" s="397" t="s">
        <v>2138</v>
      </c>
      <c r="D423" s="274">
        <v>50</v>
      </c>
      <c r="E423" s="274" t="s">
        <v>4</v>
      </c>
      <c r="F423" s="274">
        <v>8</v>
      </c>
      <c r="G423" s="274">
        <f>+F423</f>
        <v>8</v>
      </c>
      <c r="H423" s="327">
        <v>44482</v>
      </c>
      <c r="I423" s="274" t="s">
        <v>8300</v>
      </c>
      <c r="J423" s="274" t="s">
        <v>8298</v>
      </c>
      <c r="K423" s="274" t="s">
        <v>2045</v>
      </c>
      <c r="L423" s="274" t="s">
        <v>3033</v>
      </c>
      <c r="M423" s="274">
        <v>2019</v>
      </c>
      <c r="O423" s="274" t="s">
        <v>8301</v>
      </c>
      <c r="P423" s="274" t="s">
        <v>4</v>
      </c>
      <c r="Q423" s="274" t="s">
        <v>1</v>
      </c>
      <c r="R423" s="274" t="s">
        <v>8890</v>
      </c>
      <c r="S423" s="274" t="s">
        <v>1</v>
      </c>
      <c r="T423" s="274" t="s">
        <v>1</v>
      </c>
      <c r="U423" s="274" t="s">
        <v>1</v>
      </c>
      <c r="V423" s="274" t="s">
        <v>1</v>
      </c>
      <c r="W423" s="274" t="s">
        <v>1</v>
      </c>
      <c r="X423" s="274" t="s">
        <v>1</v>
      </c>
      <c r="Y423" s="274" t="s">
        <v>1</v>
      </c>
      <c r="Z423" s="274" t="s">
        <v>1</v>
      </c>
      <c r="AA423" s="274" t="s">
        <v>1</v>
      </c>
      <c r="AB423" s="274" t="s">
        <v>8891</v>
      </c>
      <c r="AC423" s="274" t="s">
        <v>8892</v>
      </c>
      <c r="AD423" s="274" t="s">
        <v>2352</v>
      </c>
      <c r="AE423" s="25" t="s">
        <v>8299</v>
      </c>
      <c r="AF423" s="344" t="s">
        <v>7145</v>
      </c>
      <c r="AG423" s="344" t="s">
        <v>7145</v>
      </c>
      <c r="AH423" s="274">
        <v>5.0000000000000001E-3</v>
      </c>
      <c r="AJ423" s="368"/>
    </row>
    <row r="424" spans="2:36">
      <c r="B424" s="72" t="s">
        <v>2317</v>
      </c>
      <c r="C424" s="73" t="s">
        <v>1691</v>
      </c>
      <c r="D424" s="74" t="s">
        <v>1</v>
      </c>
      <c r="E424" s="72" t="s">
        <v>278</v>
      </c>
      <c r="F424" s="74" t="s">
        <v>1</v>
      </c>
      <c r="H424" s="74" t="s">
        <v>1</v>
      </c>
      <c r="J424" s="72" t="s">
        <v>2316</v>
      </c>
      <c r="K424" s="72" t="s">
        <v>2315</v>
      </c>
      <c r="L424" s="72" t="s">
        <v>2062</v>
      </c>
      <c r="M424" s="72">
        <v>2022</v>
      </c>
      <c r="O424" s="80" t="s">
        <v>1</v>
      </c>
      <c r="P424" s="80" t="s">
        <v>1</v>
      </c>
      <c r="Q424" s="80" t="s">
        <v>1</v>
      </c>
      <c r="R424" s="80" t="s">
        <v>1</v>
      </c>
      <c r="S424" s="80" t="s">
        <v>1</v>
      </c>
      <c r="T424" s="80" t="s">
        <v>1</v>
      </c>
      <c r="U424" s="80" t="s">
        <v>1</v>
      </c>
      <c r="V424" s="80" t="s">
        <v>1</v>
      </c>
      <c r="W424" s="80" t="s">
        <v>1</v>
      </c>
      <c r="X424" s="80" t="s">
        <v>1</v>
      </c>
      <c r="Y424" s="80" t="s">
        <v>1</v>
      </c>
      <c r="Z424" s="80" t="s">
        <v>1</v>
      </c>
      <c r="AA424" s="80" t="s">
        <v>1</v>
      </c>
      <c r="AB424" s="72" t="s">
        <v>2314</v>
      </c>
      <c r="AJ424" s="368"/>
    </row>
    <row r="425" spans="2:36">
      <c r="B425" s="72" t="s">
        <v>2313</v>
      </c>
      <c r="C425" s="73" t="s">
        <v>2138</v>
      </c>
      <c r="D425" s="74" t="s">
        <v>1</v>
      </c>
      <c r="E425" s="80" t="s">
        <v>1</v>
      </c>
      <c r="F425" s="74">
        <v>150</v>
      </c>
      <c r="H425" s="75">
        <v>2016</v>
      </c>
      <c r="I425" s="72" t="s">
        <v>2312</v>
      </c>
      <c r="J425" s="72" t="s">
        <v>1</v>
      </c>
      <c r="K425" s="72" t="s">
        <v>2045</v>
      </c>
      <c r="L425" s="72" t="s">
        <v>2311</v>
      </c>
      <c r="M425" s="72">
        <v>2016</v>
      </c>
      <c r="O425" s="72" t="s">
        <v>1</v>
      </c>
      <c r="P425" s="76" t="s">
        <v>1</v>
      </c>
      <c r="Q425" s="76" t="s">
        <v>1</v>
      </c>
      <c r="R425" s="76" t="s">
        <v>1</v>
      </c>
      <c r="S425" s="76" t="s">
        <v>1</v>
      </c>
      <c r="T425" s="76" t="s">
        <v>1</v>
      </c>
      <c r="U425" s="76" t="s">
        <v>1</v>
      </c>
      <c r="V425" s="76" t="s">
        <v>1</v>
      </c>
      <c r="W425" s="76" t="s">
        <v>1</v>
      </c>
      <c r="X425" s="76" t="s">
        <v>1</v>
      </c>
      <c r="Y425" s="76" t="s">
        <v>1</v>
      </c>
      <c r="Z425" s="76" t="s">
        <v>1</v>
      </c>
      <c r="AA425" s="76" t="s">
        <v>1</v>
      </c>
      <c r="AB425" s="72" t="s">
        <v>2152</v>
      </c>
      <c r="AF425" s="72"/>
      <c r="AG425" s="72"/>
      <c r="AH425" s="72"/>
      <c r="AJ425" s="368"/>
    </row>
    <row r="426" spans="2:36">
      <c r="B426" s="72" t="s">
        <v>2310</v>
      </c>
      <c r="C426" s="73" t="s">
        <v>1691</v>
      </c>
      <c r="D426" s="74" t="s">
        <v>1</v>
      </c>
      <c r="E426" s="72" t="s">
        <v>278</v>
      </c>
      <c r="F426" s="74" t="s">
        <v>1</v>
      </c>
      <c r="H426" s="75" t="s">
        <v>1</v>
      </c>
      <c r="I426" s="72" t="s">
        <v>2309</v>
      </c>
      <c r="J426" s="72" t="s">
        <v>1</v>
      </c>
      <c r="K426" s="72" t="s">
        <v>2308</v>
      </c>
      <c r="L426" s="72" t="s">
        <v>2307</v>
      </c>
      <c r="M426" s="72">
        <v>2022</v>
      </c>
      <c r="O426" s="72" t="s">
        <v>2306</v>
      </c>
      <c r="P426" s="72" t="s">
        <v>1</v>
      </c>
      <c r="Q426" s="72" t="s">
        <v>1</v>
      </c>
      <c r="R426" s="72" t="s">
        <v>1</v>
      </c>
      <c r="S426" s="72" t="s">
        <v>1</v>
      </c>
      <c r="T426" s="72" t="s">
        <v>1</v>
      </c>
      <c r="U426" s="72" t="s">
        <v>1</v>
      </c>
      <c r="V426" s="72" t="s">
        <v>1</v>
      </c>
      <c r="W426" s="72" t="s">
        <v>1</v>
      </c>
      <c r="X426" s="72" t="s">
        <v>1</v>
      </c>
      <c r="Y426" s="72" t="s">
        <v>1</v>
      </c>
      <c r="Z426" s="72" t="s">
        <v>1</v>
      </c>
      <c r="AA426" s="72" t="s">
        <v>1</v>
      </c>
      <c r="AB426" s="72" t="s">
        <v>2305</v>
      </c>
      <c r="AF426" s="72"/>
      <c r="AG426" s="72"/>
      <c r="AH426" s="72"/>
      <c r="AJ426" s="368"/>
    </row>
    <row r="427" spans="2:36">
      <c r="B427" s="72" t="s">
        <v>2304</v>
      </c>
      <c r="C427" s="73" t="s">
        <v>1691</v>
      </c>
      <c r="D427" s="74" t="s">
        <v>1691</v>
      </c>
      <c r="E427" s="74" t="s">
        <v>1691</v>
      </c>
      <c r="F427" s="74" t="s">
        <v>1691</v>
      </c>
      <c r="H427" s="74" t="s">
        <v>1691</v>
      </c>
      <c r="I427" s="72" t="s">
        <v>2303</v>
      </c>
      <c r="J427" s="72" t="s">
        <v>1</v>
      </c>
      <c r="K427" s="72" t="s">
        <v>2045</v>
      </c>
      <c r="L427" s="72" t="s">
        <v>2302</v>
      </c>
      <c r="M427" s="72">
        <v>2014</v>
      </c>
      <c r="O427" s="72" t="s">
        <v>1</v>
      </c>
      <c r="P427" s="72" t="s">
        <v>1</v>
      </c>
      <c r="Q427" s="72" t="s">
        <v>1</v>
      </c>
      <c r="R427" s="72" t="s">
        <v>1</v>
      </c>
      <c r="S427" s="72" t="s">
        <v>1</v>
      </c>
      <c r="T427" s="72" t="s">
        <v>1</v>
      </c>
      <c r="U427" s="72" t="s">
        <v>1</v>
      </c>
      <c r="V427" s="72" t="s">
        <v>1</v>
      </c>
      <c r="W427" s="72" t="s">
        <v>1</v>
      </c>
      <c r="X427" s="72" t="s">
        <v>1</v>
      </c>
      <c r="Y427" s="72" t="s">
        <v>1</v>
      </c>
      <c r="Z427" s="72" t="s">
        <v>1</v>
      </c>
      <c r="AA427" s="72" t="s">
        <v>1</v>
      </c>
      <c r="AB427" s="72" t="s">
        <v>2048</v>
      </c>
      <c r="AF427" s="72"/>
      <c r="AG427" s="72"/>
      <c r="AH427" s="72"/>
      <c r="AJ427" s="368"/>
    </row>
    <row r="428" spans="2:36">
      <c r="B428" s="72" t="s">
        <v>2301</v>
      </c>
      <c r="C428" s="73" t="s">
        <v>1691</v>
      </c>
      <c r="D428" s="74" t="s">
        <v>1</v>
      </c>
      <c r="E428" s="74" t="s">
        <v>1</v>
      </c>
      <c r="F428" s="74" t="s">
        <v>1</v>
      </c>
      <c r="H428" s="74" t="s">
        <v>1</v>
      </c>
      <c r="I428" s="72" t="s">
        <v>2300</v>
      </c>
      <c r="J428" s="72" t="s">
        <v>2299</v>
      </c>
      <c r="K428" s="72" t="s">
        <v>2045</v>
      </c>
      <c r="L428" s="72" t="s">
        <v>2298</v>
      </c>
      <c r="M428" s="72">
        <v>2022</v>
      </c>
      <c r="N428" s="25" t="s">
        <v>2297</v>
      </c>
      <c r="O428" s="72" t="s">
        <v>1</v>
      </c>
      <c r="P428" s="72" t="s">
        <v>1</v>
      </c>
      <c r="Q428" s="72" t="s">
        <v>1</v>
      </c>
      <c r="R428" s="72" t="s">
        <v>1</v>
      </c>
      <c r="S428" s="72" t="s">
        <v>1</v>
      </c>
      <c r="T428" s="72" t="s">
        <v>1</v>
      </c>
      <c r="U428" s="72" t="s">
        <v>1</v>
      </c>
      <c r="V428" s="72" t="s">
        <v>1</v>
      </c>
      <c r="W428" s="72" t="s">
        <v>1</v>
      </c>
      <c r="X428" s="72" t="s">
        <v>1</v>
      </c>
      <c r="Y428" s="72" t="s">
        <v>1</v>
      </c>
      <c r="Z428" s="72" t="s">
        <v>1</v>
      </c>
      <c r="AA428" s="72" t="s">
        <v>1</v>
      </c>
      <c r="AB428" s="72" t="s">
        <v>2055</v>
      </c>
      <c r="AF428" s="72"/>
      <c r="AG428" s="72"/>
      <c r="AH428" s="72"/>
      <c r="AJ428" s="368"/>
    </row>
    <row r="429" spans="2:36">
      <c r="B429" s="72" t="s">
        <v>2296</v>
      </c>
      <c r="C429" s="73" t="s">
        <v>1691</v>
      </c>
      <c r="D429" s="74" t="s">
        <v>1</v>
      </c>
      <c r="E429" s="74" t="s">
        <v>1</v>
      </c>
      <c r="F429" s="74" t="s">
        <v>1</v>
      </c>
      <c r="H429" s="74" t="s">
        <v>1</v>
      </c>
      <c r="I429" s="72" t="s">
        <v>2295</v>
      </c>
      <c r="J429" s="72" t="s">
        <v>2294</v>
      </c>
      <c r="K429" s="72" t="s">
        <v>2045</v>
      </c>
      <c r="L429" s="72" t="s">
        <v>2062</v>
      </c>
      <c r="M429" s="72">
        <v>2019</v>
      </c>
      <c r="O429" s="72" t="s">
        <v>1</v>
      </c>
      <c r="P429" s="72" t="s">
        <v>1</v>
      </c>
      <c r="Q429" s="72" t="s">
        <v>1</v>
      </c>
      <c r="R429" s="72" t="s">
        <v>1</v>
      </c>
      <c r="S429" s="72" t="s">
        <v>1</v>
      </c>
      <c r="T429" s="72" t="s">
        <v>1</v>
      </c>
      <c r="U429" s="72" t="s">
        <v>1</v>
      </c>
      <c r="V429" s="72" t="s">
        <v>1</v>
      </c>
      <c r="W429" s="72" t="s">
        <v>1</v>
      </c>
      <c r="X429" s="72" t="s">
        <v>1</v>
      </c>
      <c r="Y429" s="72" t="s">
        <v>1</v>
      </c>
      <c r="Z429" s="72" t="s">
        <v>1</v>
      </c>
      <c r="AA429" s="72" t="s">
        <v>1</v>
      </c>
      <c r="AB429" s="72" t="s">
        <v>2078</v>
      </c>
      <c r="AF429" s="72"/>
      <c r="AG429" s="72"/>
      <c r="AH429" s="72"/>
      <c r="AJ429" s="368"/>
    </row>
    <row r="430" spans="2:36">
      <c r="B430" s="72" t="s">
        <v>2293</v>
      </c>
      <c r="C430" s="73" t="s">
        <v>1691</v>
      </c>
      <c r="D430" s="74">
        <v>20</v>
      </c>
      <c r="E430" s="72" t="s">
        <v>5</v>
      </c>
      <c r="F430" s="74">
        <v>4</v>
      </c>
      <c r="H430" s="77">
        <v>44531</v>
      </c>
      <c r="I430" s="72" t="s">
        <v>2292</v>
      </c>
      <c r="J430" s="72" t="s">
        <v>2291</v>
      </c>
      <c r="K430" s="72" t="s">
        <v>2045</v>
      </c>
      <c r="L430" s="72" t="s">
        <v>2290</v>
      </c>
      <c r="M430" s="72">
        <v>2018</v>
      </c>
      <c r="O430" s="72" t="s">
        <v>1</v>
      </c>
      <c r="P430" s="72" t="s">
        <v>4</v>
      </c>
      <c r="Q430" s="76">
        <v>1.5</v>
      </c>
      <c r="R430" s="72" t="s">
        <v>1</v>
      </c>
      <c r="S430" s="72" t="s">
        <v>278</v>
      </c>
      <c r="T430" s="76">
        <v>0.3</v>
      </c>
      <c r="U430" s="72" t="s">
        <v>1</v>
      </c>
      <c r="V430" s="72" t="s">
        <v>1</v>
      </c>
      <c r="W430" s="72" t="s">
        <v>1</v>
      </c>
      <c r="X430" s="72" t="s">
        <v>1</v>
      </c>
      <c r="Y430" s="72" t="s">
        <v>1</v>
      </c>
      <c r="Z430" s="72" t="s">
        <v>1</v>
      </c>
      <c r="AA430" s="72" t="s">
        <v>1</v>
      </c>
      <c r="AB430" s="72" t="s">
        <v>2289</v>
      </c>
      <c r="AF430" s="72"/>
      <c r="AG430" s="72"/>
      <c r="AH430" s="72"/>
    </row>
    <row r="431" spans="2:36">
      <c r="B431" s="72" t="s">
        <v>2288</v>
      </c>
      <c r="C431" s="73" t="s">
        <v>1691</v>
      </c>
      <c r="D431" s="74" t="s">
        <v>1</v>
      </c>
      <c r="E431" s="74" t="s">
        <v>1</v>
      </c>
      <c r="F431" s="74" t="s">
        <v>1</v>
      </c>
      <c r="H431" s="74" t="s">
        <v>1</v>
      </c>
      <c r="I431" s="72" t="s">
        <v>2287</v>
      </c>
      <c r="K431" s="72" t="s">
        <v>1</v>
      </c>
      <c r="L431" s="72" t="s">
        <v>1</v>
      </c>
      <c r="M431" s="72">
        <v>2018</v>
      </c>
      <c r="O431" s="72" t="s">
        <v>2286</v>
      </c>
      <c r="P431" s="76" t="s">
        <v>1</v>
      </c>
      <c r="Q431" s="76" t="s">
        <v>1</v>
      </c>
      <c r="R431" s="76" t="s">
        <v>1</v>
      </c>
      <c r="S431" s="76" t="s">
        <v>1</v>
      </c>
      <c r="T431" s="76" t="s">
        <v>1</v>
      </c>
      <c r="U431" s="76" t="s">
        <v>1</v>
      </c>
      <c r="V431" s="76" t="s">
        <v>1</v>
      </c>
      <c r="W431" s="76" t="s">
        <v>1</v>
      </c>
      <c r="X431" s="76" t="s">
        <v>1</v>
      </c>
      <c r="Y431" s="76" t="s">
        <v>1</v>
      </c>
      <c r="Z431" s="76" t="s">
        <v>1</v>
      </c>
      <c r="AA431" s="76" t="s">
        <v>1</v>
      </c>
      <c r="AB431" s="72" t="s">
        <v>2285</v>
      </c>
      <c r="AF431" s="72"/>
      <c r="AG431" s="72"/>
      <c r="AH431" s="72"/>
    </row>
    <row r="432" spans="2:36">
      <c r="B432" s="72" t="s">
        <v>2284</v>
      </c>
      <c r="C432" s="73" t="s">
        <v>1691</v>
      </c>
      <c r="D432" s="74">
        <v>50</v>
      </c>
      <c r="E432" s="72" t="s">
        <v>5</v>
      </c>
      <c r="F432" s="74">
        <v>22</v>
      </c>
      <c r="H432" s="77">
        <v>45072</v>
      </c>
      <c r="I432" s="72" t="s">
        <v>2283</v>
      </c>
      <c r="J432" s="72" t="s">
        <v>2282</v>
      </c>
      <c r="K432" s="72" t="s">
        <v>2100</v>
      </c>
      <c r="L432" s="72" t="s">
        <v>2281</v>
      </c>
      <c r="M432" s="72">
        <v>2018</v>
      </c>
      <c r="O432" s="72" t="s">
        <v>2280</v>
      </c>
      <c r="P432" s="76" t="s">
        <v>4</v>
      </c>
      <c r="Q432" s="76">
        <v>23.6</v>
      </c>
      <c r="R432" s="76" t="s">
        <v>2279</v>
      </c>
      <c r="S432" s="76" t="s">
        <v>4</v>
      </c>
      <c r="T432" s="76">
        <v>4.5</v>
      </c>
      <c r="U432" s="76" t="s">
        <v>2278</v>
      </c>
      <c r="V432" s="76" t="s">
        <v>1</v>
      </c>
      <c r="W432" s="76" t="s">
        <v>1</v>
      </c>
      <c r="X432" s="76" t="s">
        <v>1</v>
      </c>
      <c r="Y432" s="76" t="s">
        <v>1</v>
      </c>
      <c r="Z432" s="76" t="s">
        <v>1</v>
      </c>
      <c r="AA432" s="76" t="s">
        <v>1</v>
      </c>
      <c r="AB432" s="72" t="s">
        <v>2277</v>
      </c>
      <c r="AF432" s="72"/>
      <c r="AG432" s="72"/>
      <c r="AH432" s="72"/>
    </row>
    <row r="433" spans="2:34">
      <c r="B433" s="72" t="s">
        <v>2276</v>
      </c>
      <c r="C433" s="73" t="s">
        <v>1691</v>
      </c>
      <c r="D433" s="74">
        <v>50</v>
      </c>
      <c r="E433" s="72" t="s">
        <v>5</v>
      </c>
      <c r="F433" s="74">
        <v>20</v>
      </c>
      <c r="H433" s="77">
        <v>44396</v>
      </c>
      <c r="I433" s="72" t="s">
        <v>2275</v>
      </c>
      <c r="J433" s="72" t="s">
        <v>2274</v>
      </c>
      <c r="K433" s="72" t="s">
        <v>2045</v>
      </c>
      <c r="L433" s="72" t="s">
        <v>2062</v>
      </c>
      <c r="M433" s="72">
        <v>2013</v>
      </c>
      <c r="O433" s="72" t="s">
        <v>2273</v>
      </c>
      <c r="P433" s="76" t="s">
        <v>4</v>
      </c>
      <c r="Q433" s="76" t="s">
        <v>1</v>
      </c>
      <c r="R433" s="76" t="s">
        <v>2272</v>
      </c>
      <c r="S433" s="76" t="s">
        <v>1</v>
      </c>
      <c r="T433" s="76" t="s">
        <v>1</v>
      </c>
      <c r="U433" s="76" t="s">
        <v>1</v>
      </c>
      <c r="V433" s="76" t="s">
        <v>1</v>
      </c>
      <c r="W433" s="76" t="s">
        <v>1</v>
      </c>
      <c r="X433" s="76" t="s">
        <v>1</v>
      </c>
      <c r="Y433" s="76" t="s">
        <v>1</v>
      </c>
      <c r="Z433" s="76" t="s">
        <v>1</v>
      </c>
      <c r="AA433" s="76" t="s">
        <v>1</v>
      </c>
      <c r="AB433" s="72" t="s">
        <v>2078</v>
      </c>
      <c r="AF433" s="72"/>
      <c r="AG433" s="72"/>
      <c r="AH433" s="72"/>
    </row>
    <row r="434" spans="2:34">
      <c r="B434" s="72" t="s">
        <v>2271</v>
      </c>
      <c r="C434" s="73" t="s">
        <v>1691</v>
      </c>
      <c r="D434" s="74">
        <v>50</v>
      </c>
      <c r="E434" s="72" t="s">
        <v>7</v>
      </c>
      <c r="F434" s="74">
        <v>20</v>
      </c>
      <c r="H434" s="77">
        <v>44792</v>
      </c>
      <c r="I434" s="72" t="s">
        <v>2270</v>
      </c>
      <c r="J434" s="72" t="s">
        <v>1</v>
      </c>
      <c r="K434" s="72" t="s">
        <v>2045</v>
      </c>
      <c r="L434" s="72" t="s">
        <v>2062</v>
      </c>
      <c r="M434" s="72">
        <v>2018</v>
      </c>
      <c r="N434" s="72" t="s">
        <v>2269</v>
      </c>
      <c r="AB434" s="72" t="s">
        <v>2268</v>
      </c>
      <c r="AF434" s="72"/>
      <c r="AG434" s="72"/>
      <c r="AH434" s="72"/>
    </row>
    <row r="435" spans="2:34">
      <c r="B435" s="72" t="s">
        <v>2264</v>
      </c>
      <c r="C435" s="73" t="s">
        <v>1691</v>
      </c>
      <c r="D435" s="74">
        <v>20</v>
      </c>
      <c r="E435" s="72" t="s">
        <v>4</v>
      </c>
      <c r="F435" s="74">
        <v>1.5</v>
      </c>
      <c r="H435" s="77">
        <v>45028</v>
      </c>
      <c r="I435" s="72" t="s">
        <v>2263</v>
      </c>
      <c r="J435" s="72" t="s">
        <v>2262</v>
      </c>
      <c r="K435" s="72" t="s">
        <v>2100</v>
      </c>
      <c r="L435" s="72" t="s">
        <v>2261</v>
      </c>
      <c r="M435" s="72">
        <v>2014</v>
      </c>
      <c r="O435" s="72" t="s">
        <v>2260</v>
      </c>
      <c r="P435" s="76" t="s">
        <v>1</v>
      </c>
      <c r="Q435" s="76" t="s">
        <v>1</v>
      </c>
      <c r="R435" s="76" t="s">
        <v>1</v>
      </c>
      <c r="S435" s="76" t="s">
        <v>1</v>
      </c>
      <c r="T435" s="76" t="s">
        <v>1</v>
      </c>
      <c r="U435" s="76" t="s">
        <v>1</v>
      </c>
      <c r="V435" s="76" t="s">
        <v>1</v>
      </c>
      <c r="W435" s="76" t="s">
        <v>1</v>
      </c>
      <c r="X435" s="76" t="s">
        <v>1</v>
      </c>
      <c r="Y435" s="76" t="s">
        <v>1</v>
      </c>
      <c r="Z435" s="76" t="s">
        <v>1</v>
      </c>
      <c r="AA435" s="76" t="s">
        <v>1</v>
      </c>
      <c r="AB435" s="72" t="s">
        <v>2259</v>
      </c>
      <c r="AF435" s="72"/>
      <c r="AG435" s="72"/>
      <c r="AH435" s="72"/>
    </row>
    <row r="436" spans="2:34">
      <c r="B436" s="72" t="s">
        <v>2258</v>
      </c>
      <c r="C436" s="73" t="s">
        <v>1691</v>
      </c>
      <c r="D436" s="74">
        <v>60</v>
      </c>
      <c r="E436" s="72" t="s">
        <v>5</v>
      </c>
      <c r="F436" s="74">
        <v>12</v>
      </c>
      <c r="H436" s="77">
        <v>43207</v>
      </c>
      <c r="I436" s="72" t="s">
        <v>2257</v>
      </c>
      <c r="J436" s="72" t="s">
        <v>2256</v>
      </c>
      <c r="K436" s="72" t="s">
        <v>2045</v>
      </c>
      <c r="L436" s="72" t="s">
        <v>2255</v>
      </c>
      <c r="M436" s="72">
        <v>2014</v>
      </c>
      <c r="N436" s="72" t="s">
        <v>2254</v>
      </c>
      <c r="O436" s="72" t="s">
        <v>2253</v>
      </c>
      <c r="AB436" s="72" t="s">
        <v>2051</v>
      </c>
      <c r="AF436" s="72"/>
      <c r="AG436" s="72"/>
      <c r="AH436" s="72"/>
    </row>
    <row r="437" spans="2:34">
      <c r="B437" s="72" t="s">
        <v>2252</v>
      </c>
      <c r="C437" s="73" t="s">
        <v>1691</v>
      </c>
      <c r="D437" s="74">
        <v>50</v>
      </c>
      <c r="E437" s="72" t="s">
        <v>5</v>
      </c>
      <c r="F437" s="74">
        <v>15</v>
      </c>
      <c r="H437" s="77">
        <v>43879</v>
      </c>
      <c r="I437" s="72" t="s">
        <v>2250</v>
      </c>
      <c r="J437" s="72" t="s">
        <v>2251</v>
      </c>
      <c r="K437" s="72" t="s">
        <v>2045</v>
      </c>
      <c r="L437" s="72" t="s">
        <v>2250</v>
      </c>
      <c r="M437" s="72">
        <v>2016</v>
      </c>
      <c r="N437" s="72" t="s">
        <v>2249</v>
      </c>
      <c r="O437" s="72" t="s">
        <v>2248</v>
      </c>
      <c r="P437" s="76" t="s">
        <v>2247</v>
      </c>
      <c r="Q437" s="76" t="s">
        <v>2246</v>
      </c>
      <c r="R437" s="76" t="s">
        <v>1</v>
      </c>
      <c r="S437" s="76" t="s">
        <v>1</v>
      </c>
      <c r="T437" s="76" t="s">
        <v>1</v>
      </c>
      <c r="U437" s="76" t="s">
        <v>1</v>
      </c>
      <c r="V437" s="76" t="s">
        <v>1</v>
      </c>
      <c r="W437" s="76" t="s">
        <v>1</v>
      </c>
      <c r="X437" s="76" t="s">
        <v>1</v>
      </c>
      <c r="Y437" s="76" t="s">
        <v>1</v>
      </c>
      <c r="Z437" s="76" t="s">
        <v>1</v>
      </c>
      <c r="AA437" s="76" t="s">
        <v>1</v>
      </c>
      <c r="AB437" s="72" t="s">
        <v>2245</v>
      </c>
      <c r="AF437" s="72"/>
      <c r="AG437" s="72"/>
      <c r="AH437" s="72"/>
    </row>
    <row r="438" spans="2:34">
      <c r="B438" s="72" t="s">
        <v>2244</v>
      </c>
      <c r="C438" s="73" t="s">
        <v>1691</v>
      </c>
      <c r="D438" s="74" t="s">
        <v>1</v>
      </c>
      <c r="E438" s="80" t="s">
        <v>1</v>
      </c>
      <c r="F438" s="74" t="s">
        <v>1</v>
      </c>
      <c r="H438" s="74" t="s">
        <v>1</v>
      </c>
      <c r="I438" s="72" t="s">
        <v>2243</v>
      </c>
      <c r="J438" s="72" t="s">
        <v>1</v>
      </c>
      <c r="K438" s="72" t="s">
        <v>2045</v>
      </c>
      <c r="L438" s="72" t="s">
        <v>2242</v>
      </c>
      <c r="M438" s="72">
        <v>2022</v>
      </c>
      <c r="O438" s="80" t="s">
        <v>1</v>
      </c>
      <c r="P438" s="80" t="s">
        <v>1</v>
      </c>
      <c r="Q438" s="80" t="s">
        <v>1</v>
      </c>
      <c r="R438" s="80" t="s">
        <v>1</v>
      </c>
      <c r="S438" s="80" t="s">
        <v>1</v>
      </c>
      <c r="T438" s="80" t="s">
        <v>1</v>
      </c>
      <c r="U438" s="80" t="s">
        <v>1</v>
      </c>
      <c r="V438" s="80" t="s">
        <v>1</v>
      </c>
      <c r="W438" s="80" t="s">
        <v>1</v>
      </c>
      <c r="X438" s="80" t="s">
        <v>1</v>
      </c>
      <c r="Y438" s="80" t="s">
        <v>1</v>
      </c>
      <c r="Z438" s="80" t="s">
        <v>1</v>
      </c>
      <c r="AA438" s="80" t="s">
        <v>1</v>
      </c>
      <c r="AB438" s="72" t="s">
        <v>2241</v>
      </c>
      <c r="AF438" s="72"/>
      <c r="AG438" s="72"/>
      <c r="AH438" s="72"/>
    </row>
    <row r="439" spans="2:34">
      <c r="B439" s="72" t="s">
        <v>2236</v>
      </c>
      <c r="C439" s="73" t="s">
        <v>1691</v>
      </c>
      <c r="D439" s="74">
        <v>20</v>
      </c>
      <c r="E439" s="76" t="s">
        <v>4</v>
      </c>
      <c r="F439" s="74">
        <v>2.2999999999999998</v>
      </c>
      <c r="H439" s="27">
        <v>42782</v>
      </c>
      <c r="I439" s="72" t="s">
        <v>2235</v>
      </c>
      <c r="J439" s="72" t="s">
        <v>2234</v>
      </c>
      <c r="K439" s="72" t="s">
        <v>2045</v>
      </c>
      <c r="L439" s="72" t="s">
        <v>2226</v>
      </c>
      <c r="M439" s="72">
        <v>2012</v>
      </c>
      <c r="N439" s="72" t="s">
        <v>2233</v>
      </c>
      <c r="O439" s="72" t="s">
        <v>1</v>
      </c>
      <c r="P439" s="72" t="s">
        <v>1</v>
      </c>
      <c r="Q439" s="72" t="s">
        <v>1</v>
      </c>
      <c r="R439" s="72" t="s">
        <v>1</v>
      </c>
      <c r="S439" s="72" t="s">
        <v>1</v>
      </c>
      <c r="T439" s="72" t="s">
        <v>1</v>
      </c>
      <c r="U439" s="72" t="s">
        <v>1</v>
      </c>
      <c r="V439" s="72" t="s">
        <v>1</v>
      </c>
      <c r="W439" s="72" t="s">
        <v>1</v>
      </c>
      <c r="X439" s="72" t="s">
        <v>1</v>
      </c>
      <c r="Y439" s="72" t="s">
        <v>1</v>
      </c>
      <c r="Z439" s="72" t="s">
        <v>1</v>
      </c>
      <c r="AA439" s="72" t="s">
        <v>1</v>
      </c>
      <c r="AB439" s="72" t="s">
        <v>2198</v>
      </c>
      <c r="AF439" s="72"/>
      <c r="AG439" s="72"/>
      <c r="AH439" s="72"/>
    </row>
    <row r="440" spans="2:34">
      <c r="B440" s="72" t="s">
        <v>2232</v>
      </c>
      <c r="C440" s="73" t="s">
        <v>1691</v>
      </c>
      <c r="D440" s="74">
        <v>10</v>
      </c>
      <c r="E440" s="76" t="s">
        <v>278</v>
      </c>
      <c r="F440" s="74">
        <v>0.5</v>
      </c>
      <c r="H440" s="77">
        <v>44470</v>
      </c>
      <c r="I440" s="72" t="s">
        <v>2231</v>
      </c>
      <c r="J440" s="72" t="s">
        <v>1</v>
      </c>
      <c r="K440" s="72" t="s">
        <v>2045</v>
      </c>
      <c r="L440" s="72" t="s">
        <v>2230</v>
      </c>
      <c r="M440" s="72">
        <v>2013</v>
      </c>
      <c r="O440" s="72" t="s">
        <v>2229</v>
      </c>
      <c r="P440" s="76" t="s">
        <v>1</v>
      </c>
      <c r="Q440" s="76" t="s">
        <v>1</v>
      </c>
      <c r="R440" s="76" t="s">
        <v>1</v>
      </c>
      <c r="S440" s="76" t="s">
        <v>1</v>
      </c>
      <c r="T440" s="76" t="s">
        <v>1</v>
      </c>
      <c r="U440" s="76" t="s">
        <v>1</v>
      </c>
      <c r="V440" s="76" t="s">
        <v>1</v>
      </c>
      <c r="W440" s="76" t="s">
        <v>1</v>
      </c>
      <c r="X440" s="76" t="s">
        <v>1</v>
      </c>
      <c r="Y440" s="76" t="s">
        <v>1</v>
      </c>
      <c r="Z440" s="76" t="s">
        <v>1</v>
      </c>
      <c r="AA440" s="76" t="s">
        <v>1</v>
      </c>
      <c r="AB440" s="72" t="s">
        <v>2085</v>
      </c>
      <c r="AF440" s="72"/>
      <c r="AG440" s="72"/>
      <c r="AH440" s="72"/>
    </row>
    <row r="441" spans="2:34">
      <c r="B441" s="72" t="s">
        <v>637</v>
      </c>
      <c r="C441" s="73" t="s">
        <v>1691</v>
      </c>
      <c r="D441" s="74">
        <v>10</v>
      </c>
      <c r="E441" s="76" t="s">
        <v>278</v>
      </c>
      <c r="F441" s="74">
        <v>0.12</v>
      </c>
      <c r="H441" s="77">
        <v>44082</v>
      </c>
      <c r="I441" s="72" t="s">
        <v>2228</v>
      </c>
      <c r="J441" s="72" t="s">
        <v>2227</v>
      </c>
      <c r="K441" s="72" t="s">
        <v>2045</v>
      </c>
      <c r="L441" s="72" t="s">
        <v>2226</v>
      </c>
      <c r="M441" s="72">
        <v>2019</v>
      </c>
      <c r="O441" s="72" t="s">
        <v>639</v>
      </c>
      <c r="P441" s="76" t="s">
        <v>2225</v>
      </c>
      <c r="Q441" s="76">
        <v>1</v>
      </c>
      <c r="R441" s="76" t="s">
        <v>2224</v>
      </c>
      <c r="S441" s="76" t="s">
        <v>1</v>
      </c>
      <c r="T441" s="76" t="s">
        <v>1</v>
      </c>
      <c r="U441" s="76" t="s">
        <v>1</v>
      </c>
      <c r="V441" s="76" t="s">
        <v>1</v>
      </c>
      <c r="W441" s="76" t="s">
        <v>1</v>
      </c>
      <c r="X441" s="76" t="s">
        <v>1</v>
      </c>
      <c r="Y441" s="76" t="s">
        <v>1</v>
      </c>
      <c r="Z441" s="76" t="s">
        <v>1</v>
      </c>
      <c r="AA441" s="76" t="s">
        <v>1</v>
      </c>
      <c r="AB441" s="72" t="s">
        <v>2198</v>
      </c>
    </row>
    <row r="442" spans="2:34" s="176" customFormat="1">
      <c r="B442" s="176" t="s">
        <v>2021</v>
      </c>
      <c r="C442" s="184" t="s">
        <v>1691</v>
      </c>
      <c r="D442" s="178">
        <v>50</v>
      </c>
      <c r="E442" s="176" t="s">
        <v>5</v>
      </c>
      <c r="F442" s="178">
        <v>15</v>
      </c>
      <c r="G442" s="178">
        <f>F442</f>
        <v>15</v>
      </c>
      <c r="H442" s="194">
        <v>44789</v>
      </c>
      <c r="I442" s="176" t="s">
        <v>6750</v>
      </c>
      <c r="K442" s="176" t="s">
        <v>2045</v>
      </c>
      <c r="L442" s="176" t="s">
        <v>6542</v>
      </c>
      <c r="M442" s="176">
        <v>2019</v>
      </c>
      <c r="N442" s="176" t="s">
        <v>6751</v>
      </c>
      <c r="O442" s="176" t="s">
        <v>6752</v>
      </c>
      <c r="P442" s="179" t="s">
        <v>1</v>
      </c>
      <c r="Q442" s="179" t="s">
        <v>1</v>
      </c>
      <c r="R442" s="179" t="s">
        <v>1</v>
      </c>
      <c r="S442" s="179" t="s">
        <v>1</v>
      </c>
      <c r="T442" s="179" t="s">
        <v>1</v>
      </c>
      <c r="U442" s="179" t="s">
        <v>1</v>
      </c>
      <c r="V442" s="179" t="s">
        <v>1</v>
      </c>
      <c r="W442" s="179" t="s">
        <v>1</v>
      </c>
      <c r="X442" s="179" t="s">
        <v>1</v>
      </c>
      <c r="Y442" s="179" t="s">
        <v>1</v>
      </c>
      <c r="Z442" s="179" t="s">
        <v>1</v>
      </c>
      <c r="AA442" s="179" t="s">
        <v>1</v>
      </c>
      <c r="AB442" s="176" t="s">
        <v>6600</v>
      </c>
      <c r="AC442" s="176" t="s">
        <v>6603</v>
      </c>
      <c r="AD442" s="176" t="s">
        <v>2362</v>
      </c>
      <c r="AE442" s="25" t="s">
        <v>6749</v>
      </c>
      <c r="AF442" s="63"/>
      <c r="AG442" s="58"/>
      <c r="AH442" s="58"/>
    </row>
    <row r="443" spans="2:34">
      <c r="B443" s="72" t="s">
        <v>2223</v>
      </c>
      <c r="C443" s="73" t="s">
        <v>1691</v>
      </c>
      <c r="D443" s="74">
        <v>100</v>
      </c>
      <c r="E443" s="76" t="s">
        <v>7</v>
      </c>
      <c r="F443" s="74">
        <v>55</v>
      </c>
      <c r="I443" s="72" t="s">
        <v>2222</v>
      </c>
      <c r="J443" s="72" t="s">
        <v>2221</v>
      </c>
      <c r="K443" s="72" t="s">
        <v>2220</v>
      </c>
      <c r="L443" s="72" t="s">
        <v>2220</v>
      </c>
      <c r="M443" s="72">
        <v>2018</v>
      </c>
      <c r="N443" s="72" t="s">
        <v>2219</v>
      </c>
      <c r="O443" s="72" t="s">
        <v>2218</v>
      </c>
      <c r="AB443" s="72" t="s">
        <v>2048</v>
      </c>
    </row>
    <row r="444" spans="2:34">
      <c r="B444" s="72" t="s">
        <v>2217</v>
      </c>
      <c r="C444" s="73" t="s">
        <v>2138</v>
      </c>
      <c r="D444" s="74">
        <v>100</v>
      </c>
      <c r="E444" s="72" t="s">
        <v>18</v>
      </c>
      <c r="F444" s="74">
        <v>20</v>
      </c>
      <c r="H444" s="77">
        <v>44734</v>
      </c>
      <c r="I444" s="72" t="s">
        <v>2216</v>
      </c>
      <c r="J444" s="72" t="s">
        <v>2215</v>
      </c>
      <c r="K444" s="72" t="s">
        <v>2045</v>
      </c>
      <c r="L444" s="72" t="s">
        <v>2203</v>
      </c>
      <c r="M444" s="75" t="s">
        <v>2214</v>
      </c>
      <c r="O444" s="72" t="s">
        <v>1</v>
      </c>
      <c r="P444" s="76" t="s">
        <v>18</v>
      </c>
      <c r="Q444" s="76">
        <v>38</v>
      </c>
      <c r="R444" s="76" t="s">
        <v>2213</v>
      </c>
      <c r="S444" s="76" t="s">
        <v>7</v>
      </c>
      <c r="T444" s="76">
        <v>6.9</v>
      </c>
      <c r="U444" s="76" t="s">
        <v>2211</v>
      </c>
      <c r="V444" s="76" t="s">
        <v>5</v>
      </c>
      <c r="W444" s="76" t="s">
        <v>2212</v>
      </c>
      <c r="X444" s="76" t="s">
        <v>2211</v>
      </c>
      <c r="Y444" s="76" t="s">
        <v>1</v>
      </c>
      <c r="Z444" s="76" t="s">
        <v>1</v>
      </c>
      <c r="AA444" s="76" t="s">
        <v>1</v>
      </c>
      <c r="AB444" s="72" t="s">
        <v>2210</v>
      </c>
    </row>
    <row r="445" spans="2:34">
      <c r="B445" s="72" t="s">
        <v>2209</v>
      </c>
      <c r="C445" s="73" t="s">
        <v>2138</v>
      </c>
      <c r="D445" s="74">
        <v>20</v>
      </c>
      <c r="E445" s="76" t="s">
        <v>7</v>
      </c>
      <c r="F445" s="74">
        <v>1.6</v>
      </c>
      <c r="H445" s="77">
        <v>43661</v>
      </c>
      <c r="I445" s="72" t="s">
        <v>2208</v>
      </c>
      <c r="J445" s="72" t="s">
        <v>1</v>
      </c>
      <c r="K445" s="72" t="s">
        <v>1</v>
      </c>
      <c r="L445" s="72" t="s">
        <v>1</v>
      </c>
      <c r="M445" s="72">
        <v>2016</v>
      </c>
      <c r="N445" s="72" t="s">
        <v>1</v>
      </c>
      <c r="O445" s="72" t="s">
        <v>2207</v>
      </c>
      <c r="P445" s="76" t="s">
        <v>1</v>
      </c>
      <c r="Q445" s="76" t="s">
        <v>1</v>
      </c>
      <c r="R445" s="76" t="s">
        <v>1</v>
      </c>
      <c r="S445" s="76" t="s">
        <v>1</v>
      </c>
      <c r="T445" s="76" t="s">
        <v>1</v>
      </c>
      <c r="U445" s="76" t="s">
        <v>1</v>
      </c>
      <c r="V445" s="76" t="s">
        <v>1</v>
      </c>
      <c r="W445" s="76" t="s">
        <v>1</v>
      </c>
      <c r="X445" s="76" t="s">
        <v>1</v>
      </c>
      <c r="Y445" s="76" t="s">
        <v>1</v>
      </c>
      <c r="Z445" s="76" t="s">
        <v>1</v>
      </c>
      <c r="AA445" s="76" t="s">
        <v>1</v>
      </c>
      <c r="AB445" s="72" t="s">
        <v>2206</v>
      </c>
    </row>
    <row r="446" spans="2:34">
      <c r="B446" s="72" t="s">
        <v>2205</v>
      </c>
      <c r="C446" s="73" t="s">
        <v>2138</v>
      </c>
      <c r="E446" s="76"/>
      <c r="I446" s="72" t="s">
        <v>2204</v>
      </c>
      <c r="J446" s="72" t="s">
        <v>1</v>
      </c>
      <c r="K446" s="72" t="s">
        <v>2045</v>
      </c>
      <c r="L446" s="72" t="s">
        <v>2203</v>
      </c>
      <c r="M446" s="72">
        <v>2014</v>
      </c>
      <c r="N446" s="72" t="s">
        <v>2202</v>
      </c>
    </row>
    <row r="447" spans="2:34">
      <c r="B447" s="72" t="s">
        <v>2201</v>
      </c>
      <c r="C447" s="73" t="s">
        <v>1691</v>
      </c>
      <c r="I447" s="72" t="s">
        <v>2200</v>
      </c>
      <c r="N447" s="72" t="s">
        <v>2199</v>
      </c>
      <c r="AB447" s="72" t="s">
        <v>2198</v>
      </c>
      <c r="AE447" s="25" t="s">
        <v>2197</v>
      </c>
      <c r="AF447" s="64"/>
      <c r="AG447" s="59"/>
      <c r="AH447" s="59"/>
    </row>
    <row r="448" spans="2:34">
      <c r="B448" s="72" t="s">
        <v>2196</v>
      </c>
      <c r="C448" s="73" t="s">
        <v>2138</v>
      </c>
      <c r="E448" s="76" t="s">
        <v>7</v>
      </c>
      <c r="F448" s="74">
        <v>30</v>
      </c>
      <c r="H448" s="77">
        <v>44252</v>
      </c>
      <c r="I448" s="72" t="s">
        <v>2082</v>
      </c>
      <c r="J448" s="72" t="s">
        <v>2195</v>
      </c>
      <c r="K448" s="72" t="s">
        <v>2045</v>
      </c>
      <c r="L448" s="72" t="s">
        <v>2082</v>
      </c>
      <c r="M448" s="72">
        <v>2017</v>
      </c>
      <c r="N448" s="72" t="s">
        <v>2194</v>
      </c>
      <c r="O448" s="72" t="s">
        <v>2193</v>
      </c>
      <c r="P448" s="76" t="s">
        <v>5</v>
      </c>
      <c r="Q448" s="76">
        <v>16.5</v>
      </c>
      <c r="R448" s="76" t="s">
        <v>2192</v>
      </c>
      <c r="S448" s="76" t="s">
        <v>1</v>
      </c>
      <c r="T448" s="76" t="s">
        <v>1</v>
      </c>
      <c r="U448" s="76" t="s">
        <v>1</v>
      </c>
      <c r="V448" s="76" t="s">
        <v>1</v>
      </c>
      <c r="W448" s="76" t="s">
        <v>1</v>
      </c>
      <c r="X448" s="76" t="s">
        <v>1</v>
      </c>
      <c r="Y448" s="76" t="s">
        <v>1</v>
      </c>
      <c r="Z448" s="76" t="s">
        <v>1</v>
      </c>
      <c r="AA448" s="76" t="s">
        <v>1</v>
      </c>
      <c r="AB448" s="238" t="s">
        <v>6600</v>
      </c>
      <c r="AC448" s="238" t="s">
        <v>6603</v>
      </c>
      <c r="AD448" s="238" t="s">
        <v>6609</v>
      </c>
    </row>
    <row r="449" spans="2:34">
      <c r="B449" s="72" t="s">
        <v>347</v>
      </c>
      <c r="C449" s="73" t="s">
        <v>2150</v>
      </c>
      <c r="D449" s="74">
        <v>30</v>
      </c>
      <c r="E449" s="76" t="s">
        <v>4</v>
      </c>
      <c r="F449" s="74">
        <v>3.5</v>
      </c>
      <c r="H449" s="77">
        <v>43046</v>
      </c>
      <c r="J449" s="72" t="s">
        <v>2190</v>
      </c>
      <c r="K449" s="72" t="s">
        <v>2045</v>
      </c>
      <c r="L449" s="72" t="s">
        <v>2126</v>
      </c>
      <c r="M449" s="75" t="s">
        <v>2189</v>
      </c>
      <c r="O449" s="72" t="s">
        <v>2188</v>
      </c>
      <c r="AB449" s="238" t="s">
        <v>6600</v>
      </c>
      <c r="AC449" s="238" t="s">
        <v>6603</v>
      </c>
      <c r="AD449" s="238" t="s">
        <v>2362</v>
      </c>
      <c r="AE449" s="238"/>
    </row>
    <row r="450" spans="2:34">
      <c r="B450" s="72" t="s">
        <v>2187</v>
      </c>
      <c r="C450" s="73" t="s">
        <v>1691</v>
      </c>
      <c r="D450" s="74">
        <v>25</v>
      </c>
      <c r="E450" s="72" t="s">
        <v>4</v>
      </c>
      <c r="F450" s="74">
        <v>4</v>
      </c>
      <c r="H450" s="77">
        <v>44518</v>
      </c>
      <c r="I450" s="72" t="s">
        <v>2186</v>
      </c>
      <c r="J450" s="72" t="s">
        <v>2185</v>
      </c>
      <c r="K450" s="72" t="s">
        <v>2045</v>
      </c>
      <c r="L450" s="72" t="s">
        <v>2184</v>
      </c>
      <c r="M450" s="72">
        <v>2018</v>
      </c>
      <c r="O450" s="72" t="s">
        <v>2183</v>
      </c>
      <c r="P450" s="76" t="s">
        <v>278</v>
      </c>
      <c r="Q450" s="76">
        <v>0.12</v>
      </c>
      <c r="R450" s="76" t="s">
        <v>639</v>
      </c>
      <c r="S450" s="76" t="s">
        <v>1</v>
      </c>
      <c r="T450" s="76" t="s">
        <v>1</v>
      </c>
      <c r="U450" s="76" t="s">
        <v>1</v>
      </c>
      <c r="V450" s="76" t="s">
        <v>1</v>
      </c>
      <c r="W450" s="76" t="s">
        <v>1</v>
      </c>
      <c r="X450" s="76" t="s">
        <v>1</v>
      </c>
      <c r="Y450" s="76" t="s">
        <v>1</v>
      </c>
      <c r="Z450" s="76" t="s">
        <v>1</v>
      </c>
      <c r="AA450" s="76" t="s">
        <v>1</v>
      </c>
      <c r="AB450" s="76" t="s">
        <v>1</v>
      </c>
      <c r="AC450" s="76"/>
      <c r="AD450" s="76"/>
      <c r="AE450" s="238"/>
    </row>
    <row r="451" spans="2:34">
      <c r="B451" s="72" t="s">
        <v>2182</v>
      </c>
      <c r="C451" s="73" t="s">
        <v>2138</v>
      </c>
      <c r="D451" s="74">
        <v>20</v>
      </c>
      <c r="E451" s="72" t="s">
        <v>4</v>
      </c>
      <c r="F451" s="74">
        <v>1.6</v>
      </c>
      <c r="H451" s="77">
        <v>43060</v>
      </c>
      <c r="I451" s="72" t="s">
        <v>2181</v>
      </c>
      <c r="J451" s="72" t="s">
        <v>2180</v>
      </c>
      <c r="K451" s="72" t="s">
        <v>2045</v>
      </c>
      <c r="L451" s="72" t="s">
        <v>2056</v>
      </c>
      <c r="M451" s="72">
        <v>2015</v>
      </c>
      <c r="O451" s="72" t="s">
        <v>2179</v>
      </c>
      <c r="P451" s="76" t="s">
        <v>4</v>
      </c>
      <c r="Q451" s="76">
        <v>0.7</v>
      </c>
      <c r="R451" s="76" t="s">
        <v>629</v>
      </c>
      <c r="S451" s="76" t="s">
        <v>1</v>
      </c>
      <c r="T451" s="76" t="s">
        <v>1</v>
      </c>
      <c r="U451" s="76" t="s">
        <v>1</v>
      </c>
      <c r="V451" s="76" t="s">
        <v>1</v>
      </c>
      <c r="W451" s="76" t="s">
        <v>1</v>
      </c>
      <c r="X451" s="76" t="s">
        <v>1</v>
      </c>
      <c r="Y451" s="76" t="s">
        <v>1</v>
      </c>
      <c r="Z451" s="76" t="s">
        <v>1</v>
      </c>
      <c r="AA451" s="76" t="s">
        <v>1</v>
      </c>
      <c r="AB451" s="72" t="s">
        <v>2178</v>
      </c>
      <c r="AE451" s="25" t="s">
        <v>2177</v>
      </c>
      <c r="AF451" s="64"/>
      <c r="AG451" s="59"/>
      <c r="AH451" s="59"/>
    </row>
    <row r="452" spans="2:34">
      <c r="B452" s="72" t="s">
        <v>2176</v>
      </c>
      <c r="C452" s="73" t="s">
        <v>2150</v>
      </c>
      <c r="D452" s="74" t="s">
        <v>1</v>
      </c>
      <c r="E452" s="72" t="s">
        <v>4</v>
      </c>
      <c r="F452" s="74" t="s">
        <v>1</v>
      </c>
      <c r="H452" s="77">
        <v>44169</v>
      </c>
      <c r="J452" s="72" t="s">
        <v>2175</v>
      </c>
      <c r="K452" s="72" t="s">
        <v>2045</v>
      </c>
      <c r="L452" s="72" t="s">
        <v>2174</v>
      </c>
      <c r="M452" s="72">
        <v>2017</v>
      </c>
      <c r="N452" s="72" t="s">
        <v>2146</v>
      </c>
      <c r="O452" s="72" t="s">
        <v>2173</v>
      </c>
      <c r="P452" s="76" t="s">
        <v>1</v>
      </c>
      <c r="Q452" s="76" t="s">
        <v>1</v>
      </c>
      <c r="R452" s="76" t="s">
        <v>1</v>
      </c>
      <c r="S452" s="76" t="s">
        <v>1</v>
      </c>
      <c r="T452" s="76" t="s">
        <v>1</v>
      </c>
      <c r="U452" s="76" t="s">
        <v>1</v>
      </c>
      <c r="V452" s="76" t="s">
        <v>1</v>
      </c>
      <c r="W452" s="76" t="s">
        <v>1</v>
      </c>
      <c r="X452" s="76" t="s">
        <v>1</v>
      </c>
      <c r="Y452" s="76" t="s">
        <v>1</v>
      </c>
      <c r="Z452" s="76" t="s">
        <v>1</v>
      </c>
      <c r="AA452" s="76" t="s">
        <v>1</v>
      </c>
      <c r="AB452" s="238" t="s">
        <v>6600</v>
      </c>
      <c r="AC452" s="238" t="s">
        <v>6607</v>
      </c>
      <c r="AD452" s="238" t="s">
        <v>2352</v>
      </c>
      <c r="AE452" s="238"/>
    </row>
    <row r="453" spans="2:34">
      <c r="B453" s="72" t="s">
        <v>2172</v>
      </c>
      <c r="C453" s="73" t="s">
        <v>1691</v>
      </c>
      <c r="D453" s="74" t="s">
        <v>1</v>
      </c>
      <c r="E453" s="74" t="s">
        <v>1</v>
      </c>
      <c r="F453" s="74" t="s">
        <v>1</v>
      </c>
      <c r="H453" s="74" t="s">
        <v>1</v>
      </c>
      <c r="I453" s="72" t="s">
        <v>2171</v>
      </c>
      <c r="J453" s="72" t="s">
        <v>2170</v>
      </c>
      <c r="K453" s="72" t="s">
        <v>2045</v>
      </c>
      <c r="L453" s="72" t="s">
        <v>2169</v>
      </c>
      <c r="M453" s="72">
        <v>2019</v>
      </c>
      <c r="O453" s="72" t="s">
        <v>1</v>
      </c>
      <c r="P453" s="72" t="s">
        <v>1</v>
      </c>
      <c r="Q453" s="72" t="s">
        <v>1</v>
      </c>
      <c r="R453" s="72" t="s">
        <v>1</v>
      </c>
      <c r="S453" s="72" t="s">
        <v>1</v>
      </c>
      <c r="T453" s="72" t="s">
        <v>1</v>
      </c>
      <c r="U453" s="72" t="s">
        <v>1</v>
      </c>
      <c r="V453" s="72" t="s">
        <v>1</v>
      </c>
      <c r="W453" s="72" t="s">
        <v>1</v>
      </c>
      <c r="X453" s="72" t="s">
        <v>1</v>
      </c>
      <c r="Y453" s="72" t="s">
        <v>1</v>
      </c>
      <c r="Z453" s="72" t="s">
        <v>1</v>
      </c>
      <c r="AA453" s="72" t="s">
        <v>1</v>
      </c>
      <c r="AB453" s="72" t="s">
        <v>2168</v>
      </c>
      <c r="AE453" s="238"/>
    </row>
    <row r="454" spans="2:34">
      <c r="B454" s="72" t="s">
        <v>2167</v>
      </c>
      <c r="C454" s="73" t="s">
        <v>1691</v>
      </c>
      <c r="D454" s="74" t="s">
        <v>1</v>
      </c>
      <c r="E454" s="80" t="s">
        <v>1</v>
      </c>
      <c r="F454" s="74" t="s">
        <v>1</v>
      </c>
      <c r="H454" s="74" t="s">
        <v>1</v>
      </c>
      <c r="I454" s="72" t="s">
        <v>2166</v>
      </c>
      <c r="J454" s="72" t="s">
        <v>1</v>
      </c>
      <c r="K454" s="72" t="s">
        <v>2045</v>
      </c>
      <c r="L454" s="72" t="s">
        <v>2165</v>
      </c>
      <c r="M454" s="72">
        <v>2016</v>
      </c>
      <c r="N454" s="72" t="s">
        <v>2164</v>
      </c>
      <c r="O454" s="72" t="s">
        <v>1</v>
      </c>
      <c r="P454" s="72" t="s">
        <v>1</v>
      </c>
      <c r="Q454" s="72" t="s">
        <v>1</v>
      </c>
      <c r="R454" s="72" t="s">
        <v>1</v>
      </c>
      <c r="S454" s="72" t="s">
        <v>1</v>
      </c>
      <c r="T454" s="72" t="s">
        <v>1</v>
      </c>
      <c r="U454" s="72" t="s">
        <v>1</v>
      </c>
      <c r="V454" s="72" t="s">
        <v>1</v>
      </c>
      <c r="W454" s="72" t="s">
        <v>1</v>
      </c>
      <c r="X454" s="72" t="s">
        <v>1</v>
      </c>
      <c r="Y454" s="72" t="s">
        <v>1</v>
      </c>
      <c r="Z454" s="72" t="s">
        <v>1</v>
      </c>
      <c r="AA454" s="72" t="s">
        <v>1</v>
      </c>
      <c r="AB454" s="238" t="s">
        <v>6625</v>
      </c>
      <c r="AD454" s="238" t="s">
        <v>2094</v>
      </c>
      <c r="AE454" s="238"/>
    </row>
    <row r="455" spans="2:34">
      <c r="B455" s="72" t="s">
        <v>329</v>
      </c>
      <c r="C455" s="73" t="s">
        <v>2150</v>
      </c>
      <c r="D455" s="74">
        <v>25</v>
      </c>
      <c r="E455" s="72" t="s">
        <v>4</v>
      </c>
      <c r="F455" s="74">
        <v>5</v>
      </c>
      <c r="H455" s="77">
        <v>43224</v>
      </c>
      <c r="I455" s="72" t="s">
        <v>2162</v>
      </c>
      <c r="J455" s="72" t="s">
        <v>2161</v>
      </c>
      <c r="K455" s="72" t="s">
        <v>2045</v>
      </c>
      <c r="L455" s="72" t="s">
        <v>2160</v>
      </c>
      <c r="M455" s="72">
        <v>2017</v>
      </c>
      <c r="N455" s="72" t="s">
        <v>2146</v>
      </c>
      <c r="O455" s="72" t="s">
        <v>2159</v>
      </c>
      <c r="P455" s="76" t="s">
        <v>1</v>
      </c>
      <c r="Q455" s="76" t="s">
        <v>1</v>
      </c>
      <c r="R455" s="76" t="s">
        <v>1</v>
      </c>
      <c r="S455" s="76" t="s">
        <v>1</v>
      </c>
      <c r="T455" s="76" t="s">
        <v>1</v>
      </c>
      <c r="U455" s="76" t="s">
        <v>1</v>
      </c>
      <c r="V455" s="76" t="s">
        <v>1</v>
      </c>
      <c r="W455" s="76" t="s">
        <v>1</v>
      </c>
      <c r="X455" s="76" t="s">
        <v>1</v>
      </c>
      <c r="Y455" s="76" t="s">
        <v>1</v>
      </c>
      <c r="Z455" s="76" t="s">
        <v>1</v>
      </c>
      <c r="AA455" s="76" t="s">
        <v>1</v>
      </c>
      <c r="AB455" s="238" t="s">
        <v>6600</v>
      </c>
      <c r="AC455" s="238" t="s">
        <v>6607</v>
      </c>
      <c r="AD455" s="238" t="s">
        <v>2352</v>
      </c>
      <c r="AE455" s="238"/>
    </row>
    <row r="456" spans="2:34">
      <c r="B456" s="72" t="s">
        <v>2158</v>
      </c>
      <c r="C456" s="73" t="s">
        <v>2150</v>
      </c>
      <c r="D456" s="74" t="s">
        <v>1</v>
      </c>
      <c r="E456" s="74" t="s">
        <v>1</v>
      </c>
      <c r="F456" s="74" t="s">
        <v>1</v>
      </c>
      <c r="H456" s="74" t="s">
        <v>1</v>
      </c>
      <c r="I456" s="80" t="s">
        <v>1</v>
      </c>
      <c r="J456" s="72" t="s">
        <v>2157</v>
      </c>
      <c r="M456" s="72">
        <v>2017</v>
      </c>
      <c r="O456" s="80" t="s">
        <v>1</v>
      </c>
      <c r="P456" s="80" t="s">
        <v>1</v>
      </c>
      <c r="Q456" s="80" t="s">
        <v>1</v>
      </c>
      <c r="R456" s="80" t="s">
        <v>1</v>
      </c>
      <c r="S456" s="80" t="s">
        <v>1</v>
      </c>
      <c r="T456" s="80" t="s">
        <v>1</v>
      </c>
      <c r="U456" s="80" t="s">
        <v>1</v>
      </c>
      <c r="V456" s="80" t="s">
        <v>1</v>
      </c>
      <c r="W456" s="80" t="s">
        <v>1</v>
      </c>
      <c r="X456" s="80" t="s">
        <v>1</v>
      </c>
      <c r="Y456" s="80" t="s">
        <v>1</v>
      </c>
      <c r="Z456" s="80" t="s">
        <v>1</v>
      </c>
      <c r="AA456" s="80" t="s">
        <v>1</v>
      </c>
      <c r="AB456" s="238" t="s">
        <v>6600</v>
      </c>
      <c r="AC456" s="238" t="s">
        <v>6604</v>
      </c>
      <c r="AD456" s="238" t="s">
        <v>3172</v>
      </c>
      <c r="AE456" s="238"/>
    </row>
    <row r="457" spans="2:34">
      <c r="B457" s="72" t="s">
        <v>2156</v>
      </c>
      <c r="C457" s="73" t="s">
        <v>2138</v>
      </c>
      <c r="D457" s="74" t="s">
        <v>1</v>
      </c>
      <c r="E457" s="74" t="s">
        <v>1</v>
      </c>
      <c r="F457" s="74" t="s">
        <v>1</v>
      </c>
      <c r="H457" s="74" t="s">
        <v>1</v>
      </c>
      <c r="I457" s="72" t="s">
        <v>2155</v>
      </c>
      <c r="J457" s="72" t="s">
        <v>2154</v>
      </c>
      <c r="K457" s="72" t="s">
        <v>2045</v>
      </c>
      <c r="L457" s="72" t="s">
        <v>2062</v>
      </c>
      <c r="M457" s="75" t="s">
        <v>2153</v>
      </c>
      <c r="O457" s="80" t="s">
        <v>1</v>
      </c>
      <c r="P457" s="80" t="s">
        <v>1</v>
      </c>
      <c r="Q457" s="80" t="s">
        <v>1</v>
      </c>
      <c r="R457" s="80" t="s">
        <v>1</v>
      </c>
      <c r="S457" s="80" t="s">
        <v>1</v>
      </c>
      <c r="T457" s="80" t="s">
        <v>1</v>
      </c>
      <c r="U457" s="80" t="s">
        <v>1</v>
      </c>
      <c r="V457" s="80" t="s">
        <v>1</v>
      </c>
      <c r="W457" s="80" t="s">
        <v>1</v>
      </c>
      <c r="X457" s="80" t="s">
        <v>1</v>
      </c>
      <c r="Y457" s="80" t="s">
        <v>1</v>
      </c>
      <c r="Z457" s="80" t="s">
        <v>1</v>
      </c>
      <c r="AA457" s="80" t="s">
        <v>1</v>
      </c>
      <c r="AB457" s="238" t="s">
        <v>6600</v>
      </c>
      <c r="AC457" s="238" t="s">
        <v>6603</v>
      </c>
      <c r="AD457" s="238" t="s">
        <v>6610</v>
      </c>
      <c r="AE457" s="238"/>
    </row>
    <row r="458" spans="2:34">
      <c r="B458" s="72" t="s">
        <v>2151</v>
      </c>
      <c r="C458" s="73" t="s">
        <v>2150</v>
      </c>
      <c r="D458" s="74" t="s">
        <v>1</v>
      </c>
      <c r="E458" s="80" t="s">
        <v>1</v>
      </c>
      <c r="F458" s="74" t="s">
        <v>1</v>
      </c>
      <c r="H458" s="74" t="s">
        <v>1</v>
      </c>
      <c r="I458" s="72" t="s">
        <v>2149</v>
      </c>
      <c r="J458" s="72" t="s">
        <v>2148</v>
      </c>
      <c r="K458" s="72" t="s">
        <v>2045</v>
      </c>
      <c r="L458" s="72" t="s">
        <v>2123</v>
      </c>
      <c r="M458" s="75" t="s">
        <v>2147</v>
      </c>
      <c r="N458" s="72" t="s">
        <v>2146</v>
      </c>
      <c r="O458" s="87" t="s">
        <v>1</v>
      </c>
      <c r="P458" s="87" t="s">
        <v>1</v>
      </c>
      <c r="Q458" s="87" t="s">
        <v>1</v>
      </c>
      <c r="R458" s="87" t="s">
        <v>1</v>
      </c>
      <c r="S458" s="87" t="s">
        <v>1</v>
      </c>
      <c r="T458" s="87" t="s">
        <v>1</v>
      </c>
      <c r="U458" s="87" t="s">
        <v>1</v>
      </c>
      <c r="V458" s="87" t="s">
        <v>1</v>
      </c>
      <c r="W458" s="87" t="s">
        <v>1</v>
      </c>
      <c r="X458" s="87" t="s">
        <v>1</v>
      </c>
      <c r="Y458" s="87" t="s">
        <v>1</v>
      </c>
      <c r="Z458" s="87" t="s">
        <v>1</v>
      </c>
      <c r="AA458" s="87" t="s">
        <v>1</v>
      </c>
      <c r="AB458" s="238" t="s">
        <v>6624</v>
      </c>
      <c r="AD458" s="238" t="s">
        <v>2145</v>
      </c>
      <c r="AE458" s="238"/>
    </row>
    <row r="459" spans="2:34" ht="15" customHeight="1">
      <c r="B459" s="72" t="s">
        <v>2019</v>
      </c>
      <c r="C459" s="184" t="s">
        <v>2138</v>
      </c>
      <c r="D459" s="74">
        <v>30</v>
      </c>
      <c r="E459" s="176" t="s">
        <v>4</v>
      </c>
      <c r="F459" s="74">
        <v>5</v>
      </c>
      <c r="G459" s="74">
        <f>F459+Companies!Q459</f>
        <v>6.5</v>
      </c>
      <c r="H459" s="77">
        <v>44266</v>
      </c>
      <c r="I459" s="176" t="s">
        <v>7035</v>
      </c>
      <c r="J459" s="176" t="s">
        <v>7036</v>
      </c>
      <c r="K459" s="176" t="s">
        <v>2045</v>
      </c>
      <c r="L459" s="176" t="s">
        <v>2255</v>
      </c>
      <c r="M459" s="72">
        <v>2017</v>
      </c>
      <c r="O459" s="176" t="s">
        <v>7033</v>
      </c>
      <c r="P459" s="179" t="s">
        <v>4</v>
      </c>
      <c r="Q459" s="76">
        <v>1.5</v>
      </c>
      <c r="R459" s="176" t="s">
        <v>7033</v>
      </c>
      <c r="S459" s="179" t="s">
        <v>278</v>
      </c>
      <c r="T459" s="179" t="s">
        <v>1</v>
      </c>
      <c r="U459" s="179" t="s">
        <v>7034</v>
      </c>
      <c r="V459" s="179" t="s">
        <v>1</v>
      </c>
      <c r="W459" s="179" t="s">
        <v>1</v>
      </c>
      <c r="X459" s="179" t="s">
        <v>1</v>
      </c>
      <c r="Y459" s="179" t="s">
        <v>1</v>
      </c>
      <c r="Z459" s="179" t="s">
        <v>1</v>
      </c>
      <c r="AA459" s="179" t="s">
        <v>1</v>
      </c>
      <c r="AB459" s="176" t="s">
        <v>6626</v>
      </c>
      <c r="AC459" s="176" t="s">
        <v>3696</v>
      </c>
      <c r="AD459" s="176" t="s">
        <v>2330</v>
      </c>
      <c r="AE459" s="25" t="s">
        <v>7028</v>
      </c>
    </row>
    <row r="460" spans="2:34">
      <c r="B460" s="72" t="s">
        <v>2144</v>
      </c>
      <c r="C460" s="73" t="s">
        <v>2138</v>
      </c>
      <c r="E460" s="76"/>
      <c r="I460" s="72" t="s">
        <v>2143</v>
      </c>
      <c r="J460" s="72" t="s">
        <v>1</v>
      </c>
      <c r="K460" s="72" t="s">
        <v>2045</v>
      </c>
      <c r="L460" s="72" t="s">
        <v>2142</v>
      </c>
      <c r="M460" s="72">
        <v>1995</v>
      </c>
      <c r="AE460" s="238"/>
    </row>
    <row r="461" spans="2:34" ht="12.75" customHeight="1">
      <c r="B461" s="72" t="s">
        <v>2141</v>
      </c>
      <c r="C461" s="73" t="s">
        <v>2138</v>
      </c>
      <c r="D461" s="74" t="s">
        <v>1</v>
      </c>
      <c r="E461" s="74" t="s">
        <v>1</v>
      </c>
      <c r="F461" s="74" t="s">
        <v>1</v>
      </c>
      <c r="H461" s="74" t="s">
        <v>1</v>
      </c>
      <c r="I461" s="72" t="s">
        <v>2140</v>
      </c>
      <c r="J461" s="72" t="s">
        <v>1</v>
      </c>
      <c r="K461" s="72" t="s">
        <v>1</v>
      </c>
      <c r="L461" s="72" t="s">
        <v>1</v>
      </c>
      <c r="O461" s="72" t="s">
        <v>1</v>
      </c>
      <c r="P461" s="72" t="s">
        <v>1</v>
      </c>
      <c r="Q461" s="72" t="s">
        <v>1</v>
      </c>
      <c r="R461" s="72" t="s">
        <v>1</v>
      </c>
      <c r="S461" s="72" t="s">
        <v>1</v>
      </c>
      <c r="T461" s="72" t="s">
        <v>1</v>
      </c>
      <c r="U461" s="72" t="s">
        <v>1</v>
      </c>
      <c r="V461" s="72" t="s">
        <v>1</v>
      </c>
      <c r="W461" s="72" t="s">
        <v>1</v>
      </c>
      <c r="X461" s="72" t="s">
        <v>1</v>
      </c>
      <c r="Y461" s="72" t="s">
        <v>1</v>
      </c>
      <c r="Z461" s="72" t="s">
        <v>1</v>
      </c>
      <c r="AA461" s="72" t="s">
        <v>1</v>
      </c>
      <c r="AB461" s="72" t="s">
        <v>1</v>
      </c>
      <c r="AE461" s="238"/>
    </row>
    <row r="462" spans="2:34">
      <c r="B462" s="72" t="s">
        <v>2139</v>
      </c>
      <c r="C462" s="73" t="s">
        <v>2138</v>
      </c>
      <c r="D462" s="74">
        <v>50</v>
      </c>
      <c r="E462" s="72" t="s">
        <v>5</v>
      </c>
      <c r="F462" s="74">
        <v>18</v>
      </c>
      <c r="H462" s="77">
        <v>43510</v>
      </c>
      <c r="J462" s="72" t="s">
        <v>1</v>
      </c>
      <c r="K462" s="72" t="s">
        <v>2045</v>
      </c>
      <c r="M462" s="72">
        <v>2004</v>
      </c>
      <c r="O462" s="72" t="s">
        <v>2137</v>
      </c>
      <c r="P462" s="72" t="s">
        <v>4</v>
      </c>
      <c r="Q462" s="76">
        <v>3.4</v>
      </c>
      <c r="R462" s="72" t="s">
        <v>626</v>
      </c>
      <c r="S462" s="72" t="s">
        <v>1</v>
      </c>
      <c r="T462" s="72" t="s">
        <v>1</v>
      </c>
      <c r="U462" s="72" t="s">
        <v>1</v>
      </c>
      <c r="V462" s="72" t="s">
        <v>1</v>
      </c>
      <c r="W462" s="72" t="s">
        <v>1</v>
      </c>
      <c r="X462" s="72" t="s">
        <v>1</v>
      </c>
      <c r="Y462" s="72" t="s">
        <v>1</v>
      </c>
      <c r="Z462" s="72" t="s">
        <v>1</v>
      </c>
      <c r="AA462" s="72" t="s">
        <v>1</v>
      </c>
      <c r="AB462" s="72" t="s">
        <v>2136</v>
      </c>
      <c r="AE462" s="238"/>
    </row>
    <row r="463" spans="2:34">
      <c r="B463" s="72" t="s">
        <v>4353</v>
      </c>
      <c r="C463" s="73" t="s">
        <v>2150</v>
      </c>
      <c r="D463" s="74">
        <v>4900</v>
      </c>
      <c r="F463" s="74">
        <v>2600</v>
      </c>
      <c r="H463" s="77"/>
      <c r="O463" s="72" t="s">
        <v>4354</v>
      </c>
      <c r="P463" s="72"/>
      <c r="R463" s="72"/>
      <c r="S463" s="72"/>
      <c r="T463" s="72"/>
      <c r="U463" s="72"/>
      <c r="V463" s="72"/>
      <c r="W463" s="72"/>
      <c r="X463" s="72"/>
      <c r="Y463" s="72"/>
      <c r="Z463" s="72"/>
      <c r="AA463" s="72"/>
      <c r="AE463" s="238"/>
    </row>
    <row r="464" spans="2:34" s="152" customFormat="1">
      <c r="B464" s="152" t="s">
        <v>2040</v>
      </c>
      <c r="C464" s="157" t="s">
        <v>2138</v>
      </c>
      <c r="D464" s="154"/>
      <c r="F464" s="154"/>
      <c r="G464" s="154"/>
      <c r="H464" s="153"/>
      <c r="I464" s="152" t="s">
        <v>6381</v>
      </c>
      <c r="N464" s="152" t="s">
        <v>6380</v>
      </c>
      <c r="P464" s="156"/>
      <c r="Q464" s="156"/>
      <c r="R464" s="156"/>
      <c r="S464" s="156"/>
      <c r="T464" s="156"/>
      <c r="U464" s="156"/>
      <c r="V464" s="156"/>
      <c r="W464" s="156"/>
      <c r="X464" s="156"/>
      <c r="Y464" s="156"/>
      <c r="Z464" s="156"/>
      <c r="AA464" s="156"/>
      <c r="AE464" s="25" t="s">
        <v>6379</v>
      </c>
      <c r="AF464" s="63"/>
      <c r="AG464" s="58"/>
      <c r="AH464" s="58"/>
    </row>
    <row r="465" spans="2:34" s="152" customFormat="1">
      <c r="B465" s="152" t="s">
        <v>2036</v>
      </c>
      <c r="C465" s="157" t="s">
        <v>2138</v>
      </c>
      <c r="D465" s="154">
        <v>100</v>
      </c>
      <c r="E465" s="152" t="s">
        <v>7</v>
      </c>
      <c r="F465" s="154">
        <v>25</v>
      </c>
      <c r="G465" s="154"/>
      <c r="H465" s="155">
        <v>43528</v>
      </c>
      <c r="I465" s="152" t="s">
        <v>4286</v>
      </c>
      <c r="J465" s="152" t="s">
        <v>6413</v>
      </c>
      <c r="K465" s="152" t="s">
        <v>2045</v>
      </c>
      <c r="L465" s="152" t="s">
        <v>6414</v>
      </c>
      <c r="M465" s="158">
        <v>42917</v>
      </c>
      <c r="N465" s="152" t="s">
        <v>6415</v>
      </c>
      <c r="O465" s="152" t="s">
        <v>6416</v>
      </c>
      <c r="P465" s="156" t="s">
        <v>5</v>
      </c>
      <c r="Q465" s="156">
        <v>7.3</v>
      </c>
      <c r="R465" s="156" t="s">
        <v>6418</v>
      </c>
      <c r="S465" s="156" t="s">
        <v>1</v>
      </c>
      <c r="T465" s="156" t="s">
        <v>1</v>
      </c>
      <c r="U465" s="156" t="s">
        <v>1</v>
      </c>
      <c r="V465" s="156" t="s">
        <v>1</v>
      </c>
      <c r="W465" s="156" t="s">
        <v>1</v>
      </c>
      <c r="X465" s="156" t="s">
        <v>1</v>
      </c>
      <c r="Y465" s="156" t="s">
        <v>1</v>
      </c>
      <c r="Z465" s="156" t="s">
        <v>1</v>
      </c>
      <c r="AA465" s="156" t="s">
        <v>1</v>
      </c>
      <c r="AB465" s="165" t="s">
        <v>6600</v>
      </c>
      <c r="AC465" s="165" t="s">
        <v>6603</v>
      </c>
      <c r="AD465" s="165" t="s">
        <v>2362</v>
      </c>
      <c r="AE465" s="25" t="s">
        <v>6384</v>
      </c>
      <c r="AF465" s="63"/>
      <c r="AG465" s="58"/>
      <c r="AH465" s="58"/>
    </row>
    <row r="466" spans="2:34">
      <c r="B466" s="91" t="s">
        <v>5404</v>
      </c>
      <c r="C466" s="96" t="s">
        <v>2138</v>
      </c>
      <c r="H466" s="77"/>
      <c r="P466" s="72"/>
      <c r="R466" s="72"/>
      <c r="S466" s="72"/>
      <c r="T466" s="72"/>
      <c r="U466" s="72"/>
      <c r="V466" s="72"/>
      <c r="W466" s="72"/>
      <c r="X466" s="72"/>
      <c r="Y466" s="72"/>
      <c r="Z466" s="72"/>
      <c r="AA466" s="72"/>
      <c r="AE466" s="238"/>
    </row>
    <row r="467" spans="2:34">
      <c r="B467" s="274" t="s">
        <v>1966</v>
      </c>
      <c r="C467" s="275" t="s">
        <v>2150</v>
      </c>
      <c r="D467" s="74">
        <v>0</v>
      </c>
      <c r="E467" s="274" t="s">
        <v>4</v>
      </c>
      <c r="F467" s="74">
        <v>3.3</v>
      </c>
      <c r="G467" s="74">
        <v>3.3</v>
      </c>
      <c r="H467" s="276">
        <v>44986</v>
      </c>
      <c r="I467" s="72" t="s">
        <v>5212</v>
      </c>
      <c r="K467" s="274" t="s">
        <v>2045</v>
      </c>
      <c r="L467" s="274" t="s">
        <v>2524</v>
      </c>
      <c r="O467" s="274" t="s">
        <v>8034</v>
      </c>
      <c r="P467" s="274" t="s">
        <v>1</v>
      </c>
      <c r="Q467" s="274" t="s">
        <v>1</v>
      </c>
      <c r="R467" s="274" t="s">
        <v>1</v>
      </c>
      <c r="S467" s="274" t="s">
        <v>1</v>
      </c>
      <c r="T467" s="274" t="s">
        <v>1</v>
      </c>
      <c r="U467" s="274" t="s">
        <v>1</v>
      </c>
      <c r="V467" s="274" t="s">
        <v>1</v>
      </c>
      <c r="W467" s="274" t="s">
        <v>1</v>
      </c>
      <c r="X467" s="274" t="s">
        <v>1</v>
      </c>
      <c r="Y467" s="274" t="s">
        <v>1</v>
      </c>
      <c r="Z467" s="274" t="s">
        <v>1</v>
      </c>
      <c r="AA467" s="274" t="s">
        <v>1</v>
      </c>
      <c r="AB467" s="274" t="s">
        <v>2074</v>
      </c>
      <c r="AC467" s="274" t="s">
        <v>1</v>
      </c>
      <c r="AD467" s="274" t="s">
        <v>2081</v>
      </c>
      <c r="AF467" s="72"/>
      <c r="AG467" s="72"/>
      <c r="AH467" s="72"/>
    </row>
    <row r="468" spans="2:34">
      <c r="B468" s="274" t="s">
        <v>8297</v>
      </c>
      <c r="C468" s="275" t="s">
        <v>2138</v>
      </c>
      <c r="D468" s="274"/>
      <c r="F468" s="72"/>
      <c r="G468" s="72"/>
      <c r="H468" s="72"/>
      <c r="P468" s="72"/>
      <c r="Q468" s="72"/>
      <c r="R468" s="72"/>
      <c r="S468" s="72"/>
      <c r="T468" s="72"/>
      <c r="U468" s="72"/>
      <c r="V468" s="72"/>
      <c r="W468" s="72"/>
      <c r="X468" s="72"/>
      <c r="Y468" s="72"/>
      <c r="Z468" s="72"/>
      <c r="AA468" s="72"/>
      <c r="AF468" s="72"/>
      <c r="AG468" s="72"/>
      <c r="AH468" s="72"/>
    </row>
    <row r="469" spans="2:34">
      <c r="B469" s="238" t="s">
        <v>7450</v>
      </c>
      <c r="C469" s="237" t="s">
        <v>2138</v>
      </c>
      <c r="D469" s="72"/>
      <c r="F469" s="72"/>
      <c r="G469" s="72"/>
      <c r="H469" s="72"/>
      <c r="I469" s="238" t="s">
        <v>7452</v>
      </c>
      <c r="P469" s="72"/>
      <c r="Q469" s="72"/>
      <c r="R469" s="72"/>
      <c r="S469" s="72"/>
      <c r="T469" s="72"/>
      <c r="U469" s="72"/>
      <c r="V469" s="72"/>
      <c r="W469" s="72"/>
      <c r="X469" s="72"/>
      <c r="Y469" s="72"/>
      <c r="Z469" s="72"/>
      <c r="AA469" s="72"/>
      <c r="AE469" s="238"/>
      <c r="AF469" s="72"/>
      <c r="AG469" s="72"/>
      <c r="AH469" s="72"/>
    </row>
    <row r="470" spans="2:34">
      <c r="B470" s="396" t="s">
        <v>9788</v>
      </c>
    </row>
    <row r="471" spans="2:34">
      <c r="H471" s="77"/>
      <c r="AE471" s="25"/>
      <c r="AF471" s="64"/>
      <c r="AG471" s="59"/>
      <c r="AH471" s="59"/>
    </row>
    <row r="472" spans="2:34" s="274" customFormat="1">
      <c r="B472" s="26" t="s">
        <v>2135</v>
      </c>
      <c r="C472" s="275"/>
      <c r="D472" s="325"/>
      <c r="F472" s="325"/>
      <c r="G472" s="325"/>
      <c r="H472" s="335"/>
      <c r="P472" s="336"/>
      <c r="Q472" s="336"/>
      <c r="R472" s="336"/>
      <c r="S472" s="336"/>
      <c r="T472" s="336"/>
      <c r="U472" s="336"/>
      <c r="V472" s="336"/>
      <c r="W472" s="336"/>
      <c r="X472" s="336"/>
      <c r="Y472" s="336"/>
      <c r="Z472" s="336"/>
      <c r="AA472" s="336"/>
      <c r="AF472" s="64"/>
      <c r="AG472" s="59"/>
      <c r="AH472" s="59"/>
    </row>
    <row r="473" spans="2:34" s="274" customFormat="1">
      <c r="B473" s="396" t="s">
        <v>9780</v>
      </c>
      <c r="C473" s="397" t="s">
        <v>1691</v>
      </c>
      <c r="D473" s="325">
        <v>50</v>
      </c>
      <c r="E473" s="396" t="s">
        <v>4</v>
      </c>
      <c r="F473" s="325">
        <v>3.5</v>
      </c>
      <c r="G473" s="325">
        <f>+F473</f>
        <v>3.5</v>
      </c>
      <c r="H473" s="326">
        <v>44853</v>
      </c>
      <c r="I473" s="396" t="s">
        <v>9784</v>
      </c>
      <c r="J473" s="396" t="s">
        <v>9782</v>
      </c>
      <c r="K473" s="396" t="s">
        <v>2308</v>
      </c>
      <c r="L473" s="396" t="s">
        <v>9783</v>
      </c>
      <c r="M473" s="327">
        <v>44047</v>
      </c>
      <c r="N473" s="274" t="s">
        <v>1900</v>
      </c>
      <c r="O473" s="396" t="s">
        <v>9785</v>
      </c>
      <c r="P473" s="396" t="s">
        <v>7415</v>
      </c>
      <c r="Q473" s="274">
        <v>6</v>
      </c>
      <c r="R473" s="396" t="s">
        <v>9804</v>
      </c>
      <c r="S473" s="396" t="s">
        <v>1</v>
      </c>
      <c r="T473" s="396" t="s">
        <v>1</v>
      </c>
      <c r="U473" s="396" t="s">
        <v>1</v>
      </c>
      <c r="V473" s="396" t="s">
        <v>1</v>
      </c>
      <c r="W473" s="396" t="s">
        <v>1</v>
      </c>
      <c r="X473" s="396" t="s">
        <v>1</v>
      </c>
      <c r="Y473" s="396" t="s">
        <v>1</v>
      </c>
      <c r="Z473" s="396" t="s">
        <v>1</v>
      </c>
      <c r="AA473" s="396" t="s">
        <v>1</v>
      </c>
      <c r="AB473" s="396" t="s">
        <v>6626</v>
      </c>
      <c r="AC473" s="396" t="s">
        <v>2706</v>
      </c>
      <c r="AD473" s="396" t="s">
        <v>2904</v>
      </c>
      <c r="AE473" s="25" t="s">
        <v>9781</v>
      </c>
    </row>
    <row r="474" spans="2:34">
      <c r="B474" s="12" t="s">
        <v>2000</v>
      </c>
      <c r="P474" s="72"/>
      <c r="Q474" s="72"/>
      <c r="R474" s="72"/>
      <c r="S474" s="72"/>
      <c r="T474" s="72"/>
      <c r="U474" s="72"/>
      <c r="V474" s="72"/>
      <c r="W474" s="72"/>
      <c r="X474" s="72"/>
      <c r="Y474" s="72"/>
      <c r="Z474" s="72"/>
      <c r="AA474" s="72"/>
      <c r="AF474" s="72"/>
      <c r="AG474" s="72"/>
      <c r="AH474" s="72"/>
    </row>
    <row r="475" spans="2:34">
      <c r="B475" s="72" t="s">
        <v>1999</v>
      </c>
      <c r="P475" s="72"/>
      <c r="Q475" s="72"/>
      <c r="R475" s="72"/>
      <c r="S475" s="72"/>
      <c r="T475" s="72"/>
      <c r="U475" s="72"/>
      <c r="V475" s="72"/>
      <c r="W475" s="72"/>
      <c r="X475" s="72"/>
      <c r="Y475" s="72"/>
      <c r="Z475" s="72"/>
      <c r="AA475" s="72"/>
      <c r="AF475" s="72"/>
      <c r="AG475" s="72"/>
      <c r="AH475" s="72"/>
    </row>
    <row r="476" spans="2:34">
      <c r="B476" s="396" t="s">
        <v>9769</v>
      </c>
      <c r="C476" s="397" t="s">
        <v>1691</v>
      </c>
      <c r="D476" s="74">
        <v>1000</v>
      </c>
      <c r="F476" s="74">
        <v>252</v>
      </c>
      <c r="G476" s="74">
        <v>252</v>
      </c>
      <c r="P476" s="72"/>
      <c r="Q476" s="72"/>
      <c r="R476" s="72"/>
      <c r="S476" s="72"/>
      <c r="T476" s="72"/>
      <c r="U476" s="72"/>
      <c r="V476" s="72"/>
      <c r="W476" s="72"/>
      <c r="X476" s="72"/>
      <c r="Y476" s="72"/>
      <c r="Z476" s="72"/>
      <c r="AA476" s="72"/>
      <c r="AF476" s="72"/>
      <c r="AG476" s="72"/>
      <c r="AH476" s="72"/>
    </row>
    <row r="477" spans="2:34">
      <c r="B477" s="72" t="s">
        <v>1998</v>
      </c>
      <c r="P477" s="72"/>
      <c r="Q477" s="72"/>
      <c r="R477" s="72"/>
      <c r="S477" s="72"/>
      <c r="T477" s="72"/>
      <c r="U477" s="72"/>
      <c r="V477" s="72"/>
      <c r="W477" s="72"/>
      <c r="X477" s="72"/>
      <c r="Y477" s="72"/>
      <c r="Z477" s="72"/>
      <c r="AA477" s="72"/>
      <c r="AF477" s="72"/>
      <c r="AG477" s="72"/>
      <c r="AH477" s="72"/>
    </row>
    <row r="478" spans="2:34">
      <c r="B478" s="72" t="s">
        <v>1997</v>
      </c>
      <c r="P478" s="72"/>
      <c r="Q478" s="72"/>
      <c r="R478" s="72"/>
      <c r="S478" s="72"/>
      <c r="T478" s="72"/>
      <c r="U478" s="72"/>
      <c r="V478" s="72"/>
      <c r="W478" s="72"/>
      <c r="X478" s="72"/>
      <c r="Y478" s="72"/>
      <c r="Z478" s="72"/>
      <c r="AA478" s="72"/>
      <c r="AF478" s="72"/>
      <c r="AG478" s="72"/>
      <c r="AH478" s="72"/>
    </row>
    <row r="479" spans="2:34">
      <c r="B479" s="274" t="s">
        <v>9417</v>
      </c>
      <c r="P479" s="72"/>
      <c r="Q479" s="72"/>
      <c r="R479" s="72"/>
      <c r="S479" s="72"/>
      <c r="T479" s="72"/>
      <c r="U479" s="72"/>
      <c r="V479" s="72"/>
      <c r="W479" s="72"/>
      <c r="X479" s="72"/>
      <c r="Y479" s="72"/>
      <c r="Z479" s="72"/>
      <c r="AA479" s="72"/>
      <c r="AE479" s="25" t="s">
        <v>9418</v>
      </c>
      <c r="AF479" s="72"/>
      <c r="AG479" s="72"/>
      <c r="AH479" s="72"/>
    </row>
    <row r="480" spans="2:34">
      <c r="B480" s="72" t="s">
        <v>1996</v>
      </c>
      <c r="P480" s="72"/>
      <c r="Q480" s="72"/>
      <c r="R480" s="72"/>
      <c r="S480" s="72"/>
      <c r="T480" s="72"/>
      <c r="U480" s="72"/>
      <c r="V480" s="72"/>
      <c r="W480" s="72"/>
      <c r="X480" s="72"/>
      <c r="Y480" s="72"/>
      <c r="Z480" s="72"/>
      <c r="AA480" s="72"/>
      <c r="AF480" s="72"/>
      <c r="AG480" s="72"/>
      <c r="AH480" s="72"/>
    </row>
    <row r="481" spans="2:34">
      <c r="B481" s="72" t="s">
        <v>1995</v>
      </c>
      <c r="P481" s="72"/>
      <c r="Q481" s="72"/>
      <c r="R481" s="72"/>
      <c r="S481" s="72"/>
      <c r="T481" s="72"/>
      <c r="U481" s="72"/>
      <c r="V481" s="72"/>
      <c r="W481" s="72"/>
      <c r="X481" s="72"/>
      <c r="Y481" s="72"/>
      <c r="Z481" s="72"/>
      <c r="AA481" s="72"/>
      <c r="AF481" s="72"/>
      <c r="AG481" s="72"/>
      <c r="AH481" s="72"/>
    </row>
    <row r="482" spans="2:34">
      <c r="B482" s="72" t="s">
        <v>1994</v>
      </c>
      <c r="P482" s="72"/>
      <c r="Q482" s="72"/>
      <c r="R482" s="72"/>
      <c r="S482" s="72"/>
      <c r="T482" s="72"/>
      <c r="U482" s="72"/>
      <c r="V482" s="72"/>
      <c r="W482" s="72"/>
      <c r="X482" s="72"/>
      <c r="Y482" s="72"/>
      <c r="Z482" s="72"/>
      <c r="AA482" s="72"/>
      <c r="AF482" s="72"/>
      <c r="AG482" s="72"/>
      <c r="AH482" s="72"/>
    </row>
    <row r="483" spans="2:34">
      <c r="B483" s="72" t="s">
        <v>1993</v>
      </c>
      <c r="P483" s="72"/>
      <c r="Q483" s="72"/>
      <c r="R483" s="72"/>
      <c r="S483" s="72"/>
      <c r="T483" s="72"/>
      <c r="U483" s="72"/>
      <c r="V483" s="72"/>
      <c r="W483" s="72"/>
      <c r="X483" s="72"/>
      <c r="Y483" s="72"/>
      <c r="Z483" s="72"/>
      <c r="AA483" s="72"/>
      <c r="AF483" s="72"/>
      <c r="AG483" s="72"/>
      <c r="AH483" s="72"/>
    </row>
    <row r="484" spans="2:34">
      <c r="B484" s="72" t="s">
        <v>1992</v>
      </c>
      <c r="N484" s="72" t="s">
        <v>1900</v>
      </c>
      <c r="P484" s="72"/>
      <c r="Q484" s="72"/>
      <c r="R484" s="72"/>
      <c r="S484" s="72"/>
      <c r="T484" s="72"/>
      <c r="U484" s="72"/>
      <c r="V484" s="72"/>
      <c r="W484" s="72"/>
      <c r="X484" s="72"/>
      <c r="Y484" s="72"/>
      <c r="Z484" s="72"/>
      <c r="AA484" s="72"/>
      <c r="AF484" s="72"/>
      <c r="AG484" s="72"/>
      <c r="AH484" s="72"/>
    </row>
    <row r="485" spans="2:34">
      <c r="B485" s="72" t="s">
        <v>1991</v>
      </c>
      <c r="P485" s="72"/>
      <c r="Q485" s="72"/>
      <c r="R485" s="72"/>
      <c r="S485" s="72"/>
      <c r="T485" s="72"/>
      <c r="U485" s="72"/>
      <c r="V485" s="72"/>
      <c r="W485" s="72"/>
      <c r="X485" s="72"/>
      <c r="Y485" s="72"/>
      <c r="Z485" s="72"/>
      <c r="AA485" s="72"/>
      <c r="AF485" s="72"/>
      <c r="AG485" s="72"/>
      <c r="AH485" s="72"/>
    </row>
    <row r="486" spans="2:34">
      <c r="B486" s="72" t="s">
        <v>1990</v>
      </c>
      <c r="P486" s="72"/>
      <c r="Q486" s="72"/>
      <c r="R486" s="72"/>
      <c r="S486" s="72"/>
      <c r="T486" s="72"/>
      <c r="U486" s="72"/>
      <c r="V486" s="72"/>
      <c r="W486" s="72"/>
      <c r="X486" s="72"/>
      <c r="Y486" s="72"/>
      <c r="Z486" s="72"/>
      <c r="AA486" s="72"/>
      <c r="AF486" s="72"/>
      <c r="AG486" s="72"/>
      <c r="AH486" s="72"/>
    </row>
    <row r="487" spans="2:34">
      <c r="B487" s="72" t="s">
        <v>1989</v>
      </c>
      <c r="P487" s="72"/>
      <c r="Q487" s="72"/>
      <c r="R487" s="72"/>
      <c r="S487" s="72"/>
      <c r="T487" s="72"/>
      <c r="U487" s="72"/>
      <c r="V487" s="72"/>
      <c r="W487" s="72"/>
      <c r="X487" s="72"/>
      <c r="Y487" s="72"/>
      <c r="Z487" s="72"/>
      <c r="AA487" s="72"/>
      <c r="AF487" s="72"/>
      <c r="AG487" s="72"/>
      <c r="AH487" s="72"/>
    </row>
    <row r="488" spans="2:34">
      <c r="B488" s="72" t="s">
        <v>1988</v>
      </c>
      <c r="C488" s="72"/>
      <c r="D488" s="72"/>
      <c r="F488" s="72"/>
      <c r="G488" s="72"/>
      <c r="H488" s="72"/>
      <c r="P488" s="72"/>
      <c r="Q488" s="72"/>
      <c r="R488" s="72"/>
      <c r="S488" s="72"/>
      <c r="T488" s="72"/>
      <c r="U488" s="72"/>
      <c r="V488" s="72"/>
      <c r="W488" s="72"/>
      <c r="X488" s="72"/>
      <c r="Y488" s="72"/>
      <c r="Z488" s="72"/>
      <c r="AA488" s="72"/>
      <c r="AF488" s="72"/>
      <c r="AG488" s="72"/>
      <c r="AH488" s="72"/>
    </row>
    <row r="489" spans="2:34">
      <c r="B489" s="72" t="s">
        <v>1987</v>
      </c>
      <c r="C489" s="72"/>
      <c r="D489" s="72"/>
      <c r="F489" s="72"/>
      <c r="G489" s="72"/>
      <c r="H489" s="72"/>
      <c r="P489" s="72"/>
      <c r="Q489" s="72"/>
      <c r="R489" s="72"/>
      <c r="S489" s="72"/>
      <c r="T489" s="72"/>
      <c r="U489" s="72"/>
      <c r="V489" s="72"/>
      <c r="W489" s="72"/>
      <c r="X489" s="72"/>
      <c r="Y489" s="72"/>
      <c r="Z489" s="72"/>
      <c r="AA489" s="72"/>
      <c r="AF489" s="72"/>
      <c r="AG489" s="72"/>
      <c r="AH489" s="72"/>
    </row>
    <row r="490" spans="2:34">
      <c r="B490" s="72" t="s">
        <v>1986</v>
      </c>
      <c r="C490" s="72"/>
      <c r="D490" s="72"/>
      <c r="F490" s="72"/>
      <c r="G490" s="72"/>
      <c r="H490" s="72"/>
      <c r="P490" s="72"/>
      <c r="Q490" s="72"/>
      <c r="R490" s="72"/>
      <c r="S490" s="72"/>
      <c r="T490" s="72"/>
      <c r="U490" s="72"/>
      <c r="V490" s="72"/>
      <c r="W490" s="72"/>
      <c r="X490" s="72"/>
      <c r="Y490" s="72"/>
      <c r="Z490" s="72"/>
      <c r="AA490" s="72"/>
      <c r="AF490" s="72"/>
      <c r="AG490" s="72"/>
      <c r="AH490" s="72"/>
    </row>
    <row r="491" spans="2:34">
      <c r="B491" s="72" t="s">
        <v>1985</v>
      </c>
      <c r="C491" s="72"/>
      <c r="D491" s="72"/>
      <c r="F491" s="72"/>
      <c r="G491" s="72"/>
      <c r="H491" s="72"/>
      <c r="P491" s="72"/>
      <c r="Q491" s="72"/>
      <c r="R491" s="72"/>
      <c r="S491" s="72"/>
      <c r="T491" s="72"/>
      <c r="U491" s="72"/>
      <c r="V491" s="72"/>
      <c r="W491" s="72"/>
      <c r="X491" s="72"/>
      <c r="Y491" s="72"/>
      <c r="Z491" s="72"/>
      <c r="AA491" s="72"/>
      <c r="AF491" s="72"/>
      <c r="AG491" s="72"/>
      <c r="AH491" s="72"/>
    </row>
    <row r="492" spans="2:34">
      <c r="B492" s="72" t="s">
        <v>1984</v>
      </c>
      <c r="C492" s="72"/>
      <c r="D492" s="72"/>
      <c r="F492" s="72"/>
      <c r="G492" s="72"/>
      <c r="H492" s="72"/>
      <c r="P492" s="72"/>
      <c r="Q492" s="72"/>
      <c r="R492" s="72"/>
      <c r="S492" s="72"/>
      <c r="T492" s="72"/>
      <c r="U492" s="72"/>
      <c r="V492" s="72"/>
      <c r="W492" s="72"/>
      <c r="X492" s="72"/>
      <c r="Y492" s="72"/>
      <c r="Z492" s="72"/>
      <c r="AA492" s="72"/>
      <c r="AF492" s="72"/>
      <c r="AG492" s="72"/>
      <c r="AH492" s="72"/>
    </row>
    <row r="493" spans="2:34">
      <c r="B493" s="72" t="s">
        <v>1983</v>
      </c>
      <c r="C493" s="72"/>
      <c r="D493" s="72"/>
      <c r="F493" s="72"/>
      <c r="G493" s="72"/>
      <c r="H493" s="72"/>
      <c r="P493" s="72"/>
      <c r="Q493" s="72"/>
      <c r="R493" s="72"/>
      <c r="S493" s="72"/>
      <c r="T493" s="72"/>
      <c r="U493" s="72"/>
      <c r="V493" s="72"/>
      <c r="W493" s="72"/>
      <c r="X493" s="72"/>
      <c r="Y493" s="72"/>
      <c r="Z493" s="72"/>
      <c r="AA493" s="72"/>
      <c r="AF493" s="72"/>
      <c r="AG493" s="72"/>
      <c r="AH493" s="72"/>
    </row>
    <row r="494" spans="2:34">
      <c r="B494" s="72" t="s">
        <v>1982</v>
      </c>
      <c r="C494" s="72"/>
      <c r="D494" s="72"/>
      <c r="F494" s="72"/>
      <c r="G494" s="72"/>
      <c r="H494" s="72"/>
      <c r="P494" s="72"/>
      <c r="Q494" s="72"/>
      <c r="R494" s="72"/>
      <c r="S494" s="72"/>
      <c r="T494" s="72"/>
      <c r="U494" s="72"/>
      <c r="V494" s="72"/>
      <c r="W494" s="72"/>
      <c r="X494" s="72"/>
      <c r="Y494" s="72"/>
      <c r="Z494" s="72"/>
      <c r="AA494" s="72"/>
      <c r="AF494" s="72"/>
      <c r="AG494" s="72"/>
      <c r="AH494" s="72"/>
    </row>
    <row r="495" spans="2:34">
      <c r="B495" s="72" t="s">
        <v>1981</v>
      </c>
      <c r="C495" s="72"/>
      <c r="D495" s="72"/>
      <c r="F495" s="72"/>
      <c r="G495" s="72"/>
      <c r="H495" s="72"/>
      <c r="P495" s="72"/>
      <c r="Q495" s="72"/>
      <c r="R495" s="72"/>
      <c r="S495" s="72"/>
      <c r="T495" s="72"/>
      <c r="U495" s="72"/>
      <c r="V495" s="72"/>
      <c r="W495" s="72"/>
      <c r="X495" s="72"/>
      <c r="Y495" s="72"/>
      <c r="Z495" s="72"/>
      <c r="AA495" s="72"/>
      <c r="AF495" s="72"/>
      <c r="AG495" s="72"/>
      <c r="AH495" s="72"/>
    </row>
    <row r="496" spans="2:34">
      <c r="B496" s="12" t="s">
        <v>1980</v>
      </c>
      <c r="C496" s="72"/>
      <c r="D496" s="72"/>
      <c r="F496" s="72"/>
      <c r="G496" s="72"/>
      <c r="H496" s="72"/>
      <c r="P496" s="72"/>
      <c r="Q496" s="72"/>
      <c r="R496" s="72"/>
      <c r="S496" s="72"/>
      <c r="T496" s="72"/>
      <c r="U496" s="72"/>
      <c r="V496" s="72"/>
      <c r="W496" s="72"/>
      <c r="X496" s="72"/>
      <c r="Y496" s="72"/>
      <c r="Z496" s="72"/>
      <c r="AA496" s="72"/>
      <c r="AF496" s="72"/>
      <c r="AG496" s="72"/>
      <c r="AH496" s="72"/>
    </row>
    <row r="497" spans="2:34">
      <c r="B497" s="72" t="s">
        <v>1979</v>
      </c>
      <c r="C497" s="72"/>
      <c r="D497" s="72"/>
      <c r="F497" s="72"/>
      <c r="G497" s="72"/>
      <c r="H497" s="72"/>
      <c r="P497" s="72"/>
      <c r="Q497" s="72"/>
      <c r="R497" s="72"/>
      <c r="S497" s="72"/>
      <c r="T497" s="72"/>
      <c r="U497" s="72"/>
      <c r="V497" s="72"/>
      <c r="W497" s="72"/>
      <c r="X497" s="72"/>
      <c r="Y497" s="72"/>
      <c r="Z497" s="72"/>
      <c r="AA497" s="72"/>
      <c r="AF497" s="72"/>
      <c r="AG497" s="72"/>
      <c r="AH497" s="72"/>
    </row>
    <row r="498" spans="2:34">
      <c r="B498" s="72" t="s">
        <v>1978</v>
      </c>
      <c r="C498" s="72"/>
      <c r="D498" s="72"/>
      <c r="F498" s="72"/>
      <c r="G498" s="72"/>
      <c r="H498" s="72"/>
      <c r="P498" s="72"/>
      <c r="Q498" s="72"/>
      <c r="R498" s="72"/>
      <c r="S498" s="72"/>
      <c r="T498" s="72"/>
      <c r="U498" s="72"/>
      <c r="V498" s="72"/>
      <c r="W498" s="72"/>
      <c r="X498" s="72"/>
      <c r="Y498" s="72"/>
      <c r="Z498" s="72"/>
      <c r="AA498" s="72"/>
      <c r="AF498" s="72"/>
      <c r="AG498" s="72"/>
      <c r="AH498" s="72"/>
    </row>
    <row r="499" spans="2:34" ht="15">
      <c r="B499" s="274" t="s">
        <v>8264</v>
      </c>
      <c r="C499" s="72"/>
      <c r="D499" s="72"/>
      <c r="F499" s="72"/>
      <c r="G499" s="72"/>
      <c r="H499" s="72"/>
      <c r="P499" s="72"/>
      <c r="Q499" s="72"/>
      <c r="R499" s="72"/>
      <c r="S499" s="72"/>
      <c r="T499" s="72"/>
      <c r="U499" s="72"/>
      <c r="V499" s="72"/>
      <c r="W499" s="72"/>
      <c r="X499" s="72"/>
      <c r="Y499" s="72"/>
      <c r="Z499" s="72"/>
      <c r="AA499" s="72"/>
      <c r="AE499" s="44" t="s">
        <v>9596</v>
      </c>
      <c r="AF499" s="72"/>
      <c r="AG499" s="72"/>
      <c r="AH499" s="72"/>
    </row>
    <row r="500" spans="2:34" ht="15">
      <c r="B500" s="422" t="s">
        <v>11581</v>
      </c>
      <c r="C500" s="72"/>
      <c r="D500" s="72"/>
      <c r="F500" s="72"/>
      <c r="G500" s="72"/>
      <c r="H500" s="72"/>
      <c r="P500" s="72"/>
      <c r="Q500" s="72"/>
      <c r="R500" s="72"/>
      <c r="S500" s="72"/>
      <c r="T500" s="72"/>
      <c r="U500" s="72"/>
      <c r="V500" s="72"/>
      <c r="W500" s="72"/>
      <c r="X500" s="72"/>
      <c r="Y500" s="72"/>
      <c r="Z500" s="72"/>
      <c r="AA500" s="72"/>
      <c r="AE500" s="44"/>
      <c r="AF500" s="72"/>
      <c r="AG500" s="72"/>
      <c r="AH500" s="72"/>
    </row>
    <row r="501" spans="2:34">
      <c r="B501" s="72" t="s">
        <v>1977</v>
      </c>
      <c r="C501" s="72"/>
      <c r="D501" s="72"/>
      <c r="F501" s="72"/>
      <c r="G501" s="72"/>
      <c r="H501" s="72"/>
      <c r="P501" s="72"/>
      <c r="Q501" s="72"/>
      <c r="R501" s="72"/>
      <c r="S501" s="72"/>
      <c r="T501" s="72"/>
      <c r="U501" s="72"/>
      <c r="V501" s="72"/>
      <c r="W501" s="72"/>
      <c r="X501" s="72"/>
      <c r="Y501" s="72"/>
      <c r="Z501" s="72"/>
      <c r="AA501" s="72"/>
      <c r="AF501" s="72"/>
      <c r="AG501" s="72"/>
      <c r="AH501" s="72"/>
    </row>
    <row r="502" spans="2:34">
      <c r="B502" s="238" t="s">
        <v>7451</v>
      </c>
      <c r="C502" s="72"/>
      <c r="D502" s="72"/>
      <c r="F502" s="72"/>
      <c r="G502" s="72"/>
      <c r="H502" s="72"/>
      <c r="P502" s="72"/>
      <c r="Q502" s="72"/>
      <c r="R502" s="72"/>
      <c r="S502" s="72"/>
      <c r="T502" s="72"/>
      <c r="U502" s="72"/>
      <c r="V502" s="72"/>
      <c r="W502" s="72"/>
      <c r="X502" s="72"/>
      <c r="Y502" s="72"/>
      <c r="Z502" s="72"/>
      <c r="AA502" s="72"/>
      <c r="AF502" s="72"/>
      <c r="AG502" s="72"/>
      <c r="AH502" s="72"/>
    </row>
    <row r="503" spans="2:34">
      <c r="B503" s="385" t="s">
        <v>9497</v>
      </c>
      <c r="C503" s="72"/>
      <c r="D503" s="72"/>
      <c r="F503" s="72"/>
      <c r="G503" s="72"/>
      <c r="H503" s="72"/>
      <c r="P503" s="72"/>
      <c r="Q503" s="72"/>
      <c r="R503" s="72"/>
      <c r="S503" s="72"/>
      <c r="T503" s="72"/>
      <c r="U503" s="72"/>
      <c r="V503" s="72"/>
      <c r="W503" s="72"/>
      <c r="X503" s="72"/>
      <c r="Y503" s="72"/>
      <c r="Z503" s="72"/>
      <c r="AA503" s="72"/>
      <c r="AE503" s="25" t="s">
        <v>9498</v>
      </c>
      <c r="AF503" s="72"/>
      <c r="AG503" s="72"/>
      <c r="AH503" s="72"/>
    </row>
    <row r="504" spans="2:34">
      <c r="B504" s="72" t="s">
        <v>1976</v>
      </c>
      <c r="C504" s="72"/>
      <c r="D504" s="72"/>
      <c r="F504" s="72"/>
      <c r="G504" s="72"/>
      <c r="H504" s="72"/>
      <c r="P504" s="72"/>
      <c r="Q504" s="72"/>
      <c r="R504" s="72"/>
      <c r="S504" s="72"/>
      <c r="T504" s="72"/>
      <c r="U504" s="72"/>
      <c r="V504" s="72"/>
      <c r="W504" s="72"/>
      <c r="X504" s="72"/>
      <c r="Y504" s="72"/>
      <c r="Z504" s="72"/>
      <c r="AA504" s="72"/>
      <c r="AF504" s="72"/>
      <c r="AG504" s="72"/>
      <c r="AH504" s="72"/>
    </row>
    <row r="505" spans="2:34">
      <c r="B505" s="72" t="s">
        <v>1975</v>
      </c>
      <c r="C505" s="72"/>
      <c r="D505" s="72"/>
      <c r="F505" s="72"/>
      <c r="G505" s="72"/>
      <c r="H505" s="72"/>
      <c r="P505" s="72"/>
      <c r="Q505" s="72"/>
      <c r="R505" s="72"/>
      <c r="S505" s="72"/>
      <c r="T505" s="72"/>
      <c r="U505" s="72"/>
      <c r="V505" s="72"/>
      <c r="W505" s="72"/>
      <c r="X505" s="72"/>
      <c r="Y505" s="72"/>
      <c r="Z505" s="72"/>
      <c r="AA505" s="72"/>
      <c r="AF505" s="72"/>
      <c r="AG505" s="72"/>
      <c r="AH505" s="72"/>
    </row>
    <row r="506" spans="2:34">
      <c r="B506" s="72" t="s">
        <v>1974</v>
      </c>
      <c r="C506" s="72"/>
      <c r="D506" s="72"/>
      <c r="F506" s="72"/>
      <c r="G506" s="72"/>
      <c r="H506" s="72"/>
      <c r="P506" s="72"/>
      <c r="Q506" s="72"/>
      <c r="R506" s="72"/>
      <c r="S506" s="72"/>
      <c r="T506" s="72"/>
      <c r="U506" s="72"/>
      <c r="V506" s="72"/>
      <c r="W506" s="72"/>
      <c r="X506" s="72"/>
      <c r="Y506" s="72"/>
      <c r="Z506" s="72"/>
      <c r="AA506" s="72"/>
      <c r="AF506" s="72"/>
      <c r="AG506" s="72"/>
      <c r="AH506" s="72"/>
    </row>
    <row r="507" spans="2:34">
      <c r="B507" s="72" t="s">
        <v>1973</v>
      </c>
      <c r="C507" s="72"/>
      <c r="D507" s="72"/>
      <c r="F507" s="72"/>
      <c r="G507" s="72"/>
      <c r="H507" s="72"/>
      <c r="P507" s="72"/>
      <c r="Q507" s="72"/>
      <c r="R507" s="72"/>
      <c r="S507" s="72"/>
      <c r="T507" s="72"/>
      <c r="U507" s="72"/>
      <c r="V507" s="72"/>
      <c r="W507" s="72"/>
      <c r="X507" s="72"/>
      <c r="Y507" s="72"/>
      <c r="Z507" s="72"/>
      <c r="AA507" s="72"/>
      <c r="AF507" s="72"/>
      <c r="AG507" s="72"/>
      <c r="AH507" s="72"/>
    </row>
    <row r="508" spans="2:34">
      <c r="B508" s="72" t="s">
        <v>1972</v>
      </c>
      <c r="P508" s="72"/>
      <c r="Q508" s="72"/>
      <c r="R508" s="72"/>
      <c r="S508" s="72"/>
      <c r="T508" s="72"/>
      <c r="U508" s="72"/>
      <c r="V508" s="72"/>
      <c r="W508" s="72"/>
      <c r="X508" s="72"/>
      <c r="Y508" s="72"/>
      <c r="Z508" s="72"/>
      <c r="AA508" s="72"/>
      <c r="AF508" s="72"/>
      <c r="AG508" s="72"/>
      <c r="AH508" s="72"/>
    </row>
    <row r="509" spans="2:34">
      <c r="B509" s="72" t="s">
        <v>1971</v>
      </c>
      <c r="P509" s="72"/>
      <c r="Q509" s="72"/>
      <c r="R509" s="72"/>
      <c r="S509" s="72"/>
      <c r="T509" s="72"/>
      <c r="U509" s="72"/>
      <c r="V509" s="72"/>
      <c r="W509" s="72"/>
      <c r="X509" s="72"/>
      <c r="Y509" s="72"/>
      <c r="Z509" s="72"/>
      <c r="AA509" s="72"/>
      <c r="AF509" s="72"/>
      <c r="AG509" s="72"/>
      <c r="AH509" s="72"/>
    </row>
    <row r="510" spans="2:34">
      <c r="B510" s="72" t="s">
        <v>1970</v>
      </c>
      <c r="P510" s="72"/>
      <c r="Q510" s="72"/>
      <c r="R510" s="72"/>
      <c r="S510" s="72"/>
      <c r="T510" s="72"/>
      <c r="U510" s="72"/>
      <c r="V510" s="72"/>
      <c r="W510" s="72"/>
      <c r="X510" s="72"/>
      <c r="Y510" s="72"/>
      <c r="Z510" s="72"/>
      <c r="AA510" s="72"/>
      <c r="AF510" s="72"/>
      <c r="AG510" s="72"/>
      <c r="AH510" s="72"/>
    </row>
    <row r="511" spans="2:34">
      <c r="B511" s="72" t="s">
        <v>1969</v>
      </c>
      <c r="P511" s="72"/>
      <c r="Q511" s="72"/>
      <c r="R511" s="72"/>
      <c r="S511" s="72"/>
      <c r="T511" s="72"/>
      <c r="U511" s="72"/>
      <c r="V511" s="72"/>
      <c r="W511" s="72"/>
      <c r="X511" s="72"/>
      <c r="Y511" s="72"/>
      <c r="Z511" s="72"/>
      <c r="AA511" s="72"/>
      <c r="AF511" s="72"/>
      <c r="AG511" s="72"/>
      <c r="AH511" s="72"/>
    </row>
    <row r="512" spans="2:34">
      <c r="B512" s="72" t="s">
        <v>1968</v>
      </c>
      <c r="P512" s="72"/>
      <c r="Q512" s="72"/>
      <c r="R512" s="72"/>
      <c r="S512" s="72"/>
      <c r="T512" s="72"/>
      <c r="U512" s="72"/>
      <c r="V512" s="72"/>
      <c r="W512" s="72"/>
      <c r="X512" s="72"/>
      <c r="Y512" s="72"/>
      <c r="Z512" s="72"/>
      <c r="AA512" s="72"/>
      <c r="AF512" s="72"/>
      <c r="AG512" s="72"/>
      <c r="AH512" s="72"/>
    </row>
    <row r="513" spans="2:34">
      <c r="B513" s="72" t="s">
        <v>1967</v>
      </c>
      <c r="P513" s="72"/>
      <c r="Q513" s="72"/>
      <c r="R513" s="72"/>
      <c r="S513" s="72"/>
      <c r="T513" s="72"/>
      <c r="U513" s="72"/>
      <c r="V513" s="72"/>
      <c r="W513" s="72"/>
      <c r="X513" s="72"/>
      <c r="Y513" s="72"/>
      <c r="Z513" s="72"/>
      <c r="AA513" s="72"/>
      <c r="AF513" s="72"/>
      <c r="AG513" s="72"/>
      <c r="AH513" s="72"/>
    </row>
    <row r="514" spans="2:34">
      <c r="B514" s="72" t="s">
        <v>1965</v>
      </c>
      <c r="P514" s="72"/>
      <c r="Q514" s="72"/>
      <c r="R514" s="72"/>
      <c r="S514" s="72"/>
      <c r="T514" s="72"/>
      <c r="U514" s="72"/>
      <c r="V514" s="72"/>
      <c r="W514" s="72"/>
      <c r="X514" s="72"/>
      <c r="Y514" s="72"/>
      <c r="Z514" s="72"/>
      <c r="AA514" s="72"/>
      <c r="AF514" s="72"/>
      <c r="AG514" s="72"/>
      <c r="AH514" s="72"/>
    </row>
    <row r="515" spans="2:34">
      <c r="B515" s="72" t="s">
        <v>1964</v>
      </c>
      <c r="P515" s="72"/>
      <c r="Q515" s="72"/>
      <c r="R515" s="72"/>
      <c r="S515" s="72"/>
      <c r="T515" s="72"/>
      <c r="U515" s="72"/>
      <c r="V515" s="72"/>
      <c r="W515" s="72"/>
      <c r="X515" s="72"/>
      <c r="Y515" s="72"/>
      <c r="Z515" s="72"/>
      <c r="AA515" s="72"/>
      <c r="AF515" s="72"/>
      <c r="AG515" s="72"/>
      <c r="AH515" s="72"/>
    </row>
    <row r="516" spans="2:34">
      <c r="B516" s="72" t="s">
        <v>1963</v>
      </c>
      <c r="P516" s="72"/>
      <c r="Q516" s="72"/>
      <c r="R516" s="72"/>
      <c r="S516" s="72"/>
      <c r="T516" s="72"/>
      <c r="U516" s="72"/>
      <c r="V516" s="72"/>
      <c r="W516" s="72"/>
      <c r="X516" s="72"/>
      <c r="Y516" s="72"/>
      <c r="Z516" s="72"/>
      <c r="AA516" s="72"/>
      <c r="AF516" s="72"/>
      <c r="AG516" s="72"/>
      <c r="AH516" s="72"/>
    </row>
    <row r="517" spans="2:34">
      <c r="B517" s="72" t="s">
        <v>1962</v>
      </c>
      <c r="P517" s="72"/>
      <c r="Q517" s="72"/>
      <c r="R517" s="72"/>
      <c r="S517" s="72"/>
      <c r="T517" s="72"/>
      <c r="U517" s="72"/>
      <c r="V517" s="72"/>
      <c r="W517" s="72"/>
      <c r="X517" s="72"/>
      <c r="Y517" s="72"/>
      <c r="Z517" s="72"/>
      <c r="AA517" s="72"/>
      <c r="AF517" s="72"/>
      <c r="AG517" s="72"/>
      <c r="AH517" s="72"/>
    </row>
    <row r="518" spans="2:34">
      <c r="B518" s="72" t="s">
        <v>1961</v>
      </c>
      <c r="P518" s="72"/>
      <c r="Q518" s="72"/>
      <c r="R518" s="72"/>
      <c r="S518" s="72"/>
      <c r="T518" s="72"/>
      <c r="U518" s="72"/>
      <c r="V518" s="72"/>
      <c r="W518" s="72"/>
      <c r="X518" s="72"/>
      <c r="Y518" s="72"/>
      <c r="Z518" s="72"/>
      <c r="AA518" s="72"/>
      <c r="AF518" s="72"/>
      <c r="AG518" s="72"/>
      <c r="AH518" s="72"/>
    </row>
    <row r="519" spans="2:34">
      <c r="B519" s="72" t="s">
        <v>1960</v>
      </c>
      <c r="P519" s="72"/>
      <c r="Q519" s="72"/>
      <c r="R519" s="72"/>
      <c r="S519" s="72"/>
      <c r="T519" s="72"/>
      <c r="U519" s="72"/>
      <c r="V519" s="72"/>
      <c r="W519" s="72"/>
      <c r="X519" s="72"/>
      <c r="Y519" s="72"/>
      <c r="Z519" s="72"/>
      <c r="AA519" s="72"/>
      <c r="AF519" s="72"/>
      <c r="AG519" s="72"/>
      <c r="AH519" s="72"/>
    </row>
    <row r="520" spans="2:34">
      <c r="B520" s="72" t="s">
        <v>1959</v>
      </c>
      <c r="P520" s="72"/>
      <c r="Q520" s="72"/>
      <c r="R520" s="72"/>
      <c r="S520" s="72"/>
      <c r="T520" s="72"/>
      <c r="U520" s="72"/>
      <c r="V520" s="72"/>
      <c r="W520" s="72"/>
      <c r="X520" s="72"/>
      <c r="Y520" s="72"/>
      <c r="Z520" s="72"/>
      <c r="AA520" s="72"/>
      <c r="AF520" s="72"/>
      <c r="AG520" s="72"/>
      <c r="AH520" s="72"/>
    </row>
    <row r="521" spans="2:34">
      <c r="B521" s="72" t="s">
        <v>1958</v>
      </c>
      <c r="P521" s="72"/>
      <c r="Q521" s="72"/>
      <c r="R521" s="72"/>
      <c r="S521" s="72"/>
      <c r="T521" s="72"/>
      <c r="U521" s="72"/>
      <c r="V521" s="72"/>
      <c r="W521" s="72"/>
      <c r="X521" s="72"/>
      <c r="Y521" s="72"/>
      <c r="Z521" s="72"/>
      <c r="AA521" s="72"/>
      <c r="AF521" s="72"/>
      <c r="AG521" s="72"/>
      <c r="AH521" s="72"/>
    </row>
    <row r="522" spans="2:34">
      <c r="B522" s="72" t="s">
        <v>1957</v>
      </c>
      <c r="P522" s="72"/>
      <c r="Q522" s="72"/>
      <c r="R522" s="72"/>
      <c r="S522" s="72"/>
      <c r="T522" s="72"/>
      <c r="U522" s="72"/>
      <c r="V522" s="72"/>
      <c r="W522" s="72"/>
      <c r="X522" s="72"/>
      <c r="Y522" s="72"/>
      <c r="Z522" s="72"/>
      <c r="AA522" s="72"/>
      <c r="AF522" s="72"/>
      <c r="AG522" s="72"/>
      <c r="AH522" s="72"/>
    </row>
    <row r="523" spans="2:34">
      <c r="B523" s="72" t="s">
        <v>1956</v>
      </c>
      <c r="P523" s="72"/>
      <c r="Q523" s="72"/>
      <c r="R523" s="72"/>
      <c r="S523" s="72"/>
      <c r="T523" s="72"/>
      <c r="U523" s="72"/>
      <c r="V523" s="72"/>
      <c r="W523" s="72"/>
      <c r="X523" s="72"/>
      <c r="Y523" s="72"/>
      <c r="Z523" s="72"/>
      <c r="AA523" s="72"/>
      <c r="AF523" s="72"/>
      <c r="AG523" s="72"/>
      <c r="AH523" s="72"/>
    </row>
    <row r="524" spans="2:34">
      <c r="B524" s="72" t="s">
        <v>1955</v>
      </c>
      <c r="P524" s="72"/>
      <c r="Q524" s="72"/>
      <c r="R524" s="72"/>
      <c r="S524" s="72"/>
      <c r="T524" s="72"/>
      <c r="U524" s="72"/>
      <c r="V524" s="72"/>
      <c r="W524" s="72"/>
      <c r="X524" s="72"/>
      <c r="Y524" s="72"/>
      <c r="Z524" s="72"/>
      <c r="AA524" s="72"/>
      <c r="AF524" s="72"/>
      <c r="AG524" s="72"/>
      <c r="AH524" s="72"/>
    </row>
    <row r="525" spans="2:34">
      <c r="B525" s="72" t="s">
        <v>1954</v>
      </c>
      <c r="P525" s="72"/>
      <c r="Q525" s="72"/>
      <c r="R525" s="72"/>
      <c r="S525" s="72"/>
      <c r="T525" s="72"/>
      <c r="U525" s="72"/>
      <c r="V525" s="72"/>
      <c r="W525" s="72"/>
      <c r="X525" s="72"/>
      <c r="Y525" s="72"/>
      <c r="Z525" s="72"/>
      <c r="AA525" s="72"/>
      <c r="AF525" s="72"/>
      <c r="AG525" s="72"/>
      <c r="AH525" s="72"/>
    </row>
    <row r="526" spans="2:34">
      <c r="B526" s="72" t="s">
        <v>1953</v>
      </c>
      <c r="P526" s="72"/>
      <c r="Q526" s="72"/>
      <c r="R526" s="72"/>
      <c r="S526" s="72"/>
      <c r="T526" s="72"/>
      <c r="U526" s="72"/>
      <c r="V526" s="72"/>
      <c r="W526" s="72"/>
      <c r="X526" s="72"/>
      <c r="Y526" s="72"/>
      <c r="Z526" s="72"/>
      <c r="AA526" s="72"/>
      <c r="AF526" s="72"/>
      <c r="AG526" s="72"/>
      <c r="AH526" s="72"/>
    </row>
    <row r="527" spans="2:34">
      <c r="B527" s="72" t="s">
        <v>1952</v>
      </c>
      <c r="N527" s="72" t="s">
        <v>1900</v>
      </c>
      <c r="P527" s="72"/>
      <c r="Q527" s="72"/>
      <c r="R527" s="72"/>
      <c r="S527" s="72"/>
      <c r="T527" s="72"/>
      <c r="U527" s="72"/>
      <c r="V527" s="72"/>
      <c r="W527" s="72"/>
      <c r="X527" s="72"/>
      <c r="Y527" s="72"/>
      <c r="Z527" s="72"/>
      <c r="AA527" s="72"/>
      <c r="AF527" s="72"/>
      <c r="AG527" s="72"/>
      <c r="AH527" s="72"/>
    </row>
    <row r="528" spans="2:34">
      <c r="B528" s="72" t="s">
        <v>1951</v>
      </c>
      <c r="P528" s="72"/>
      <c r="Q528" s="72"/>
      <c r="R528" s="72"/>
      <c r="S528" s="72"/>
      <c r="T528" s="72"/>
      <c r="U528" s="72"/>
      <c r="V528" s="72"/>
      <c r="W528" s="72"/>
      <c r="X528" s="72"/>
      <c r="Y528" s="72"/>
      <c r="Z528" s="72"/>
      <c r="AA528" s="72"/>
      <c r="AF528" s="72"/>
      <c r="AG528" s="72"/>
      <c r="AH528" s="72"/>
    </row>
    <row r="529" spans="2:34">
      <c r="B529" s="72" t="s">
        <v>1950</v>
      </c>
      <c r="P529" s="72"/>
      <c r="Q529" s="72"/>
      <c r="R529" s="72"/>
      <c r="S529" s="72"/>
      <c r="T529" s="72"/>
      <c r="U529" s="72"/>
      <c r="V529" s="72"/>
      <c r="W529" s="72"/>
      <c r="X529" s="72"/>
      <c r="Y529" s="72"/>
      <c r="Z529" s="72"/>
      <c r="AA529" s="72"/>
      <c r="AF529" s="72"/>
      <c r="AG529" s="72"/>
      <c r="AH529" s="72"/>
    </row>
    <row r="530" spans="2:34">
      <c r="B530" s="72" t="s">
        <v>1949</v>
      </c>
      <c r="P530" s="72"/>
      <c r="Q530" s="72"/>
      <c r="R530" s="72"/>
      <c r="S530" s="72"/>
      <c r="T530" s="72"/>
      <c r="U530" s="72"/>
      <c r="V530" s="72"/>
      <c r="W530" s="72"/>
      <c r="X530" s="72"/>
      <c r="Y530" s="72"/>
      <c r="Z530" s="72"/>
      <c r="AA530" s="72"/>
      <c r="AF530" s="72"/>
      <c r="AG530" s="72"/>
      <c r="AH530" s="72"/>
    </row>
    <row r="531" spans="2:34">
      <c r="B531" s="72" t="s">
        <v>1948</v>
      </c>
      <c r="P531" s="72"/>
      <c r="Q531" s="72"/>
      <c r="R531" s="72"/>
      <c r="S531" s="72"/>
      <c r="T531" s="72"/>
      <c r="U531" s="72"/>
      <c r="V531" s="72"/>
      <c r="W531" s="72"/>
      <c r="X531" s="72"/>
      <c r="Y531" s="72"/>
      <c r="Z531" s="72"/>
      <c r="AA531" s="72"/>
      <c r="AF531" s="72"/>
      <c r="AG531" s="72"/>
      <c r="AH531" s="72"/>
    </row>
    <row r="532" spans="2:34">
      <c r="B532" s="72" t="s">
        <v>1947</v>
      </c>
      <c r="P532" s="72"/>
      <c r="Q532" s="72"/>
      <c r="R532" s="72"/>
      <c r="S532" s="72"/>
      <c r="T532" s="72"/>
      <c r="U532" s="72"/>
      <c r="V532" s="72"/>
      <c r="W532" s="72"/>
      <c r="X532" s="72"/>
      <c r="Y532" s="72"/>
      <c r="Z532" s="72"/>
      <c r="AA532" s="72"/>
      <c r="AF532" s="72"/>
      <c r="AG532" s="72"/>
      <c r="AH532" s="72"/>
    </row>
    <row r="533" spans="2:34">
      <c r="B533" s="72" t="s">
        <v>1946</v>
      </c>
      <c r="P533" s="72"/>
      <c r="Q533" s="72"/>
      <c r="R533" s="72"/>
      <c r="S533" s="72"/>
      <c r="T533" s="72"/>
      <c r="U533" s="72"/>
      <c r="V533" s="72"/>
      <c r="W533" s="72"/>
      <c r="X533" s="72"/>
      <c r="Y533" s="72"/>
      <c r="Z533" s="72"/>
      <c r="AA533" s="72"/>
      <c r="AF533" s="72"/>
      <c r="AG533" s="72"/>
      <c r="AH533" s="72"/>
    </row>
    <row r="534" spans="2:34">
      <c r="B534" s="72" t="s">
        <v>1945</v>
      </c>
      <c r="P534" s="72"/>
      <c r="Q534" s="72"/>
      <c r="R534" s="72"/>
      <c r="S534" s="72"/>
      <c r="T534" s="72"/>
      <c r="U534" s="72"/>
      <c r="V534" s="72"/>
      <c r="W534" s="72"/>
      <c r="X534" s="72"/>
      <c r="Y534" s="72"/>
      <c r="Z534" s="72"/>
      <c r="AA534" s="72"/>
      <c r="AF534" s="72"/>
      <c r="AG534" s="72"/>
      <c r="AH534" s="72"/>
    </row>
    <row r="535" spans="2:34">
      <c r="B535" s="72" t="s">
        <v>1944</v>
      </c>
      <c r="P535" s="72"/>
      <c r="Q535" s="72"/>
      <c r="R535" s="72"/>
      <c r="S535" s="72"/>
      <c r="T535" s="72"/>
      <c r="U535" s="72"/>
      <c r="V535" s="72"/>
      <c r="W535" s="72"/>
      <c r="X535" s="72"/>
      <c r="Y535" s="72"/>
      <c r="Z535" s="72"/>
      <c r="AA535" s="72"/>
      <c r="AF535" s="72"/>
      <c r="AG535" s="72"/>
      <c r="AH535" s="72"/>
    </row>
    <row r="536" spans="2:34">
      <c r="B536" s="72" t="s">
        <v>1943</v>
      </c>
      <c r="P536" s="72"/>
      <c r="Q536" s="72"/>
      <c r="R536" s="72"/>
      <c r="S536" s="72"/>
      <c r="T536" s="72"/>
      <c r="U536" s="72"/>
      <c r="V536" s="72"/>
      <c r="W536" s="72"/>
      <c r="X536" s="72"/>
      <c r="Y536" s="72"/>
      <c r="Z536" s="72"/>
      <c r="AA536" s="72"/>
      <c r="AF536" s="72"/>
      <c r="AG536" s="72"/>
      <c r="AH536" s="72"/>
    </row>
    <row r="537" spans="2:34">
      <c r="B537" s="72" t="s">
        <v>1942</v>
      </c>
      <c r="P537" s="72"/>
      <c r="Q537" s="72"/>
      <c r="R537" s="72"/>
      <c r="S537" s="72"/>
      <c r="T537" s="72"/>
      <c r="U537" s="72"/>
      <c r="V537" s="72"/>
      <c r="W537" s="72"/>
      <c r="X537" s="72"/>
      <c r="Y537" s="72"/>
      <c r="Z537" s="72"/>
      <c r="AA537" s="72"/>
      <c r="AF537" s="72"/>
      <c r="AG537" s="72"/>
      <c r="AH537" s="72"/>
    </row>
    <row r="538" spans="2:34">
      <c r="B538" s="72" t="s">
        <v>1243</v>
      </c>
      <c r="P538" s="72"/>
      <c r="Q538" s="72"/>
      <c r="R538" s="72"/>
      <c r="S538" s="72"/>
      <c r="T538" s="72"/>
      <c r="U538" s="72"/>
      <c r="V538" s="72"/>
      <c r="W538" s="72"/>
      <c r="X538" s="72"/>
      <c r="Y538" s="72"/>
      <c r="Z538" s="72"/>
      <c r="AA538" s="72"/>
      <c r="AF538" s="72"/>
      <c r="AG538" s="72"/>
      <c r="AH538" s="72"/>
    </row>
    <row r="539" spans="2:34">
      <c r="B539" s="72" t="s">
        <v>1941</v>
      </c>
      <c r="P539" s="72"/>
      <c r="Q539" s="72"/>
      <c r="R539" s="72"/>
      <c r="S539" s="72"/>
      <c r="T539" s="72"/>
      <c r="U539" s="72"/>
      <c r="V539" s="72"/>
      <c r="W539" s="72"/>
      <c r="X539" s="72"/>
      <c r="Y539" s="72"/>
      <c r="Z539" s="72"/>
      <c r="AA539" s="72"/>
      <c r="AF539" s="72"/>
      <c r="AG539" s="72"/>
      <c r="AH539" s="72"/>
    </row>
    <row r="540" spans="2:34">
      <c r="B540" s="72" t="s">
        <v>1940</v>
      </c>
      <c r="P540" s="72"/>
      <c r="Q540" s="72"/>
      <c r="R540" s="72"/>
      <c r="S540" s="72"/>
      <c r="T540" s="72"/>
      <c r="U540" s="72"/>
      <c r="V540" s="72"/>
      <c r="W540" s="72"/>
      <c r="X540" s="72"/>
      <c r="Y540" s="72"/>
      <c r="Z540" s="72"/>
      <c r="AA540" s="72"/>
      <c r="AF540" s="72"/>
      <c r="AG540" s="72"/>
      <c r="AH540" s="72"/>
    </row>
    <row r="541" spans="2:34">
      <c r="B541" s="72" t="s">
        <v>1939</v>
      </c>
      <c r="P541" s="72"/>
      <c r="Q541" s="72"/>
      <c r="R541" s="72"/>
      <c r="S541" s="72"/>
      <c r="T541" s="72"/>
      <c r="U541" s="72"/>
      <c r="V541" s="72"/>
      <c r="W541" s="72"/>
      <c r="X541" s="72"/>
      <c r="Y541" s="72"/>
      <c r="Z541" s="72"/>
      <c r="AA541" s="72"/>
      <c r="AF541" s="72"/>
      <c r="AG541" s="72"/>
      <c r="AH541" s="72"/>
    </row>
    <row r="542" spans="2:34">
      <c r="B542" s="72" t="s">
        <v>1938</v>
      </c>
      <c r="P542" s="72"/>
      <c r="Q542" s="72"/>
      <c r="R542" s="72"/>
      <c r="S542" s="72"/>
      <c r="T542" s="72"/>
      <c r="U542" s="72"/>
      <c r="V542" s="72"/>
      <c r="W542" s="72"/>
      <c r="X542" s="72"/>
      <c r="Y542" s="72"/>
      <c r="Z542" s="72"/>
      <c r="AA542" s="72"/>
      <c r="AF542" s="72"/>
      <c r="AG542" s="72"/>
      <c r="AH542" s="72"/>
    </row>
    <row r="543" spans="2:34">
      <c r="B543" s="72" t="s">
        <v>1937</v>
      </c>
      <c r="P543" s="72"/>
      <c r="Q543" s="72"/>
      <c r="R543" s="72"/>
      <c r="S543" s="72"/>
      <c r="T543" s="72"/>
      <c r="U543" s="72"/>
      <c r="V543" s="72"/>
      <c r="W543" s="72"/>
      <c r="X543" s="72"/>
      <c r="Y543" s="72"/>
      <c r="Z543" s="72"/>
      <c r="AA543" s="72"/>
      <c r="AF543" s="72"/>
      <c r="AG543" s="72"/>
      <c r="AH543" s="72"/>
    </row>
    <row r="544" spans="2:34">
      <c r="B544" s="72" t="s">
        <v>1936</v>
      </c>
      <c r="P544" s="72"/>
      <c r="Q544" s="72"/>
      <c r="R544" s="72"/>
      <c r="S544" s="72"/>
      <c r="T544" s="72"/>
      <c r="U544" s="72"/>
      <c r="V544" s="72"/>
      <c r="W544" s="72"/>
      <c r="X544" s="72"/>
      <c r="Y544" s="72"/>
      <c r="Z544" s="72"/>
      <c r="AA544" s="72"/>
      <c r="AF544" s="72"/>
      <c r="AG544" s="72"/>
      <c r="AH544" s="72"/>
    </row>
    <row r="545" spans="2:34">
      <c r="B545" s="72" t="s">
        <v>1935</v>
      </c>
      <c r="P545" s="72"/>
      <c r="Q545" s="72"/>
      <c r="R545" s="72"/>
      <c r="S545" s="72"/>
      <c r="T545" s="72"/>
      <c r="U545" s="72"/>
      <c r="V545" s="72"/>
      <c r="W545" s="72"/>
      <c r="X545" s="72"/>
      <c r="Y545" s="72"/>
      <c r="Z545" s="72"/>
      <c r="AA545" s="72"/>
      <c r="AF545" s="72"/>
      <c r="AG545" s="72"/>
      <c r="AH545" s="72"/>
    </row>
    <row r="546" spans="2:34">
      <c r="B546" s="72" t="s">
        <v>1934</v>
      </c>
      <c r="P546" s="72"/>
      <c r="Q546" s="72"/>
      <c r="R546" s="72"/>
      <c r="S546" s="72"/>
      <c r="T546" s="72"/>
      <c r="U546" s="72"/>
      <c r="V546" s="72"/>
      <c r="W546" s="72"/>
      <c r="X546" s="72"/>
      <c r="Y546" s="72"/>
      <c r="Z546" s="72"/>
      <c r="AA546" s="72"/>
      <c r="AF546" s="72"/>
      <c r="AG546" s="72"/>
      <c r="AH546" s="72"/>
    </row>
    <row r="547" spans="2:34">
      <c r="B547" s="72" t="s">
        <v>1247</v>
      </c>
      <c r="P547" s="72"/>
      <c r="Q547" s="72"/>
      <c r="R547" s="72"/>
      <c r="S547" s="72"/>
      <c r="T547" s="72"/>
      <c r="U547" s="72"/>
      <c r="V547" s="72"/>
      <c r="W547" s="72"/>
      <c r="X547" s="72"/>
      <c r="Y547" s="72"/>
      <c r="Z547" s="72"/>
      <c r="AA547" s="72"/>
      <c r="AF547" s="72"/>
      <c r="AG547" s="72"/>
      <c r="AH547" s="72"/>
    </row>
    <row r="548" spans="2:34">
      <c r="B548" s="72" t="s">
        <v>1933</v>
      </c>
      <c r="P548" s="72"/>
      <c r="Q548" s="72"/>
      <c r="R548" s="72"/>
      <c r="S548" s="72"/>
      <c r="T548" s="72"/>
      <c r="U548" s="72"/>
      <c r="V548" s="72"/>
      <c r="W548" s="72"/>
      <c r="X548" s="72"/>
      <c r="Y548" s="72"/>
      <c r="Z548" s="72"/>
      <c r="AA548" s="72"/>
      <c r="AF548" s="72"/>
      <c r="AG548" s="72"/>
      <c r="AH548" s="72"/>
    </row>
    <row r="549" spans="2:34">
      <c r="B549" s="72" t="s">
        <v>1932</v>
      </c>
      <c r="P549" s="72"/>
      <c r="Q549" s="72"/>
      <c r="R549" s="72"/>
      <c r="S549" s="72"/>
      <c r="T549" s="72"/>
      <c r="U549" s="72"/>
      <c r="V549" s="72"/>
      <c r="W549" s="72"/>
      <c r="X549" s="72"/>
      <c r="Y549" s="72"/>
      <c r="Z549" s="72"/>
      <c r="AA549" s="72"/>
      <c r="AF549" s="72"/>
      <c r="AG549" s="72"/>
      <c r="AH549" s="72"/>
    </row>
    <row r="550" spans="2:34">
      <c r="B550" s="72" t="s">
        <v>1931</v>
      </c>
      <c r="N550" s="72" t="s">
        <v>1900</v>
      </c>
      <c r="P550" s="72"/>
      <c r="Q550" s="72"/>
      <c r="R550" s="72"/>
      <c r="S550" s="72"/>
      <c r="T550" s="72"/>
      <c r="U550" s="72"/>
      <c r="V550" s="72"/>
      <c r="W550" s="72"/>
      <c r="X550" s="72"/>
      <c r="Y550" s="72"/>
      <c r="Z550" s="72"/>
      <c r="AA550" s="72"/>
      <c r="AF550" s="72"/>
      <c r="AG550" s="72"/>
      <c r="AH550" s="72"/>
    </row>
    <row r="551" spans="2:34">
      <c r="B551" s="72" t="s">
        <v>1930</v>
      </c>
      <c r="P551" s="72"/>
      <c r="Q551" s="72"/>
      <c r="R551" s="72"/>
      <c r="S551" s="72"/>
      <c r="T551" s="72"/>
      <c r="U551" s="72"/>
      <c r="V551" s="72"/>
      <c r="W551" s="72"/>
      <c r="X551" s="72"/>
      <c r="Y551" s="72"/>
      <c r="Z551" s="72"/>
      <c r="AA551" s="72"/>
      <c r="AF551" s="72"/>
      <c r="AG551" s="72"/>
      <c r="AH551" s="72"/>
    </row>
    <row r="552" spans="2:34">
      <c r="B552" s="72" t="s">
        <v>1929</v>
      </c>
      <c r="N552" s="72" t="s">
        <v>1900</v>
      </c>
      <c r="P552" s="72"/>
      <c r="Q552" s="72"/>
      <c r="R552" s="72"/>
      <c r="S552" s="72"/>
      <c r="T552" s="72"/>
      <c r="U552" s="72"/>
      <c r="V552" s="72"/>
      <c r="W552" s="72"/>
      <c r="X552" s="72"/>
      <c r="Y552" s="72"/>
      <c r="Z552" s="72"/>
      <c r="AA552" s="72"/>
      <c r="AF552" s="72"/>
      <c r="AG552" s="72"/>
      <c r="AH552" s="72"/>
    </row>
    <row r="553" spans="2:34">
      <c r="B553" s="72" t="s">
        <v>1928</v>
      </c>
      <c r="P553" s="72"/>
      <c r="Q553" s="72"/>
      <c r="R553" s="72"/>
      <c r="S553" s="72"/>
      <c r="T553" s="72"/>
      <c r="U553" s="72"/>
      <c r="V553" s="72"/>
      <c r="W553" s="72"/>
      <c r="X553" s="72"/>
      <c r="Y553" s="72"/>
      <c r="Z553" s="72"/>
      <c r="AA553" s="72"/>
      <c r="AF553" s="72"/>
      <c r="AG553" s="72"/>
      <c r="AH553" s="72"/>
    </row>
    <row r="554" spans="2:34">
      <c r="B554" s="72" t="s">
        <v>1927</v>
      </c>
      <c r="P554" s="72"/>
      <c r="Q554" s="72"/>
      <c r="R554" s="72"/>
      <c r="S554" s="72"/>
      <c r="T554" s="72"/>
      <c r="U554" s="72"/>
      <c r="V554" s="72"/>
      <c r="W554" s="72"/>
      <c r="X554" s="72"/>
      <c r="Y554" s="72"/>
      <c r="Z554" s="72"/>
      <c r="AA554" s="72"/>
      <c r="AF554" s="72"/>
      <c r="AG554" s="72"/>
      <c r="AH554" s="72"/>
    </row>
    <row r="555" spans="2:34">
      <c r="B555" s="72" t="s">
        <v>1926</v>
      </c>
      <c r="P555" s="72"/>
      <c r="Q555" s="72"/>
      <c r="R555" s="72"/>
      <c r="S555" s="72"/>
      <c r="T555" s="72"/>
      <c r="U555" s="72"/>
      <c r="V555" s="72"/>
      <c r="W555" s="72"/>
      <c r="X555" s="72"/>
      <c r="Y555" s="72"/>
      <c r="Z555" s="72"/>
      <c r="AA555" s="72"/>
      <c r="AF555" s="72"/>
      <c r="AG555" s="72"/>
      <c r="AH555" s="72"/>
    </row>
    <row r="556" spans="2:34">
      <c r="B556" s="72" t="s">
        <v>1925</v>
      </c>
      <c r="P556" s="72"/>
      <c r="Q556" s="72"/>
      <c r="R556" s="72"/>
      <c r="S556" s="72"/>
      <c r="T556" s="72"/>
      <c r="U556" s="72"/>
      <c r="V556" s="72"/>
      <c r="W556" s="72"/>
      <c r="X556" s="72"/>
      <c r="Y556" s="72"/>
      <c r="Z556" s="72"/>
      <c r="AA556" s="72"/>
      <c r="AF556" s="72"/>
      <c r="AG556" s="72"/>
      <c r="AH556" s="72"/>
    </row>
    <row r="557" spans="2:34">
      <c r="B557" s="72" t="s">
        <v>1287</v>
      </c>
      <c r="P557" s="72"/>
      <c r="Q557" s="72"/>
      <c r="R557" s="72"/>
      <c r="S557" s="72"/>
      <c r="T557" s="72"/>
      <c r="U557" s="72"/>
      <c r="V557" s="72"/>
      <c r="W557" s="72"/>
      <c r="X557" s="72"/>
      <c r="Y557" s="72"/>
      <c r="Z557" s="72"/>
      <c r="AA557" s="72"/>
      <c r="AF557" s="72"/>
      <c r="AG557" s="72"/>
      <c r="AH557" s="72"/>
    </row>
    <row r="558" spans="2:34">
      <c r="B558" s="72" t="s">
        <v>1924</v>
      </c>
      <c r="P558" s="72"/>
      <c r="Q558" s="72"/>
      <c r="R558" s="72"/>
      <c r="S558" s="72"/>
      <c r="T558" s="72"/>
      <c r="U558" s="72"/>
      <c r="V558" s="72"/>
      <c r="W558" s="72"/>
      <c r="X558" s="72"/>
      <c r="Y558" s="72"/>
      <c r="Z558" s="72"/>
      <c r="AA558" s="72"/>
      <c r="AF558" s="72"/>
      <c r="AG558" s="72"/>
      <c r="AH558" s="72"/>
    </row>
    <row r="559" spans="2:34">
      <c r="B559" s="72" t="s">
        <v>1923</v>
      </c>
      <c r="P559" s="72"/>
      <c r="Q559" s="72"/>
      <c r="R559" s="72"/>
      <c r="S559" s="72"/>
      <c r="T559" s="72"/>
      <c r="U559" s="72"/>
      <c r="V559" s="72"/>
      <c r="W559" s="72"/>
      <c r="X559" s="72"/>
      <c r="Y559" s="72"/>
      <c r="Z559" s="72"/>
      <c r="AA559" s="72"/>
      <c r="AF559" s="72"/>
      <c r="AG559" s="72"/>
      <c r="AH559" s="72"/>
    </row>
    <row r="560" spans="2:34">
      <c r="B560" s="72" t="s">
        <v>1922</v>
      </c>
      <c r="P560" s="72"/>
      <c r="Q560" s="72"/>
      <c r="R560" s="72"/>
      <c r="S560" s="72"/>
      <c r="T560" s="72"/>
      <c r="U560" s="72"/>
      <c r="V560" s="72"/>
      <c r="W560" s="72"/>
      <c r="X560" s="72"/>
      <c r="Y560" s="72"/>
      <c r="Z560" s="72"/>
      <c r="AA560" s="72"/>
      <c r="AF560" s="72"/>
      <c r="AG560" s="72"/>
      <c r="AH560" s="72"/>
    </row>
    <row r="561" spans="2:34">
      <c r="B561" s="72" t="s">
        <v>1921</v>
      </c>
      <c r="P561" s="72"/>
      <c r="Q561" s="72"/>
      <c r="R561" s="72"/>
      <c r="S561" s="72"/>
      <c r="T561" s="72"/>
      <c r="U561" s="72"/>
      <c r="V561" s="72"/>
      <c r="W561" s="72"/>
      <c r="X561" s="72"/>
      <c r="Y561" s="72"/>
      <c r="Z561" s="72"/>
      <c r="AA561" s="72"/>
      <c r="AF561" s="72"/>
      <c r="AG561" s="72"/>
      <c r="AH561" s="72"/>
    </row>
    <row r="562" spans="2:34">
      <c r="B562" s="72" t="s">
        <v>1920</v>
      </c>
      <c r="P562" s="72"/>
      <c r="Q562" s="72"/>
      <c r="R562" s="72"/>
      <c r="S562" s="72"/>
      <c r="T562" s="72"/>
      <c r="U562" s="72"/>
      <c r="V562" s="72"/>
      <c r="W562" s="72"/>
      <c r="X562" s="72"/>
      <c r="Y562" s="72"/>
      <c r="Z562" s="72"/>
      <c r="AA562" s="72"/>
      <c r="AF562" s="72"/>
      <c r="AG562" s="72"/>
      <c r="AH562" s="72"/>
    </row>
    <row r="563" spans="2:34">
      <c r="B563" s="72" t="s">
        <v>1919</v>
      </c>
      <c r="P563" s="72"/>
      <c r="Q563" s="72"/>
      <c r="R563" s="72"/>
      <c r="S563" s="72"/>
      <c r="T563" s="72"/>
      <c r="U563" s="72"/>
      <c r="V563" s="72"/>
      <c r="W563" s="72"/>
      <c r="X563" s="72"/>
      <c r="Y563" s="72"/>
      <c r="Z563" s="72"/>
      <c r="AA563" s="72"/>
      <c r="AF563" s="72"/>
      <c r="AG563" s="72"/>
      <c r="AH563" s="72"/>
    </row>
    <row r="564" spans="2:34">
      <c r="B564" s="72" t="s">
        <v>1918</v>
      </c>
      <c r="N564" s="72" t="s">
        <v>1900</v>
      </c>
      <c r="P564" s="72"/>
      <c r="Q564" s="72"/>
      <c r="R564" s="72"/>
      <c r="S564" s="72"/>
      <c r="T564" s="72"/>
      <c r="U564" s="72"/>
      <c r="V564" s="72"/>
      <c r="W564" s="72"/>
      <c r="X564" s="72"/>
      <c r="Y564" s="72"/>
      <c r="Z564" s="72"/>
      <c r="AA564" s="72"/>
      <c r="AF564" s="72"/>
      <c r="AG564" s="72"/>
      <c r="AH564" s="72"/>
    </row>
    <row r="565" spans="2:34">
      <c r="B565" s="72" t="s">
        <v>1917</v>
      </c>
      <c r="J565" s="72" t="s">
        <v>1916</v>
      </c>
      <c r="P565" s="72"/>
      <c r="Q565" s="72"/>
      <c r="R565" s="72"/>
      <c r="S565" s="72"/>
      <c r="T565" s="72"/>
      <c r="U565" s="72"/>
      <c r="V565" s="72"/>
      <c r="W565" s="72"/>
      <c r="X565" s="72"/>
      <c r="Y565" s="72"/>
      <c r="Z565" s="72"/>
      <c r="AA565" s="72"/>
      <c r="AF565" s="72"/>
      <c r="AG565" s="72"/>
      <c r="AH565" s="72"/>
    </row>
    <row r="566" spans="2:34">
      <c r="B566" s="72" t="s">
        <v>1915</v>
      </c>
      <c r="N566" s="72" t="s">
        <v>1900</v>
      </c>
      <c r="P566" s="72"/>
      <c r="Q566" s="72"/>
      <c r="R566" s="72"/>
      <c r="S566" s="72"/>
      <c r="T566" s="72"/>
      <c r="U566" s="72"/>
      <c r="V566" s="72"/>
      <c r="W566" s="72"/>
      <c r="X566" s="72"/>
      <c r="Y566" s="72"/>
      <c r="Z566" s="72"/>
      <c r="AA566" s="72"/>
      <c r="AF566" s="72"/>
      <c r="AG566" s="72"/>
      <c r="AH566" s="72"/>
    </row>
    <row r="567" spans="2:34">
      <c r="B567" s="72" t="s">
        <v>1914</v>
      </c>
      <c r="N567" s="72" t="s">
        <v>1900</v>
      </c>
      <c r="P567" s="72"/>
      <c r="Q567" s="72"/>
      <c r="R567" s="72"/>
      <c r="S567" s="72"/>
      <c r="T567" s="72"/>
      <c r="U567" s="72"/>
      <c r="V567" s="72"/>
      <c r="W567" s="72"/>
      <c r="X567" s="72"/>
      <c r="Y567" s="72"/>
      <c r="Z567" s="72"/>
      <c r="AA567" s="72"/>
      <c r="AF567" s="72"/>
      <c r="AG567" s="72"/>
      <c r="AH567" s="72"/>
    </row>
    <row r="568" spans="2:34">
      <c r="B568" s="72" t="s">
        <v>1913</v>
      </c>
      <c r="N568" s="72" t="s">
        <v>1900</v>
      </c>
      <c r="P568" s="72"/>
      <c r="Q568" s="72"/>
      <c r="R568" s="72"/>
      <c r="S568" s="72"/>
      <c r="T568" s="72"/>
      <c r="U568" s="72"/>
      <c r="V568" s="72"/>
      <c r="W568" s="72"/>
      <c r="X568" s="72"/>
      <c r="Y568" s="72"/>
      <c r="Z568" s="72"/>
      <c r="AA568" s="72"/>
      <c r="AF568" s="72"/>
      <c r="AG568" s="72"/>
      <c r="AH568" s="72"/>
    </row>
    <row r="569" spans="2:34">
      <c r="B569" s="72" t="s">
        <v>1912</v>
      </c>
      <c r="N569" s="72" t="s">
        <v>1900</v>
      </c>
      <c r="P569" s="72"/>
      <c r="Q569" s="72"/>
      <c r="R569" s="72"/>
      <c r="S569" s="72"/>
      <c r="T569" s="72"/>
      <c r="U569" s="72"/>
      <c r="V569" s="72"/>
      <c r="W569" s="72"/>
      <c r="X569" s="72"/>
      <c r="Y569" s="72"/>
      <c r="Z569" s="72"/>
      <c r="AA569" s="72"/>
      <c r="AF569" s="72"/>
      <c r="AG569" s="72"/>
      <c r="AH569" s="72"/>
    </row>
    <row r="570" spans="2:34">
      <c r="B570" s="72" t="s">
        <v>1911</v>
      </c>
      <c r="N570" s="72" t="s">
        <v>1900</v>
      </c>
      <c r="P570" s="72"/>
      <c r="Q570" s="72"/>
      <c r="R570" s="72"/>
      <c r="S570" s="72"/>
      <c r="T570" s="72"/>
      <c r="U570" s="72"/>
      <c r="V570" s="72"/>
      <c r="W570" s="72"/>
      <c r="X570" s="72"/>
      <c r="Y570" s="72"/>
      <c r="Z570" s="72"/>
      <c r="AA570" s="72"/>
      <c r="AF570" s="72"/>
      <c r="AG570" s="72"/>
      <c r="AH570" s="72"/>
    </row>
    <row r="571" spans="2:34">
      <c r="B571" s="72" t="s">
        <v>1910</v>
      </c>
      <c r="N571" s="72" t="s">
        <v>1909</v>
      </c>
      <c r="P571" s="72"/>
      <c r="Q571" s="72"/>
      <c r="R571" s="72"/>
      <c r="S571" s="72"/>
      <c r="T571" s="72"/>
      <c r="U571" s="72"/>
      <c r="V571" s="72"/>
      <c r="W571" s="72"/>
      <c r="X571" s="72"/>
      <c r="Y571" s="72"/>
      <c r="Z571" s="72"/>
      <c r="AA571" s="72"/>
      <c r="AF571" s="72"/>
      <c r="AG571" s="72"/>
      <c r="AH571" s="72"/>
    </row>
    <row r="572" spans="2:34">
      <c r="B572" s="72" t="s">
        <v>1908</v>
      </c>
      <c r="N572" s="72" t="s">
        <v>1900</v>
      </c>
      <c r="P572" s="72"/>
      <c r="Q572" s="72"/>
      <c r="R572" s="72"/>
      <c r="S572" s="72"/>
      <c r="T572" s="72"/>
      <c r="U572" s="72"/>
      <c r="V572" s="72"/>
      <c r="W572" s="72"/>
      <c r="X572" s="72"/>
      <c r="Y572" s="72"/>
      <c r="Z572" s="72"/>
      <c r="AA572" s="72"/>
      <c r="AF572" s="72"/>
      <c r="AG572" s="72"/>
      <c r="AH572" s="72"/>
    </row>
    <row r="573" spans="2:34">
      <c r="B573" s="72" t="s">
        <v>1907</v>
      </c>
      <c r="N573" s="72" t="s">
        <v>1900</v>
      </c>
      <c r="P573" s="72"/>
      <c r="Q573" s="72"/>
      <c r="R573" s="72"/>
      <c r="S573" s="72"/>
      <c r="T573" s="72"/>
      <c r="U573" s="72"/>
      <c r="V573" s="72"/>
      <c r="W573" s="72"/>
      <c r="X573" s="72"/>
      <c r="Y573" s="72"/>
      <c r="Z573" s="72"/>
      <c r="AA573" s="72"/>
      <c r="AF573" s="72"/>
      <c r="AG573" s="72"/>
      <c r="AH573" s="72"/>
    </row>
    <row r="574" spans="2:34">
      <c r="B574" s="72" t="s">
        <v>1906</v>
      </c>
      <c r="N574" s="72" t="s">
        <v>1900</v>
      </c>
      <c r="P574" s="72"/>
      <c r="Q574" s="72"/>
      <c r="R574" s="72"/>
      <c r="S574" s="72"/>
      <c r="T574" s="72"/>
      <c r="U574" s="72"/>
      <c r="V574" s="72"/>
      <c r="W574" s="72"/>
      <c r="X574" s="72"/>
      <c r="Y574" s="72"/>
      <c r="Z574" s="72"/>
      <c r="AA574" s="72"/>
      <c r="AF574" s="72"/>
      <c r="AG574" s="72"/>
      <c r="AH574" s="72"/>
    </row>
    <row r="575" spans="2:34">
      <c r="B575" s="72" t="s">
        <v>1905</v>
      </c>
      <c r="N575" s="72" t="s">
        <v>1900</v>
      </c>
      <c r="P575" s="72"/>
      <c r="Q575" s="72"/>
      <c r="R575" s="72"/>
      <c r="S575" s="72"/>
      <c r="T575" s="72"/>
      <c r="U575" s="72"/>
      <c r="V575" s="72"/>
      <c r="W575" s="72"/>
      <c r="X575" s="72"/>
      <c r="Y575" s="72"/>
      <c r="Z575" s="72"/>
      <c r="AA575" s="72"/>
      <c r="AF575" s="72"/>
      <c r="AG575" s="72"/>
      <c r="AH575" s="72"/>
    </row>
    <row r="576" spans="2:34">
      <c r="B576" s="72" t="s">
        <v>1904</v>
      </c>
      <c r="N576" s="72" t="s">
        <v>1900</v>
      </c>
      <c r="P576" s="72"/>
      <c r="Q576" s="72"/>
      <c r="R576" s="72"/>
      <c r="S576" s="72"/>
      <c r="T576" s="72"/>
      <c r="U576" s="72"/>
      <c r="V576" s="72"/>
      <c r="W576" s="72"/>
      <c r="X576" s="72"/>
      <c r="Y576" s="72"/>
      <c r="Z576" s="72"/>
      <c r="AA576" s="72"/>
      <c r="AF576" s="72"/>
      <c r="AG576" s="72"/>
      <c r="AH576" s="72"/>
    </row>
    <row r="577" spans="2:34">
      <c r="B577" s="72" t="s">
        <v>1903</v>
      </c>
      <c r="N577" s="72" t="s">
        <v>1900</v>
      </c>
      <c r="P577" s="72"/>
      <c r="Q577" s="72"/>
      <c r="R577" s="72"/>
      <c r="S577" s="72"/>
      <c r="T577" s="72"/>
      <c r="U577" s="72"/>
      <c r="V577" s="72"/>
      <c r="W577" s="72"/>
      <c r="X577" s="72"/>
      <c r="Y577" s="72"/>
      <c r="Z577" s="72"/>
      <c r="AA577" s="72"/>
      <c r="AF577" s="72"/>
      <c r="AG577" s="72"/>
      <c r="AH577" s="72"/>
    </row>
    <row r="578" spans="2:34">
      <c r="B578" s="72" t="s">
        <v>1902</v>
      </c>
      <c r="N578" s="72" t="s">
        <v>1900</v>
      </c>
      <c r="P578" s="72"/>
      <c r="Q578" s="72"/>
      <c r="R578" s="72"/>
      <c r="S578" s="72"/>
      <c r="T578" s="72"/>
      <c r="U578" s="72"/>
      <c r="V578" s="72"/>
      <c r="W578" s="72"/>
      <c r="X578" s="72"/>
      <c r="Y578" s="72"/>
      <c r="Z578" s="72"/>
      <c r="AA578" s="72"/>
      <c r="AF578" s="72"/>
      <c r="AG578" s="72"/>
      <c r="AH578" s="72"/>
    </row>
    <row r="579" spans="2:34">
      <c r="B579" s="72" t="s">
        <v>1901</v>
      </c>
      <c r="N579" s="72" t="s">
        <v>1900</v>
      </c>
      <c r="P579" s="72"/>
      <c r="Q579" s="72"/>
      <c r="R579" s="72"/>
      <c r="S579" s="72"/>
      <c r="T579" s="72"/>
      <c r="U579" s="72"/>
      <c r="V579" s="72"/>
      <c r="W579" s="72"/>
      <c r="X579" s="72"/>
      <c r="Y579" s="72"/>
      <c r="Z579" s="72"/>
      <c r="AA579" s="72"/>
      <c r="AF579" s="72"/>
      <c r="AG579" s="72"/>
      <c r="AH579" s="72"/>
    </row>
    <row r="580" spans="2:34">
      <c r="B580" s="72" t="s">
        <v>1899</v>
      </c>
      <c r="P580" s="72"/>
      <c r="Q580" s="72"/>
      <c r="R580" s="72"/>
      <c r="S580" s="72"/>
      <c r="T580" s="72"/>
      <c r="U580" s="72"/>
      <c r="V580" s="72"/>
      <c r="W580" s="72"/>
      <c r="X580" s="72"/>
      <c r="Y580" s="72"/>
      <c r="Z580" s="72"/>
      <c r="AA580" s="72"/>
      <c r="AF580" s="72"/>
      <c r="AG580" s="72"/>
      <c r="AH580" s="72"/>
    </row>
    <row r="581" spans="2:34">
      <c r="B581" s="72" t="s">
        <v>1898</v>
      </c>
      <c r="P581" s="72"/>
      <c r="Q581" s="72"/>
      <c r="R581" s="72"/>
      <c r="S581" s="72"/>
      <c r="T581" s="72"/>
      <c r="U581" s="72"/>
      <c r="V581" s="72"/>
      <c r="W581" s="72"/>
      <c r="X581" s="72"/>
      <c r="Y581" s="72"/>
      <c r="Z581" s="72"/>
      <c r="AA581" s="72"/>
      <c r="AF581" s="72"/>
      <c r="AG581" s="72"/>
      <c r="AH581" s="72"/>
    </row>
    <row r="582" spans="2:34">
      <c r="B582" s="72" t="s">
        <v>1897</v>
      </c>
      <c r="P582" s="72"/>
      <c r="Q582" s="72"/>
      <c r="R582" s="72"/>
      <c r="S582" s="72"/>
      <c r="T582" s="72"/>
      <c r="U582" s="72"/>
      <c r="V582" s="72"/>
      <c r="W582" s="72"/>
      <c r="X582" s="72"/>
      <c r="Y582" s="72"/>
      <c r="Z582" s="72"/>
      <c r="AA582" s="72"/>
      <c r="AF582" s="72"/>
      <c r="AG582" s="72"/>
      <c r="AH582" s="72"/>
    </row>
    <row r="583" spans="2:34">
      <c r="B583" s="72" t="s">
        <v>1896</v>
      </c>
      <c r="P583" s="72"/>
      <c r="Q583" s="72"/>
      <c r="R583" s="72"/>
      <c r="S583" s="72"/>
      <c r="T583" s="72"/>
      <c r="U583" s="72"/>
      <c r="V583" s="72"/>
      <c r="W583" s="72"/>
      <c r="X583" s="72"/>
      <c r="Y583" s="72"/>
      <c r="Z583" s="72"/>
      <c r="AA583" s="72"/>
      <c r="AF583" s="72"/>
      <c r="AG583" s="72"/>
      <c r="AH583" s="72"/>
    </row>
    <row r="584" spans="2:34">
      <c r="B584" s="72" t="s">
        <v>1895</v>
      </c>
      <c r="P584" s="72"/>
      <c r="Q584" s="72"/>
      <c r="R584" s="72"/>
      <c r="S584" s="72"/>
      <c r="T584" s="72"/>
      <c r="U584" s="72"/>
      <c r="V584" s="72"/>
      <c r="W584" s="72"/>
      <c r="X584" s="72"/>
      <c r="Y584" s="72"/>
      <c r="Z584" s="72"/>
      <c r="AA584" s="72"/>
      <c r="AF584" s="72"/>
      <c r="AG584" s="72"/>
      <c r="AH584" s="72"/>
    </row>
    <row r="585" spans="2:34">
      <c r="B585" s="72" t="s">
        <v>1894</v>
      </c>
      <c r="P585" s="72"/>
      <c r="Q585" s="72"/>
      <c r="R585" s="72"/>
      <c r="S585" s="72"/>
      <c r="T585" s="72"/>
      <c r="U585" s="72"/>
      <c r="V585" s="72"/>
      <c r="W585" s="72"/>
      <c r="X585" s="72"/>
      <c r="Y585" s="72"/>
      <c r="Z585" s="72"/>
      <c r="AA585" s="72"/>
      <c r="AF585" s="72"/>
      <c r="AG585" s="72"/>
      <c r="AH585" s="72"/>
    </row>
    <row r="586" spans="2:34">
      <c r="B586" s="72" t="s">
        <v>1893</v>
      </c>
      <c r="P586" s="72"/>
      <c r="Q586" s="72"/>
      <c r="R586" s="72"/>
      <c r="S586" s="72"/>
      <c r="T586" s="72"/>
      <c r="U586" s="72"/>
      <c r="V586" s="72"/>
      <c r="W586" s="72"/>
      <c r="X586" s="72"/>
      <c r="Y586" s="72"/>
      <c r="Z586" s="72"/>
      <c r="AA586" s="72"/>
      <c r="AF586" s="72"/>
      <c r="AG586" s="72"/>
      <c r="AH586" s="72"/>
    </row>
    <row r="587" spans="2:34">
      <c r="B587" s="72" t="s">
        <v>1892</v>
      </c>
    </row>
    <row r="588" spans="2:34">
      <c r="B588" s="72" t="s">
        <v>1891</v>
      </c>
    </row>
    <row r="589" spans="2:34">
      <c r="B589" s="72" t="s">
        <v>1890</v>
      </c>
    </row>
    <row r="590" spans="2:34">
      <c r="B590" s="72" t="s">
        <v>1889</v>
      </c>
    </row>
    <row r="591" spans="2:34">
      <c r="B591" s="72" t="s">
        <v>1888</v>
      </c>
    </row>
    <row r="592" spans="2:34">
      <c r="B592" s="72" t="s">
        <v>1887</v>
      </c>
      <c r="I592" s="238" t="s">
        <v>7588</v>
      </c>
    </row>
    <row r="593" spans="1:34">
      <c r="B593" s="72" t="s">
        <v>1886</v>
      </c>
    </row>
    <row r="594" spans="1:34">
      <c r="B594" s="72" t="s">
        <v>1885</v>
      </c>
    </row>
    <row r="595" spans="1:34">
      <c r="B595" s="72" t="s">
        <v>1884</v>
      </c>
    </row>
    <row r="596" spans="1:34">
      <c r="B596" s="72" t="s">
        <v>1883</v>
      </c>
    </row>
    <row r="597" spans="1:34">
      <c r="B597" s="72" t="s">
        <v>1882</v>
      </c>
    </row>
    <row r="598" spans="1:34" s="12" customFormat="1">
      <c r="A598" s="72"/>
      <c r="B598" s="12" t="s">
        <v>1881</v>
      </c>
      <c r="C598" s="29"/>
      <c r="D598" s="15"/>
      <c r="F598" s="15"/>
      <c r="G598" s="15"/>
      <c r="H598" s="13"/>
      <c r="K598" s="12" t="s">
        <v>2045</v>
      </c>
      <c r="L598" s="12" t="s">
        <v>2456</v>
      </c>
      <c r="P598" s="24"/>
      <c r="Q598" s="24"/>
      <c r="R598" s="24"/>
      <c r="S598" s="24"/>
      <c r="T598" s="24"/>
      <c r="U598" s="24"/>
      <c r="V598" s="24"/>
      <c r="W598" s="24"/>
      <c r="X598" s="24"/>
      <c r="Y598" s="24"/>
      <c r="Z598" s="24"/>
      <c r="AA598" s="24"/>
      <c r="AF598" s="65">
        <v>2.8210000000000002</v>
      </c>
      <c r="AG598" s="70">
        <v>0.10277777777777779</v>
      </c>
      <c r="AH598" s="70"/>
    </row>
    <row r="599" spans="1:34">
      <c r="B599" s="72" t="s">
        <v>1880</v>
      </c>
    </row>
    <row r="600" spans="1:34">
      <c r="B600" s="72" t="s">
        <v>1879</v>
      </c>
    </row>
    <row r="601" spans="1:34">
      <c r="B601" s="72" t="s">
        <v>1878</v>
      </c>
      <c r="K601" s="91" t="s">
        <v>2045</v>
      </c>
      <c r="L601" s="91" t="s">
        <v>2079</v>
      </c>
    </row>
    <row r="602" spans="1:34">
      <c r="A602" s="12"/>
      <c r="B602" s="72" t="s">
        <v>1877</v>
      </c>
    </row>
    <row r="603" spans="1:34">
      <c r="B603" s="72" t="s">
        <v>1876</v>
      </c>
      <c r="C603" s="72"/>
      <c r="D603" s="72"/>
      <c r="F603" s="72"/>
      <c r="G603" s="72"/>
      <c r="H603" s="72"/>
      <c r="P603" s="72"/>
      <c r="Q603" s="72"/>
      <c r="R603" s="72"/>
      <c r="S603" s="72"/>
      <c r="T603" s="72"/>
      <c r="U603" s="72"/>
      <c r="V603" s="72"/>
      <c r="W603" s="72"/>
      <c r="X603" s="72"/>
      <c r="Y603" s="72"/>
      <c r="Z603" s="72"/>
      <c r="AA603" s="72"/>
      <c r="AF603" s="72"/>
      <c r="AG603" s="72"/>
      <c r="AH603" s="72"/>
    </row>
    <row r="604" spans="1:34">
      <c r="B604" s="72" t="s">
        <v>1875</v>
      </c>
      <c r="C604" s="72"/>
      <c r="D604" s="72"/>
      <c r="F604" s="72"/>
      <c r="G604" s="72"/>
      <c r="H604" s="72"/>
      <c r="P604" s="72"/>
      <c r="Q604" s="72"/>
      <c r="R604" s="72"/>
      <c r="S604" s="72"/>
      <c r="T604" s="72"/>
      <c r="U604" s="72"/>
      <c r="V604" s="72"/>
      <c r="W604" s="72"/>
      <c r="X604" s="72"/>
      <c r="Y604" s="72"/>
      <c r="Z604" s="72"/>
      <c r="AA604" s="72"/>
      <c r="AF604" s="72"/>
      <c r="AG604" s="72"/>
      <c r="AH604" s="72"/>
    </row>
    <row r="605" spans="1:34">
      <c r="B605" s="72" t="s">
        <v>1874</v>
      </c>
      <c r="C605" s="72"/>
      <c r="D605" s="72"/>
      <c r="F605" s="72"/>
      <c r="G605" s="72"/>
      <c r="H605" s="72"/>
      <c r="I605" s="274" t="s">
        <v>8886</v>
      </c>
      <c r="P605" s="72"/>
      <c r="Q605" s="72"/>
      <c r="R605" s="72"/>
      <c r="S605" s="72"/>
      <c r="T605" s="72"/>
      <c r="U605" s="72"/>
      <c r="V605" s="72"/>
      <c r="W605" s="72"/>
      <c r="X605" s="72"/>
      <c r="Y605" s="72"/>
      <c r="Z605" s="72"/>
      <c r="AA605" s="72"/>
      <c r="AE605" s="25" t="s">
        <v>5153</v>
      </c>
      <c r="AF605" s="274" t="s">
        <v>8887</v>
      </c>
      <c r="AG605" s="72"/>
      <c r="AH605" s="72"/>
    </row>
    <row r="606" spans="1:34">
      <c r="B606" s="72" t="s">
        <v>1873</v>
      </c>
      <c r="C606" s="72"/>
      <c r="D606" s="72"/>
      <c r="F606" s="72"/>
      <c r="G606" s="72"/>
      <c r="H606" s="72"/>
      <c r="P606" s="72"/>
      <c r="Q606" s="72"/>
      <c r="R606" s="72"/>
      <c r="S606" s="72"/>
      <c r="T606" s="72"/>
      <c r="U606" s="72"/>
      <c r="V606" s="72"/>
      <c r="W606" s="72"/>
      <c r="X606" s="72"/>
      <c r="Y606" s="72"/>
      <c r="Z606" s="72"/>
      <c r="AA606" s="72"/>
      <c r="AF606" s="72"/>
      <c r="AG606" s="72"/>
      <c r="AH606" s="72"/>
    </row>
    <row r="607" spans="1:34">
      <c r="B607" s="72" t="s">
        <v>1872</v>
      </c>
      <c r="C607" s="72"/>
      <c r="D607" s="72"/>
      <c r="F607" s="72"/>
      <c r="G607" s="72"/>
      <c r="H607" s="72"/>
      <c r="P607" s="72"/>
      <c r="Q607" s="72"/>
      <c r="R607" s="72"/>
      <c r="S607" s="72"/>
      <c r="T607" s="72"/>
      <c r="U607" s="72"/>
      <c r="V607" s="72"/>
      <c r="W607" s="72"/>
      <c r="X607" s="72"/>
      <c r="Y607" s="72"/>
      <c r="Z607" s="72"/>
      <c r="AA607" s="72"/>
      <c r="AF607" s="72"/>
      <c r="AG607" s="72"/>
      <c r="AH607" s="72"/>
    </row>
    <row r="608" spans="1:34">
      <c r="B608" s="72" t="s">
        <v>1871</v>
      </c>
      <c r="C608" s="72"/>
      <c r="D608" s="72"/>
      <c r="F608" s="72"/>
      <c r="G608" s="72"/>
      <c r="H608" s="72"/>
      <c r="P608" s="72"/>
      <c r="Q608" s="72"/>
      <c r="R608" s="72"/>
      <c r="S608" s="72"/>
      <c r="T608" s="72"/>
      <c r="U608" s="72"/>
      <c r="V608" s="72"/>
      <c r="W608" s="72"/>
      <c r="X608" s="72"/>
      <c r="Y608" s="72"/>
      <c r="Z608" s="72"/>
      <c r="AA608" s="72"/>
      <c r="AF608" s="72"/>
      <c r="AG608" s="72"/>
      <c r="AH608" s="72"/>
    </row>
    <row r="609" spans="2:34">
      <c r="B609" s="72" t="s">
        <v>1870</v>
      </c>
      <c r="C609" s="72"/>
      <c r="D609" s="72"/>
      <c r="F609" s="72"/>
      <c r="G609" s="72"/>
      <c r="H609" s="72"/>
      <c r="P609" s="72"/>
      <c r="Q609" s="72"/>
      <c r="R609" s="72"/>
      <c r="S609" s="72"/>
      <c r="T609" s="72"/>
      <c r="U609" s="72"/>
      <c r="V609" s="72"/>
      <c r="W609" s="72"/>
      <c r="X609" s="72"/>
      <c r="Y609" s="72"/>
      <c r="Z609" s="72"/>
      <c r="AA609" s="72"/>
      <c r="AF609" s="72"/>
      <c r="AG609" s="72"/>
      <c r="AH609" s="72"/>
    </row>
    <row r="610" spans="2:34">
      <c r="B610" s="72" t="s">
        <v>1869</v>
      </c>
      <c r="C610" s="72"/>
      <c r="D610" s="72"/>
      <c r="F610" s="72"/>
      <c r="G610" s="72"/>
      <c r="H610" s="72"/>
      <c r="P610" s="72"/>
      <c r="Q610" s="72"/>
      <c r="R610" s="72"/>
      <c r="S610" s="72"/>
      <c r="T610" s="72"/>
      <c r="U610" s="72"/>
      <c r="V610" s="72"/>
      <c r="W610" s="72"/>
      <c r="X610" s="72"/>
      <c r="Y610" s="72"/>
      <c r="Z610" s="72"/>
      <c r="AA610" s="72"/>
      <c r="AF610" s="72"/>
      <c r="AG610" s="72"/>
      <c r="AH610" s="72"/>
    </row>
    <row r="611" spans="2:34">
      <c r="B611" s="72" t="s">
        <v>1868</v>
      </c>
      <c r="C611" s="72"/>
      <c r="D611" s="72"/>
      <c r="F611" s="72"/>
      <c r="G611" s="72"/>
      <c r="H611" s="72"/>
      <c r="P611" s="72"/>
      <c r="Q611" s="72"/>
      <c r="R611" s="72"/>
      <c r="S611" s="72"/>
      <c r="T611" s="72"/>
      <c r="U611" s="72"/>
      <c r="V611" s="72"/>
      <c r="W611" s="72"/>
      <c r="X611" s="72"/>
      <c r="Y611" s="72"/>
      <c r="Z611" s="72"/>
      <c r="AA611" s="72"/>
      <c r="AF611" s="72"/>
      <c r="AG611" s="72"/>
      <c r="AH611" s="72"/>
    </row>
    <row r="612" spans="2:34">
      <c r="B612" s="72" t="s">
        <v>1867</v>
      </c>
      <c r="C612" s="72"/>
      <c r="D612" s="72"/>
      <c r="F612" s="72"/>
      <c r="G612" s="72"/>
      <c r="H612" s="72"/>
      <c r="P612" s="72"/>
      <c r="Q612" s="72"/>
      <c r="R612" s="72"/>
      <c r="S612" s="72"/>
      <c r="T612" s="72"/>
      <c r="U612" s="72"/>
      <c r="V612" s="72"/>
      <c r="W612" s="72"/>
      <c r="X612" s="72"/>
      <c r="Y612" s="72"/>
      <c r="Z612" s="72"/>
      <c r="AA612" s="72"/>
      <c r="AF612" s="72"/>
      <c r="AG612" s="72"/>
      <c r="AH612" s="72"/>
    </row>
    <row r="613" spans="2:34">
      <c r="B613" s="72" t="s">
        <v>1866</v>
      </c>
      <c r="C613" s="72"/>
      <c r="D613" s="72"/>
      <c r="F613" s="72"/>
      <c r="G613" s="72"/>
      <c r="H613" s="72"/>
      <c r="P613" s="72"/>
      <c r="Q613" s="72"/>
      <c r="R613" s="72"/>
      <c r="S613" s="72"/>
      <c r="T613" s="72"/>
      <c r="U613" s="72"/>
      <c r="V613" s="72"/>
      <c r="W613" s="72"/>
      <c r="X613" s="72"/>
      <c r="Y613" s="72"/>
      <c r="Z613" s="72"/>
      <c r="AA613" s="72"/>
      <c r="AF613" s="72"/>
      <c r="AG613" s="72"/>
      <c r="AH613" s="72"/>
    </row>
    <row r="614" spans="2:34">
      <c r="B614" s="72" t="s">
        <v>1865</v>
      </c>
      <c r="C614" s="72"/>
      <c r="D614" s="72"/>
      <c r="F614" s="72"/>
      <c r="G614" s="72"/>
      <c r="H614" s="72"/>
      <c r="P614" s="72"/>
      <c r="Q614" s="72"/>
      <c r="R614" s="72"/>
      <c r="S614" s="72"/>
      <c r="T614" s="72"/>
      <c r="U614" s="72"/>
      <c r="V614" s="72"/>
      <c r="W614" s="72"/>
      <c r="X614" s="72"/>
      <c r="Y614" s="72"/>
      <c r="Z614" s="72"/>
      <c r="AA614" s="72"/>
      <c r="AF614" s="72"/>
      <c r="AG614" s="72"/>
      <c r="AH614" s="72"/>
    </row>
    <row r="615" spans="2:34">
      <c r="B615" s="72" t="s">
        <v>1864</v>
      </c>
      <c r="C615" s="72"/>
      <c r="D615" s="72"/>
      <c r="F615" s="72"/>
      <c r="G615" s="72"/>
      <c r="H615" s="72"/>
      <c r="P615" s="72"/>
      <c r="Q615" s="72"/>
      <c r="R615" s="72"/>
      <c r="S615" s="72"/>
      <c r="T615" s="72"/>
      <c r="U615" s="72"/>
      <c r="V615" s="72"/>
      <c r="W615" s="72"/>
      <c r="X615" s="72"/>
      <c r="Y615" s="72"/>
      <c r="Z615" s="72"/>
      <c r="AA615" s="72"/>
      <c r="AF615" s="72"/>
      <c r="AG615" s="72"/>
      <c r="AH615" s="72"/>
    </row>
    <row r="616" spans="2:34">
      <c r="B616" s="72" t="s">
        <v>1863</v>
      </c>
      <c r="C616" s="72"/>
      <c r="D616" s="72"/>
      <c r="F616" s="72"/>
      <c r="G616" s="72"/>
      <c r="H616" s="72"/>
      <c r="P616" s="72"/>
      <c r="Q616" s="72"/>
      <c r="R616" s="72"/>
      <c r="S616" s="72"/>
      <c r="T616" s="72"/>
      <c r="U616" s="72"/>
      <c r="V616" s="72"/>
      <c r="W616" s="72"/>
      <c r="X616" s="72"/>
      <c r="Y616" s="72"/>
      <c r="Z616" s="72"/>
      <c r="AA616" s="72"/>
      <c r="AF616" s="72"/>
      <c r="AG616" s="72"/>
      <c r="AH616" s="72"/>
    </row>
    <row r="617" spans="2:34">
      <c r="B617" s="72" t="s">
        <v>1862</v>
      </c>
      <c r="C617" s="72"/>
      <c r="D617" s="72"/>
      <c r="F617" s="72"/>
      <c r="G617" s="72"/>
      <c r="H617" s="72"/>
      <c r="P617" s="72"/>
      <c r="Q617" s="72"/>
      <c r="R617" s="72"/>
      <c r="S617" s="72"/>
      <c r="T617" s="72"/>
      <c r="U617" s="72"/>
      <c r="V617" s="72"/>
      <c r="W617" s="72"/>
      <c r="X617" s="72"/>
      <c r="Y617" s="72"/>
      <c r="Z617" s="72"/>
      <c r="AA617" s="72"/>
      <c r="AF617" s="72"/>
      <c r="AG617" s="72"/>
      <c r="AH617" s="72"/>
    </row>
    <row r="618" spans="2:34">
      <c r="B618" s="72" t="s">
        <v>1861</v>
      </c>
      <c r="C618" s="72"/>
      <c r="D618" s="72"/>
      <c r="F618" s="72"/>
      <c r="G618" s="72"/>
      <c r="H618" s="72"/>
      <c r="P618" s="72"/>
      <c r="Q618" s="72"/>
      <c r="R618" s="72"/>
      <c r="S618" s="72"/>
      <c r="T618" s="72"/>
      <c r="U618" s="72"/>
      <c r="V618" s="72"/>
      <c r="W618" s="72"/>
      <c r="X618" s="72"/>
      <c r="Y618" s="72"/>
      <c r="Z618" s="72"/>
      <c r="AA618" s="72"/>
      <c r="AF618" s="72"/>
      <c r="AG618" s="72"/>
      <c r="AH618" s="72"/>
    </row>
    <row r="619" spans="2:34">
      <c r="B619" s="72" t="s">
        <v>1860</v>
      </c>
      <c r="AF619" s="72"/>
      <c r="AG619" s="72"/>
      <c r="AH619" s="72"/>
    </row>
    <row r="620" spans="2:34">
      <c r="B620" s="72" t="s">
        <v>1859</v>
      </c>
      <c r="AF620" s="72"/>
      <c r="AG620" s="72"/>
      <c r="AH620" s="72"/>
    </row>
    <row r="621" spans="2:34">
      <c r="B621" s="72" t="s">
        <v>1858</v>
      </c>
      <c r="AF621" s="72"/>
      <c r="AG621" s="72"/>
      <c r="AH621" s="72"/>
    </row>
    <row r="622" spans="2:34">
      <c r="B622" s="72" t="s">
        <v>1857</v>
      </c>
      <c r="AF622" s="72"/>
      <c r="AG622" s="72"/>
      <c r="AH622" s="72"/>
    </row>
    <row r="623" spans="2:34">
      <c r="B623" s="72" t="s">
        <v>1856</v>
      </c>
      <c r="AF623" s="72"/>
      <c r="AG623" s="72"/>
      <c r="AH623" s="72"/>
    </row>
    <row r="624" spans="2:34">
      <c r="B624" s="72" t="s">
        <v>1855</v>
      </c>
      <c r="AF624" s="72"/>
      <c r="AG624" s="72"/>
      <c r="AH624" s="72"/>
    </row>
    <row r="625" spans="2:34">
      <c r="B625" s="72" t="s">
        <v>1854</v>
      </c>
      <c r="AF625" s="72"/>
      <c r="AG625" s="72"/>
      <c r="AH625" s="72"/>
    </row>
    <row r="626" spans="2:34">
      <c r="B626" s="72" t="s">
        <v>1853</v>
      </c>
      <c r="AF626" s="72"/>
      <c r="AG626" s="72"/>
      <c r="AH626" s="72"/>
    </row>
    <row r="627" spans="2:34">
      <c r="B627" s="72" t="s">
        <v>1852</v>
      </c>
      <c r="AF627" s="72"/>
      <c r="AG627" s="72"/>
      <c r="AH627" s="72"/>
    </row>
    <row r="628" spans="2:34">
      <c r="B628" s="72" t="s">
        <v>1851</v>
      </c>
      <c r="AF628" s="72"/>
      <c r="AG628" s="72"/>
      <c r="AH628" s="72"/>
    </row>
    <row r="629" spans="2:34">
      <c r="B629" s="72" t="s">
        <v>1850</v>
      </c>
      <c r="AF629" s="72"/>
      <c r="AG629" s="72"/>
      <c r="AH629" s="72"/>
    </row>
    <row r="630" spans="2:34">
      <c r="B630" s="72" t="s">
        <v>1849</v>
      </c>
      <c r="C630" s="73" t="s">
        <v>1691</v>
      </c>
      <c r="N630" s="72" t="s">
        <v>1706</v>
      </c>
      <c r="AF630" s="72"/>
      <c r="AG630" s="72"/>
      <c r="AH630" s="72"/>
    </row>
    <row r="631" spans="2:34">
      <c r="B631" s="72" t="s">
        <v>1848</v>
      </c>
      <c r="C631" s="73" t="s">
        <v>1691</v>
      </c>
      <c r="AF631" s="72"/>
      <c r="AG631" s="72"/>
      <c r="AH631" s="72"/>
    </row>
    <row r="632" spans="2:34">
      <c r="B632" s="72" t="s">
        <v>1847</v>
      </c>
      <c r="C632" s="73" t="s">
        <v>1691</v>
      </c>
      <c r="N632" s="72" t="s">
        <v>1805</v>
      </c>
      <c r="AE632" s="91" t="s">
        <v>6009</v>
      </c>
      <c r="AF632" s="72"/>
      <c r="AG632" s="72"/>
      <c r="AH632" s="72"/>
    </row>
    <row r="633" spans="2:34">
      <c r="B633" s="72" t="s">
        <v>1846</v>
      </c>
      <c r="C633" s="73" t="s">
        <v>1691</v>
      </c>
      <c r="N633" s="72" t="s">
        <v>1805</v>
      </c>
      <c r="AF633" s="72"/>
      <c r="AG633" s="72"/>
      <c r="AH633" s="72"/>
    </row>
    <row r="634" spans="2:34">
      <c r="B634" s="72" t="s">
        <v>1845</v>
      </c>
      <c r="C634" s="73" t="s">
        <v>1691</v>
      </c>
      <c r="N634" s="72" t="s">
        <v>1805</v>
      </c>
      <c r="AF634" s="72"/>
      <c r="AG634" s="72"/>
      <c r="AH634" s="72"/>
    </row>
    <row r="635" spans="2:34">
      <c r="B635" s="72" t="s">
        <v>1844</v>
      </c>
      <c r="C635" s="73" t="s">
        <v>1691</v>
      </c>
      <c r="N635" s="72" t="s">
        <v>1805</v>
      </c>
      <c r="P635" s="72"/>
      <c r="Q635" s="72"/>
      <c r="R635" s="72"/>
      <c r="S635" s="72"/>
      <c r="T635" s="72"/>
      <c r="U635" s="72"/>
      <c r="V635" s="72"/>
      <c r="W635" s="72"/>
      <c r="X635" s="72"/>
      <c r="Y635" s="72"/>
      <c r="Z635" s="72"/>
      <c r="AA635" s="72"/>
      <c r="AF635" s="72"/>
      <c r="AG635" s="72"/>
      <c r="AH635" s="72"/>
    </row>
    <row r="636" spans="2:34">
      <c r="B636" s="72" t="s">
        <v>1843</v>
      </c>
      <c r="C636" s="73" t="s">
        <v>1691</v>
      </c>
      <c r="N636" s="72" t="s">
        <v>1805</v>
      </c>
      <c r="P636" s="72"/>
      <c r="Q636" s="72"/>
      <c r="R636" s="72"/>
      <c r="S636" s="72"/>
      <c r="T636" s="72"/>
      <c r="U636" s="72"/>
      <c r="V636" s="72"/>
      <c r="W636" s="72"/>
      <c r="X636" s="72"/>
      <c r="Y636" s="72"/>
      <c r="Z636" s="72"/>
      <c r="AA636" s="72"/>
      <c r="AF636" s="72"/>
      <c r="AG636" s="72"/>
      <c r="AH636" s="72"/>
    </row>
    <row r="637" spans="2:34">
      <c r="B637" s="72" t="s">
        <v>1842</v>
      </c>
      <c r="C637" s="73" t="s">
        <v>1691</v>
      </c>
      <c r="N637" s="72" t="s">
        <v>1805</v>
      </c>
      <c r="P637" s="72"/>
      <c r="Q637" s="72"/>
      <c r="R637" s="72"/>
      <c r="S637" s="72"/>
      <c r="T637" s="72"/>
      <c r="U637" s="72"/>
      <c r="V637" s="72"/>
      <c r="W637" s="72"/>
      <c r="X637" s="72"/>
      <c r="Y637" s="72"/>
      <c r="Z637" s="72"/>
      <c r="AA637" s="72"/>
      <c r="AF637" s="72"/>
      <c r="AG637" s="72"/>
      <c r="AH637" s="72"/>
    </row>
    <row r="638" spans="2:34">
      <c r="B638" s="72" t="s">
        <v>1841</v>
      </c>
      <c r="C638" s="73" t="s">
        <v>1691</v>
      </c>
      <c r="N638" s="72" t="s">
        <v>1805</v>
      </c>
      <c r="P638" s="72"/>
      <c r="Q638" s="72"/>
      <c r="R638" s="72"/>
      <c r="S638" s="72"/>
      <c r="T638" s="72"/>
      <c r="U638" s="72"/>
      <c r="V638" s="72"/>
      <c r="W638" s="72"/>
      <c r="X638" s="72"/>
      <c r="Y638" s="72"/>
      <c r="Z638" s="72"/>
      <c r="AA638" s="72"/>
      <c r="AF638" s="72"/>
      <c r="AG638" s="72"/>
      <c r="AH638" s="72"/>
    </row>
    <row r="639" spans="2:34">
      <c r="B639" s="72" t="s">
        <v>1840</v>
      </c>
      <c r="C639" s="73" t="s">
        <v>1691</v>
      </c>
      <c r="N639" s="72" t="s">
        <v>1805</v>
      </c>
      <c r="P639" s="72"/>
      <c r="Q639" s="72"/>
      <c r="R639" s="72"/>
      <c r="S639" s="72"/>
      <c r="T639" s="72"/>
      <c r="U639" s="72"/>
      <c r="V639" s="72"/>
      <c r="W639" s="72"/>
      <c r="X639" s="72"/>
      <c r="Y639" s="72"/>
      <c r="Z639" s="72"/>
      <c r="AA639" s="72"/>
      <c r="AF639" s="72"/>
      <c r="AG639" s="72"/>
      <c r="AH639" s="72"/>
    </row>
    <row r="640" spans="2:34">
      <c r="B640" s="72" t="s">
        <v>1839</v>
      </c>
      <c r="C640" s="73" t="s">
        <v>1691</v>
      </c>
      <c r="N640" s="72" t="s">
        <v>1805</v>
      </c>
      <c r="P640" s="72"/>
      <c r="Q640" s="72"/>
      <c r="R640" s="72"/>
      <c r="S640" s="72"/>
      <c r="T640" s="72"/>
      <c r="U640" s="72"/>
      <c r="V640" s="72"/>
      <c r="W640" s="72"/>
      <c r="X640" s="72"/>
      <c r="Y640" s="72"/>
      <c r="Z640" s="72"/>
      <c r="AA640" s="72"/>
      <c r="AF640" s="72"/>
      <c r="AG640" s="72"/>
      <c r="AH640" s="72"/>
    </row>
    <row r="641" spans="2:34">
      <c r="B641" s="72" t="s">
        <v>1838</v>
      </c>
      <c r="C641" s="73" t="s">
        <v>1691</v>
      </c>
      <c r="N641" s="72" t="s">
        <v>1805</v>
      </c>
      <c r="P641" s="72"/>
      <c r="Q641" s="72"/>
      <c r="R641" s="72"/>
      <c r="S641" s="72"/>
      <c r="T641" s="72"/>
      <c r="U641" s="72"/>
      <c r="V641" s="72"/>
      <c r="W641" s="72"/>
      <c r="X641" s="72"/>
      <c r="Y641" s="72"/>
      <c r="Z641" s="72"/>
      <c r="AA641" s="72"/>
      <c r="AF641" s="72"/>
      <c r="AG641" s="72"/>
      <c r="AH641" s="72"/>
    </row>
    <row r="642" spans="2:34">
      <c r="B642" s="72" t="s">
        <v>1837</v>
      </c>
      <c r="C642" s="73" t="s">
        <v>1691</v>
      </c>
      <c r="N642" s="72" t="s">
        <v>1805</v>
      </c>
      <c r="P642" s="72"/>
      <c r="Q642" s="72"/>
      <c r="R642" s="72"/>
      <c r="S642" s="72"/>
      <c r="T642" s="72"/>
      <c r="U642" s="72"/>
      <c r="V642" s="72"/>
      <c r="W642" s="72"/>
      <c r="X642" s="72"/>
      <c r="Y642" s="72"/>
      <c r="Z642" s="72"/>
      <c r="AA642" s="72"/>
      <c r="AF642" s="72"/>
      <c r="AG642" s="72"/>
      <c r="AH642" s="72"/>
    </row>
    <row r="643" spans="2:34">
      <c r="B643" s="72" t="s">
        <v>1836</v>
      </c>
      <c r="C643" s="73" t="s">
        <v>1691</v>
      </c>
      <c r="N643" s="72" t="s">
        <v>1805</v>
      </c>
      <c r="P643" s="72"/>
      <c r="Q643" s="72"/>
      <c r="R643" s="72"/>
      <c r="S643" s="72"/>
      <c r="T643" s="72"/>
      <c r="U643" s="72"/>
      <c r="V643" s="72"/>
      <c r="W643" s="72"/>
      <c r="X643" s="72"/>
      <c r="Y643" s="72"/>
      <c r="Z643" s="72"/>
      <c r="AA643" s="72"/>
      <c r="AF643" s="72"/>
      <c r="AG643" s="72"/>
      <c r="AH643" s="72"/>
    </row>
    <row r="644" spans="2:34">
      <c r="B644" s="72" t="s">
        <v>1835</v>
      </c>
      <c r="C644" s="73" t="s">
        <v>1691</v>
      </c>
      <c r="N644" s="72" t="s">
        <v>1805</v>
      </c>
      <c r="P644" s="72"/>
      <c r="Q644" s="72"/>
      <c r="R644" s="72"/>
      <c r="S644" s="72"/>
      <c r="T644" s="72"/>
      <c r="U644" s="72"/>
      <c r="V644" s="72"/>
      <c r="W644" s="72"/>
      <c r="X644" s="72"/>
      <c r="Y644" s="72"/>
      <c r="Z644" s="72"/>
      <c r="AA644" s="72"/>
      <c r="AF644" s="72"/>
      <c r="AG644" s="72"/>
      <c r="AH644" s="72"/>
    </row>
    <row r="645" spans="2:34">
      <c r="B645" s="72" t="s">
        <v>1834</v>
      </c>
      <c r="C645" s="73" t="s">
        <v>1691</v>
      </c>
      <c r="N645" s="72" t="s">
        <v>1805</v>
      </c>
      <c r="P645" s="72"/>
      <c r="Q645" s="72"/>
      <c r="R645" s="72"/>
      <c r="S645" s="72"/>
      <c r="T645" s="72"/>
      <c r="U645" s="72"/>
      <c r="V645" s="72"/>
      <c r="W645" s="72"/>
      <c r="X645" s="72"/>
      <c r="Y645" s="72"/>
      <c r="Z645" s="72"/>
      <c r="AA645" s="72"/>
      <c r="AF645" s="72"/>
      <c r="AG645" s="72"/>
      <c r="AH645" s="72"/>
    </row>
    <row r="646" spans="2:34">
      <c r="B646" s="72" t="s">
        <v>1833</v>
      </c>
      <c r="C646" s="73" t="s">
        <v>1691</v>
      </c>
      <c r="N646" s="72" t="s">
        <v>1805</v>
      </c>
      <c r="P646" s="72"/>
      <c r="Q646" s="72"/>
      <c r="R646" s="72"/>
      <c r="S646" s="72"/>
      <c r="T646" s="72"/>
      <c r="U646" s="72"/>
      <c r="V646" s="72"/>
      <c r="W646" s="72"/>
      <c r="X646" s="72"/>
      <c r="Y646" s="72"/>
      <c r="Z646" s="72"/>
      <c r="AA646" s="72"/>
      <c r="AF646" s="72"/>
      <c r="AG646" s="72"/>
      <c r="AH646" s="72"/>
    </row>
    <row r="647" spans="2:34">
      <c r="B647" s="72" t="s">
        <v>1832</v>
      </c>
      <c r="C647" s="73" t="s">
        <v>1691</v>
      </c>
      <c r="N647" s="72" t="s">
        <v>1805</v>
      </c>
      <c r="P647" s="72"/>
      <c r="Q647" s="72"/>
      <c r="R647" s="72"/>
      <c r="S647" s="72"/>
      <c r="T647" s="72"/>
      <c r="U647" s="72"/>
      <c r="V647" s="72"/>
      <c r="W647" s="72"/>
      <c r="X647" s="72"/>
      <c r="Y647" s="72"/>
      <c r="Z647" s="72"/>
      <c r="AA647" s="72"/>
      <c r="AF647" s="72"/>
      <c r="AG647" s="72"/>
      <c r="AH647" s="72"/>
    </row>
    <row r="648" spans="2:34">
      <c r="B648" s="72" t="s">
        <v>1831</v>
      </c>
      <c r="C648" s="73" t="s">
        <v>1691</v>
      </c>
      <c r="N648" s="72" t="s">
        <v>1805</v>
      </c>
      <c r="P648" s="72"/>
      <c r="Q648" s="72"/>
      <c r="R648" s="72"/>
      <c r="S648" s="72"/>
      <c r="T648" s="72"/>
      <c r="U648" s="72"/>
      <c r="V648" s="72"/>
      <c r="W648" s="72"/>
      <c r="X648" s="72"/>
      <c r="Y648" s="72"/>
      <c r="Z648" s="72"/>
      <c r="AA648" s="72"/>
      <c r="AF648" s="72"/>
      <c r="AG648" s="72"/>
      <c r="AH648" s="72"/>
    </row>
    <row r="649" spans="2:34">
      <c r="B649" s="72" t="s">
        <v>1830</v>
      </c>
      <c r="C649" s="73" t="s">
        <v>1691</v>
      </c>
      <c r="N649" s="72" t="s">
        <v>1805</v>
      </c>
      <c r="P649" s="72"/>
      <c r="Q649" s="72"/>
      <c r="R649" s="72"/>
      <c r="S649" s="72"/>
      <c r="T649" s="72"/>
      <c r="U649" s="72"/>
      <c r="V649" s="72"/>
      <c r="W649" s="72"/>
      <c r="X649" s="72"/>
      <c r="Y649" s="72"/>
      <c r="Z649" s="72"/>
      <c r="AA649" s="72"/>
      <c r="AF649" s="72"/>
      <c r="AG649" s="72"/>
      <c r="AH649" s="72"/>
    </row>
    <row r="650" spans="2:34">
      <c r="B650" s="72" t="s">
        <v>1829</v>
      </c>
      <c r="C650" s="73" t="s">
        <v>1691</v>
      </c>
      <c r="N650" s="72" t="s">
        <v>1805</v>
      </c>
      <c r="P650" s="72"/>
      <c r="Q650" s="72"/>
      <c r="R650" s="72"/>
      <c r="S650" s="72"/>
      <c r="T650" s="72"/>
      <c r="U650" s="72"/>
      <c r="V650" s="72"/>
      <c r="W650" s="72"/>
      <c r="X650" s="72"/>
      <c r="Y650" s="72"/>
      <c r="Z650" s="72"/>
      <c r="AA650" s="72"/>
      <c r="AF650" s="72"/>
      <c r="AG650" s="72"/>
      <c r="AH650" s="72"/>
    </row>
    <row r="651" spans="2:34">
      <c r="B651" s="72" t="s">
        <v>1828</v>
      </c>
      <c r="C651" s="73" t="s">
        <v>1691</v>
      </c>
      <c r="N651" s="72" t="s">
        <v>1805</v>
      </c>
      <c r="P651" s="72"/>
      <c r="Q651" s="72"/>
      <c r="R651" s="72"/>
      <c r="S651" s="72"/>
      <c r="T651" s="72"/>
      <c r="U651" s="72"/>
      <c r="V651" s="72"/>
      <c r="W651" s="72"/>
      <c r="X651" s="72"/>
      <c r="Y651" s="72"/>
      <c r="Z651" s="72"/>
      <c r="AA651" s="72"/>
      <c r="AF651" s="72"/>
      <c r="AG651" s="72"/>
      <c r="AH651" s="72"/>
    </row>
    <row r="652" spans="2:34">
      <c r="B652" s="72" t="s">
        <v>1827</v>
      </c>
      <c r="C652" s="73" t="s">
        <v>1691</v>
      </c>
      <c r="N652" s="72" t="s">
        <v>1805</v>
      </c>
      <c r="P652" s="72"/>
      <c r="Q652" s="72"/>
      <c r="R652" s="72"/>
      <c r="S652" s="72"/>
      <c r="T652" s="72"/>
      <c r="U652" s="72"/>
      <c r="V652" s="72"/>
      <c r="W652" s="72"/>
      <c r="X652" s="72"/>
      <c r="Y652" s="72"/>
      <c r="Z652" s="72"/>
      <c r="AA652" s="72"/>
      <c r="AF652" s="72"/>
      <c r="AG652" s="72"/>
      <c r="AH652" s="72"/>
    </row>
    <row r="653" spans="2:34">
      <c r="B653" s="72" t="s">
        <v>1826</v>
      </c>
      <c r="C653" s="73" t="s">
        <v>1691</v>
      </c>
      <c r="N653" s="72" t="s">
        <v>1805</v>
      </c>
      <c r="P653" s="72"/>
      <c r="Q653" s="72"/>
      <c r="R653" s="72"/>
      <c r="S653" s="72"/>
      <c r="T653" s="72"/>
      <c r="U653" s="72"/>
      <c r="V653" s="72"/>
      <c r="W653" s="72"/>
      <c r="X653" s="72"/>
      <c r="Y653" s="72"/>
      <c r="Z653" s="72"/>
      <c r="AA653" s="72"/>
      <c r="AF653" s="72"/>
      <c r="AG653" s="72"/>
      <c r="AH653" s="72"/>
    </row>
    <row r="654" spans="2:34">
      <c r="B654" s="72" t="s">
        <v>1825</v>
      </c>
      <c r="C654" s="73" t="s">
        <v>1691</v>
      </c>
      <c r="N654" s="72" t="s">
        <v>1805</v>
      </c>
      <c r="P654" s="72"/>
      <c r="Q654" s="72"/>
      <c r="R654" s="72"/>
      <c r="S654" s="72"/>
      <c r="T654" s="72"/>
      <c r="U654" s="72"/>
      <c r="V654" s="72"/>
      <c r="W654" s="72"/>
      <c r="X654" s="72"/>
      <c r="Y654" s="72"/>
      <c r="Z654" s="72"/>
      <c r="AA654" s="72"/>
      <c r="AF654" s="72"/>
      <c r="AG654" s="72"/>
      <c r="AH654" s="72"/>
    </row>
    <row r="655" spans="2:34">
      <c r="B655" s="72" t="s">
        <v>1824</v>
      </c>
      <c r="C655" s="73" t="s">
        <v>1691</v>
      </c>
      <c r="N655" s="72" t="s">
        <v>1805</v>
      </c>
      <c r="P655" s="72"/>
      <c r="Q655" s="72"/>
      <c r="R655" s="72"/>
      <c r="S655" s="72"/>
      <c r="T655" s="72"/>
      <c r="U655" s="72"/>
      <c r="V655" s="72"/>
      <c r="W655" s="72"/>
      <c r="X655" s="72"/>
      <c r="Y655" s="72"/>
      <c r="Z655" s="72"/>
      <c r="AA655" s="72"/>
      <c r="AF655" s="72"/>
      <c r="AG655" s="72"/>
      <c r="AH655" s="72"/>
    </row>
    <row r="656" spans="2:34">
      <c r="B656" s="72" t="s">
        <v>1823</v>
      </c>
      <c r="C656" s="73" t="s">
        <v>1691</v>
      </c>
      <c r="N656" s="72" t="s">
        <v>1805</v>
      </c>
      <c r="P656" s="72"/>
      <c r="Q656" s="72"/>
      <c r="R656" s="72"/>
      <c r="S656" s="72"/>
      <c r="T656" s="72"/>
      <c r="U656" s="72"/>
      <c r="V656" s="72"/>
      <c r="W656" s="72"/>
      <c r="X656" s="72"/>
      <c r="Y656" s="72"/>
      <c r="Z656" s="72"/>
      <c r="AA656" s="72"/>
      <c r="AF656" s="72"/>
      <c r="AG656" s="72"/>
      <c r="AH656" s="72"/>
    </row>
    <row r="657" spans="2:34">
      <c r="B657" s="72" t="s">
        <v>1822</v>
      </c>
      <c r="C657" s="73" t="s">
        <v>1691</v>
      </c>
      <c r="N657" s="72" t="s">
        <v>1805</v>
      </c>
      <c r="P657" s="72"/>
      <c r="Q657" s="72"/>
      <c r="R657" s="72"/>
      <c r="S657" s="72"/>
      <c r="T657" s="72"/>
      <c r="U657" s="72"/>
      <c r="V657" s="72"/>
      <c r="W657" s="72"/>
      <c r="X657" s="72"/>
      <c r="Y657" s="72"/>
      <c r="Z657" s="72"/>
      <c r="AA657" s="72"/>
      <c r="AF657" s="72"/>
      <c r="AG657" s="72"/>
      <c r="AH657" s="72"/>
    </row>
    <row r="658" spans="2:34">
      <c r="B658" s="72" t="s">
        <v>1821</v>
      </c>
      <c r="C658" s="73" t="s">
        <v>1691</v>
      </c>
      <c r="N658" s="72" t="s">
        <v>1805</v>
      </c>
      <c r="P658" s="72"/>
      <c r="Q658" s="72"/>
      <c r="R658" s="72"/>
      <c r="S658" s="72"/>
      <c r="T658" s="72"/>
      <c r="U658" s="72"/>
      <c r="V658" s="72"/>
      <c r="W658" s="72"/>
      <c r="X658" s="72"/>
      <c r="Y658" s="72"/>
      <c r="Z658" s="72"/>
      <c r="AA658" s="72"/>
      <c r="AF658" s="72"/>
      <c r="AG658" s="72"/>
      <c r="AH658" s="72"/>
    </row>
    <row r="659" spans="2:34">
      <c r="B659" s="72" t="s">
        <v>1820</v>
      </c>
      <c r="C659" s="73" t="s">
        <v>1691</v>
      </c>
      <c r="N659" s="72" t="s">
        <v>1805</v>
      </c>
      <c r="P659" s="72"/>
      <c r="Q659" s="72"/>
      <c r="R659" s="72"/>
      <c r="S659" s="72"/>
      <c r="T659" s="72"/>
      <c r="U659" s="72"/>
      <c r="V659" s="72"/>
      <c r="W659" s="72"/>
      <c r="X659" s="72"/>
      <c r="Y659" s="72"/>
      <c r="Z659" s="72"/>
      <c r="AA659" s="72"/>
      <c r="AF659" s="72"/>
      <c r="AG659" s="72"/>
      <c r="AH659" s="72"/>
    </row>
    <row r="660" spans="2:34">
      <c r="B660" s="72" t="s">
        <v>1819</v>
      </c>
      <c r="C660" s="73" t="s">
        <v>1691</v>
      </c>
      <c r="N660" s="72" t="s">
        <v>1805</v>
      </c>
      <c r="P660" s="72"/>
      <c r="Q660" s="72"/>
      <c r="R660" s="72"/>
      <c r="S660" s="72"/>
      <c r="T660" s="72"/>
      <c r="U660" s="72"/>
      <c r="V660" s="72"/>
      <c r="W660" s="72"/>
      <c r="X660" s="72"/>
      <c r="Y660" s="72"/>
      <c r="Z660" s="72"/>
      <c r="AA660" s="72"/>
      <c r="AF660" s="72"/>
      <c r="AG660" s="72"/>
      <c r="AH660" s="72"/>
    </row>
    <row r="661" spans="2:34">
      <c r="B661" s="72" t="s">
        <v>1818</v>
      </c>
      <c r="C661" s="73" t="s">
        <v>1691</v>
      </c>
      <c r="N661" s="72" t="s">
        <v>1805</v>
      </c>
      <c r="P661" s="72"/>
      <c r="Q661" s="72"/>
      <c r="R661" s="72"/>
      <c r="S661" s="72"/>
      <c r="T661" s="72"/>
      <c r="U661" s="72"/>
      <c r="V661" s="72"/>
      <c r="W661" s="72"/>
      <c r="X661" s="72"/>
      <c r="Y661" s="72"/>
      <c r="Z661" s="72"/>
      <c r="AA661" s="72"/>
      <c r="AF661" s="72"/>
      <c r="AG661" s="72"/>
      <c r="AH661" s="72"/>
    </row>
    <row r="662" spans="2:34">
      <c r="B662" s="72" t="s">
        <v>1817</v>
      </c>
      <c r="C662" s="73" t="s">
        <v>1691</v>
      </c>
      <c r="N662" s="72" t="s">
        <v>1805</v>
      </c>
      <c r="P662" s="72"/>
      <c r="Q662" s="72"/>
      <c r="R662" s="72"/>
      <c r="S662" s="72"/>
      <c r="T662" s="72"/>
      <c r="U662" s="72"/>
      <c r="V662" s="72"/>
      <c r="W662" s="72"/>
      <c r="X662" s="72"/>
      <c r="Y662" s="72"/>
      <c r="Z662" s="72"/>
      <c r="AA662" s="72"/>
      <c r="AF662" s="72"/>
      <c r="AG662" s="72"/>
      <c r="AH662" s="72"/>
    </row>
    <row r="663" spans="2:34">
      <c r="B663" s="72" t="s">
        <v>1816</v>
      </c>
      <c r="C663" s="73" t="s">
        <v>1691</v>
      </c>
      <c r="N663" s="72" t="s">
        <v>1805</v>
      </c>
      <c r="P663" s="72"/>
      <c r="Q663" s="72"/>
      <c r="R663" s="72"/>
      <c r="S663" s="72"/>
      <c r="T663" s="72"/>
      <c r="U663" s="72"/>
      <c r="V663" s="72"/>
      <c r="W663" s="72"/>
      <c r="X663" s="72"/>
      <c r="Y663" s="72"/>
      <c r="Z663" s="72"/>
      <c r="AA663" s="72"/>
      <c r="AF663" s="72"/>
      <c r="AG663" s="72"/>
      <c r="AH663" s="72"/>
    </row>
    <row r="664" spans="2:34">
      <c r="B664" s="72" t="s">
        <v>1815</v>
      </c>
      <c r="C664" s="73" t="s">
        <v>1691</v>
      </c>
      <c r="N664" s="72" t="s">
        <v>1805</v>
      </c>
      <c r="P664" s="72"/>
      <c r="Q664" s="72"/>
      <c r="R664" s="72"/>
      <c r="S664" s="72"/>
      <c r="T664" s="72"/>
      <c r="U664" s="72"/>
      <c r="V664" s="72"/>
      <c r="W664" s="72"/>
      <c r="X664" s="72"/>
      <c r="Y664" s="72"/>
      <c r="Z664" s="72"/>
      <c r="AA664" s="72"/>
      <c r="AF664" s="72"/>
      <c r="AG664" s="72"/>
      <c r="AH664" s="72"/>
    </row>
    <row r="665" spans="2:34">
      <c r="B665" s="72" t="s">
        <v>1814</v>
      </c>
      <c r="C665" s="73" t="s">
        <v>1691</v>
      </c>
      <c r="N665" s="72" t="s">
        <v>1805</v>
      </c>
      <c r="P665" s="72"/>
      <c r="Q665" s="72"/>
      <c r="R665" s="72"/>
      <c r="S665" s="72"/>
      <c r="T665" s="72"/>
      <c r="U665" s="72"/>
      <c r="V665" s="72"/>
      <c r="W665" s="72"/>
      <c r="X665" s="72"/>
      <c r="Y665" s="72"/>
      <c r="Z665" s="72"/>
      <c r="AA665" s="72"/>
      <c r="AF665" s="72"/>
      <c r="AG665" s="72"/>
      <c r="AH665" s="72"/>
    </row>
    <row r="666" spans="2:34">
      <c r="B666" s="72" t="s">
        <v>1813</v>
      </c>
      <c r="C666" s="73" t="s">
        <v>1691</v>
      </c>
      <c r="N666" s="72" t="s">
        <v>1805</v>
      </c>
      <c r="P666" s="72"/>
      <c r="Q666" s="72"/>
      <c r="R666" s="72"/>
      <c r="S666" s="72"/>
      <c r="T666" s="72"/>
      <c r="U666" s="72"/>
      <c r="V666" s="72"/>
      <c r="W666" s="72"/>
      <c r="X666" s="72"/>
      <c r="Y666" s="72"/>
      <c r="Z666" s="72"/>
      <c r="AA666" s="72"/>
      <c r="AF666" s="72"/>
      <c r="AG666" s="72"/>
      <c r="AH666" s="72"/>
    </row>
    <row r="667" spans="2:34">
      <c r="B667" s="72" t="s">
        <v>1812</v>
      </c>
      <c r="C667" s="73" t="s">
        <v>1691</v>
      </c>
      <c r="N667" s="72" t="s">
        <v>1805</v>
      </c>
      <c r="P667" s="72"/>
      <c r="Q667" s="72"/>
      <c r="R667" s="72"/>
      <c r="S667" s="72"/>
      <c r="T667" s="72"/>
      <c r="U667" s="72"/>
      <c r="V667" s="72"/>
      <c r="W667" s="72"/>
      <c r="X667" s="72"/>
      <c r="Y667" s="72"/>
      <c r="Z667" s="72"/>
      <c r="AA667" s="72"/>
      <c r="AF667" s="72"/>
      <c r="AG667" s="72"/>
      <c r="AH667" s="72"/>
    </row>
    <row r="668" spans="2:34">
      <c r="B668" s="72" t="s">
        <v>1811</v>
      </c>
      <c r="C668" s="73" t="s">
        <v>1691</v>
      </c>
      <c r="N668" s="72" t="s">
        <v>1805</v>
      </c>
      <c r="P668" s="72"/>
      <c r="Q668" s="72"/>
      <c r="R668" s="72"/>
      <c r="S668" s="72"/>
      <c r="T668" s="72"/>
      <c r="U668" s="72"/>
      <c r="V668" s="72"/>
      <c r="W668" s="72"/>
      <c r="X668" s="72"/>
      <c r="Y668" s="72"/>
      <c r="Z668" s="72"/>
      <c r="AA668" s="72"/>
      <c r="AF668" s="72"/>
      <c r="AG668" s="72"/>
      <c r="AH668" s="72"/>
    </row>
    <row r="669" spans="2:34">
      <c r="B669" s="72" t="s">
        <v>1810</v>
      </c>
      <c r="C669" s="73" t="s">
        <v>1691</v>
      </c>
      <c r="N669" s="72" t="s">
        <v>1805</v>
      </c>
      <c r="P669" s="72"/>
      <c r="Q669" s="72"/>
      <c r="R669" s="72"/>
      <c r="S669" s="72"/>
      <c r="T669" s="72"/>
      <c r="U669" s="72"/>
      <c r="V669" s="72"/>
      <c r="W669" s="72"/>
      <c r="X669" s="72"/>
      <c r="Y669" s="72"/>
      <c r="Z669" s="72"/>
      <c r="AA669" s="72"/>
      <c r="AF669" s="72"/>
      <c r="AG669" s="72"/>
      <c r="AH669" s="72"/>
    </row>
    <row r="670" spans="2:34">
      <c r="B670" s="72" t="s">
        <v>1809</v>
      </c>
      <c r="C670" s="73" t="s">
        <v>1691</v>
      </c>
      <c r="N670" s="72" t="s">
        <v>1805</v>
      </c>
      <c r="P670" s="72"/>
      <c r="Q670" s="72"/>
      <c r="R670" s="72"/>
      <c r="S670" s="72"/>
      <c r="T670" s="72"/>
      <c r="U670" s="72"/>
      <c r="V670" s="72"/>
      <c r="W670" s="72"/>
      <c r="X670" s="72"/>
      <c r="Y670" s="72"/>
      <c r="Z670" s="72"/>
      <c r="AA670" s="72"/>
      <c r="AF670" s="72"/>
      <c r="AG670" s="72"/>
      <c r="AH670" s="72"/>
    </row>
    <row r="671" spans="2:34">
      <c r="B671" s="72" t="s">
        <v>1808</v>
      </c>
      <c r="C671" s="73" t="s">
        <v>1691</v>
      </c>
      <c r="N671" s="72" t="s">
        <v>1805</v>
      </c>
      <c r="P671" s="72"/>
      <c r="Q671" s="72"/>
      <c r="R671" s="72"/>
      <c r="S671" s="72"/>
      <c r="T671" s="72"/>
      <c r="U671" s="72"/>
      <c r="V671" s="72"/>
      <c r="W671" s="72"/>
      <c r="X671" s="72"/>
      <c r="Y671" s="72"/>
      <c r="Z671" s="72"/>
      <c r="AA671" s="72"/>
      <c r="AF671" s="72"/>
      <c r="AG671" s="72"/>
      <c r="AH671" s="72"/>
    </row>
    <row r="672" spans="2:34">
      <c r="B672" s="72" t="s">
        <v>1807</v>
      </c>
      <c r="C672" s="73" t="s">
        <v>1691</v>
      </c>
      <c r="N672" s="72" t="s">
        <v>1805</v>
      </c>
      <c r="P672" s="72"/>
      <c r="Q672" s="72"/>
      <c r="R672" s="72"/>
      <c r="S672" s="72"/>
      <c r="T672" s="72"/>
      <c r="U672" s="72"/>
      <c r="V672" s="72"/>
      <c r="W672" s="72"/>
      <c r="X672" s="72"/>
      <c r="Y672" s="72"/>
      <c r="Z672" s="72"/>
      <c r="AA672" s="72"/>
      <c r="AF672" s="72"/>
      <c r="AG672" s="72"/>
      <c r="AH672" s="72"/>
    </row>
    <row r="673" spans="2:34">
      <c r="B673" s="72" t="s">
        <v>1806</v>
      </c>
      <c r="C673" s="73" t="s">
        <v>1691</v>
      </c>
      <c r="N673" s="72" t="s">
        <v>1805</v>
      </c>
      <c r="P673" s="72"/>
      <c r="Q673" s="72"/>
      <c r="R673" s="72"/>
      <c r="S673" s="72"/>
      <c r="T673" s="72"/>
      <c r="U673" s="72"/>
      <c r="V673" s="72"/>
      <c r="W673" s="72"/>
      <c r="X673" s="72"/>
      <c r="Y673" s="72"/>
      <c r="Z673" s="72"/>
      <c r="AA673" s="72"/>
      <c r="AF673" s="72"/>
      <c r="AG673" s="72"/>
      <c r="AH673" s="72"/>
    </row>
    <row r="674" spans="2:34">
      <c r="B674" s="72" t="s">
        <v>1804</v>
      </c>
      <c r="C674" s="73" t="s">
        <v>1691</v>
      </c>
      <c r="N674" s="72" t="s">
        <v>1706</v>
      </c>
      <c r="P674" s="72"/>
      <c r="Q674" s="72"/>
      <c r="R674" s="72"/>
      <c r="S674" s="72"/>
      <c r="T674" s="72"/>
      <c r="U674" s="72"/>
      <c r="V674" s="72"/>
      <c r="W674" s="72"/>
      <c r="X674" s="72"/>
      <c r="Y674" s="72"/>
      <c r="Z674" s="72"/>
      <c r="AA674" s="72"/>
      <c r="AF674" s="72"/>
      <c r="AG674" s="72"/>
      <c r="AH674" s="72"/>
    </row>
    <row r="675" spans="2:34">
      <c r="B675" s="72" t="s">
        <v>1803</v>
      </c>
      <c r="C675" s="73" t="s">
        <v>1691</v>
      </c>
      <c r="N675" s="72" t="s">
        <v>1706</v>
      </c>
      <c r="P675" s="72"/>
      <c r="Q675" s="72"/>
      <c r="R675" s="72"/>
      <c r="S675" s="72"/>
      <c r="T675" s="72"/>
      <c r="U675" s="72"/>
      <c r="V675" s="72"/>
      <c r="W675" s="72"/>
      <c r="X675" s="72"/>
      <c r="Y675" s="72"/>
      <c r="Z675" s="72"/>
      <c r="AA675" s="72"/>
      <c r="AF675" s="72"/>
      <c r="AG675" s="72"/>
      <c r="AH675" s="72"/>
    </row>
    <row r="676" spans="2:34">
      <c r="B676" s="72" t="s">
        <v>1802</v>
      </c>
      <c r="C676" s="73" t="s">
        <v>1691</v>
      </c>
      <c r="N676" s="72" t="s">
        <v>1706</v>
      </c>
      <c r="P676" s="72"/>
      <c r="Q676" s="72"/>
      <c r="R676" s="72"/>
      <c r="S676" s="72"/>
      <c r="T676" s="72"/>
      <c r="U676" s="72"/>
      <c r="V676" s="72"/>
      <c r="W676" s="72"/>
      <c r="X676" s="72"/>
      <c r="Y676" s="72"/>
      <c r="Z676" s="72"/>
      <c r="AA676" s="72"/>
      <c r="AF676" s="72"/>
      <c r="AG676" s="72"/>
      <c r="AH676" s="72"/>
    </row>
    <row r="677" spans="2:34">
      <c r="B677" s="72" t="s">
        <v>1801</v>
      </c>
      <c r="C677" s="73" t="s">
        <v>1691</v>
      </c>
      <c r="N677" s="72" t="s">
        <v>1706</v>
      </c>
      <c r="P677" s="72"/>
      <c r="Q677" s="72"/>
      <c r="R677" s="72"/>
      <c r="S677" s="72"/>
      <c r="T677" s="72"/>
      <c r="U677" s="72"/>
      <c r="V677" s="72"/>
      <c r="W677" s="72"/>
      <c r="X677" s="72"/>
      <c r="Y677" s="72"/>
      <c r="Z677" s="72"/>
      <c r="AA677" s="72"/>
      <c r="AF677" s="72"/>
      <c r="AG677" s="72"/>
      <c r="AH677" s="72"/>
    </row>
    <row r="678" spans="2:34">
      <c r="B678" s="72" t="s">
        <v>1800</v>
      </c>
      <c r="C678" s="73" t="s">
        <v>1691</v>
      </c>
      <c r="N678" s="72" t="s">
        <v>1706</v>
      </c>
      <c r="P678" s="72"/>
      <c r="Q678" s="72"/>
      <c r="R678" s="72"/>
      <c r="S678" s="72"/>
      <c r="T678" s="72"/>
      <c r="U678" s="72"/>
      <c r="V678" s="72"/>
      <c r="W678" s="72"/>
      <c r="X678" s="72"/>
      <c r="Y678" s="72"/>
      <c r="Z678" s="72"/>
      <c r="AA678" s="72"/>
      <c r="AF678" s="72"/>
      <c r="AG678" s="72"/>
      <c r="AH678" s="72"/>
    </row>
    <row r="679" spans="2:34">
      <c r="B679" s="72" t="s">
        <v>1799</v>
      </c>
      <c r="C679" s="73" t="s">
        <v>1691</v>
      </c>
      <c r="N679" s="72" t="s">
        <v>1706</v>
      </c>
      <c r="P679" s="72"/>
      <c r="Q679" s="72"/>
      <c r="R679" s="72"/>
      <c r="S679" s="72"/>
      <c r="T679" s="72"/>
      <c r="U679" s="72"/>
      <c r="V679" s="72"/>
      <c r="W679" s="72"/>
      <c r="X679" s="72"/>
      <c r="Y679" s="72"/>
      <c r="Z679" s="72"/>
      <c r="AA679" s="72"/>
      <c r="AF679" s="72"/>
      <c r="AG679" s="72"/>
      <c r="AH679" s="72"/>
    </row>
    <row r="680" spans="2:34">
      <c r="B680" s="72" t="s">
        <v>1798</v>
      </c>
      <c r="C680" s="73" t="s">
        <v>1691</v>
      </c>
      <c r="N680" s="72" t="s">
        <v>1706</v>
      </c>
      <c r="P680" s="72"/>
      <c r="Q680" s="72"/>
      <c r="R680" s="72"/>
      <c r="S680" s="72"/>
      <c r="T680" s="72"/>
      <c r="U680" s="72"/>
      <c r="V680" s="72"/>
      <c r="W680" s="72"/>
      <c r="X680" s="72"/>
      <c r="Y680" s="72"/>
      <c r="Z680" s="72"/>
      <c r="AA680" s="72"/>
      <c r="AF680" s="72"/>
      <c r="AG680" s="72"/>
      <c r="AH680" s="72"/>
    </row>
    <row r="681" spans="2:34">
      <c r="B681" s="72" t="s">
        <v>1797</v>
      </c>
      <c r="C681" s="73" t="s">
        <v>1691</v>
      </c>
      <c r="N681" s="72" t="s">
        <v>1706</v>
      </c>
      <c r="P681" s="72"/>
      <c r="Q681" s="72"/>
      <c r="R681" s="72"/>
      <c r="S681" s="72"/>
      <c r="T681" s="72"/>
      <c r="U681" s="72"/>
      <c r="V681" s="72"/>
      <c r="W681" s="72"/>
      <c r="X681" s="72"/>
      <c r="Y681" s="72"/>
      <c r="Z681" s="72"/>
      <c r="AA681" s="72"/>
      <c r="AF681" s="72"/>
      <c r="AG681" s="72"/>
      <c r="AH681" s="72"/>
    </row>
    <row r="682" spans="2:34">
      <c r="B682" s="72" t="s">
        <v>1796</v>
      </c>
      <c r="C682" s="73" t="s">
        <v>1691</v>
      </c>
      <c r="N682" s="72" t="s">
        <v>1706</v>
      </c>
      <c r="P682" s="72"/>
      <c r="Q682" s="72"/>
      <c r="R682" s="72"/>
      <c r="S682" s="72"/>
      <c r="T682" s="72"/>
      <c r="U682" s="72"/>
      <c r="V682" s="72"/>
      <c r="W682" s="72"/>
      <c r="X682" s="72"/>
      <c r="Y682" s="72"/>
      <c r="Z682" s="72"/>
      <c r="AA682" s="72"/>
      <c r="AF682" s="72"/>
      <c r="AG682" s="72"/>
      <c r="AH682" s="72"/>
    </row>
    <row r="683" spans="2:34">
      <c r="B683" s="72" t="s">
        <v>1795</v>
      </c>
      <c r="C683" s="73" t="s">
        <v>1691</v>
      </c>
      <c r="N683" s="72" t="s">
        <v>1706</v>
      </c>
      <c r="P683" s="72"/>
      <c r="Q683" s="72"/>
      <c r="R683" s="72"/>
      <c r="S683" s="72"/>
      <c r="T683" s="72"/>
      <c r="U683" s="72"/>
      <c r="V683" s="72"/>
      <c r="W683" s="72"/>
      <c r="X683" s="72"/>
      <c r="Y683" s="72"/>
      <c r="Z683" s="72"/>
      <c r="AA683" s="72"/>
      <c r="AF683" s="72"/>
      <c r="AG683" s="72"/>
      <c r="AH683" s="72"/>
    </row>
    <row r="684" spans="2:34">
      <c r="B684" s="72" t="s">
        <v>1794</v>
      </c>
      <c r="C684" s="73" t="s">
        <v>1691</v>
      </c>
      <c r="N684" s="72" t="s">
        <v>1706</v>
      </c>
      <c r="P684" s="72"/>
      <c r="Q684" s="72"/>
      <c r="R684" s="72"/>
      <c r="S684" s="72"/>
      <c r="T684" s="72"/>
      <c r="U684" s="72"/>
      <c r="V684" s="72"/>
      <c r="W684" s="72"/>
      <c r="X684" s="72"/>
      <c r="Y684" s="72"/>
      <c r="Z684" s="72"/>
      <c r="AA684" s="72"/>
      <c r="AF684" s="72"/>
      <c r="AG684" s="72"/>
      <c r="AH684" s="72"/>
    </row>
    <row r="685" spans="2:34">
      <c r="B685" s="72" t="s">
        <v>1793</v>
      </c>
      <c r="C685" s="73" t="s">
        <v>1691</v>
      </c>
      <c r="N685" s="72" t="s">
        <v>1706</v>
      </c>
      <c r="P685" s="72"/>
      <c r="Q685" s="72"/>
      <c r="R685" s="72"/>
      <c r="S685" s="72"/>
      <c r="T685" s="72"/>
      <c r="U685" s="72"/>
      <c r="V685" s="72"/>
      <c r="W685" s="72"/>
      <c r="X685" s="72"/>
      <c r="Y685" s="72"/>
      <c r="Z685" s="72"/>
      <c r="AA685" s="72"/>
      <c r="AF685" s="72"/>
      <c r="AG685" s="72"/>
      <c r="AH685" s="72"/>
    </row>
    <row r="686" spans="2:34">
      <c r="B686" s="72" t="s">
        <v>1792</v>
      </c>
      <c r="C686" s="73" t="s">
        <v>1691</v>
      </c>
      <c r="N686" s="72" t="s">
        <v>1706</v>
      </c>
      <c r="P686" s="72"/>
      <c r="Q686" s="72"/>
      <c r="R686" s="72"/>
      <c r="S686" s="72"/>
      <c r="T686" s="72"/>
      <c r="U686" s="72"/>
      <c r="V686" s="72"/>
      <c r="W686" s="72"/>
      <c r="X686" s="72"/>
      <c r="Y686" s="72"/>
      <c r="Z686" s="72"/>
      <c r="AA686" s="72"/>
      <c r="AF686" s="72"/>
      <c r="AG686" s="72"/>
      <c r="AH686" s="72"/>
    </row>
    <row r="687" spans="2:34" s="12" customFormat="1">
      <c r="B687" s="12" t="s">
        <v>1791</v>
      </c>
      <c r="C687" s="29" t="s">
        <v>1691</v>
      </c>
      <c r="D687" s="15"/>
      <c r="F687" s="15"/>
      <c r="G687" s="15"/>
      <c r="H687" s="13"/>
      <c r="K687" s="12" t="s">
        <v>2524</v>
      </c>
      <c r="N687" s="12" t="s">
        <v>1706</v>
      </c>
    </row>
    <row r="688" spans="2:34">
      <c r="B688" s="72" t="s">
        <v>1790</v>
      </c>
      <c r="C688" s="73" t="s">
        <v>1691</v>
      </c>
      <c r="N688" s="72" t="s">
        <v>1706</v>
      </c>
      <c r="P688" s="72"/>
      <c r="Q688" s="72"/>
      <c r="R688" s="72"/>
      <c r="S688" s="72"/>
      <c r="T688" s="72"/>
      <c r="U688" s="72"/>
      <c r="V688" s="72"/>
      <c r="W688" s="72"/>
      <c r="X688" s="72"/>
      <c r="Y688" s="72"/>
      <c r="Z688" s="72"/>
      <c r="AA688" s="72"/>
      <c r="AF688" s="72"/>
      <c r="AG688" s="72"/>
      <c r="AH688" s="72"/>
    </row>
    <row r="689" spans="2:34">
      <c r="B689" s="72" t="s">
        <v>1789</v>
      </c>
      <c r="C689" s="73" t="s">
        <v>1691</v>
      </c>
      <c r="N689" s="72" t="s">
        <v>1706</v>
      </c>
      <c r="P689" s="72"/>
      <c r="Q689" s="72"/>
      <c r="R689" s="72"/>
      <c r="S689" s="72"/>
      <c r="T689" s="72"/>
      <c r="U689" s="72"/>
      <c r="V689" s="72"/>
      <c r="W689" s="72"/>
      <c r="X689" s="72"/>
      <c r="Y689" s="72"/>
      <c r="Z689" s="72"/>
      <c r="AA689" s="72"/>
      <c r="AF689" s="72"/>
      <c r="AG689" s="72"/>
      <c r="AH689" s="72"/>
    </row>
    <row r="690" spans="2:34">
      <c r="B690" s="72" t="s">
        <v>1788</v>
      </c>
      <c r="C690" s="73" t="s">
        <v>1691</v>
      </c>
      <c r="N690" s="72" t="s">
        <v>1706</v>
      </c>
      <c r="P690" s="72"/>
      <c r="Q690" s="72"/>
      <c r="R690" s="72"/>
      <c r="S690" s="72"/>
      <c r="T690" s="72"/>
      <c r="U690" s="72"/>
      <c r="V690" s="72"/>
      <c r="W690" s="72"/>
      <c r="X690" s="72"/>
      <c r="Y690" s="72"/>
      <c r="Z690" s="72"/>
      <c r="AA690" s="72"/>
      <c r="AF690" s="72"/>
      <c r="AG690" s="72"/>
      <c r="AH690" s="72"/>
    </row>
    <row r="691" spans="2:34">
      <c r="B691" s="72" t="s">
        <v>1787</v>
      </c>
      <c r="C691" s="73" t="s">
        <v>1691</v>
      </c>
      <c r="N691" s="72" t="s">
        <v>1706</v>
      </c>
      <c r="P691" s="72"/>
      <c r="Q691" s="72"/>
      <c r="R691" s="72"/>
      <c r="S691" s="72"/>
      <c r="T691" s="72"/>
      <c r="U691" s="72"/>
      <c r="V691" s="72"/>
      <c r="W691" s="72"/>
      <c r="X691" s="72"/>
      <c r="Y691" s="72"/>
      <c r="Z691" s="72"/>
      <c r="AA691" s="72"/>
      <c r="AF691" s="72"/>
      <c r="AG691" s="72"/>
      <c r="AH691" s="72"/>
    </row>
    <row r="692" spans="2:34">
      <c r="B692" s="72" t="s">
        <v>1786</v>
      </c>
      <c r="C692" s="73" t="s">
        <v>1691</v>
      </c>
      <c r="N692" s="72" t="s">
        <v>1706</v>
      </c>
      <c r="P692" s="72"/>
      <c r="Q692" s="72"/>
      <c r="R692" s="72"/>
      <c r="S692" s="72"/>
      <c r="T692" s="72"/>
      <c r="U692" s="72"/>
      <c r="V692" s="72"/>
      <c r="W692" s="72"/>
      <c r="X692" s="72"/>
      <c r="Y692" s="72"/>
      <c r="Z692" s="72"/>
      <c r="AA692" s="72"/>
      <c r="AF692" s="72"/>
      <c r="AG692" s="72"/>
      <c r="AH692" s="72"/>
    </row>
    <row r="693" spans="2:34">
      <c r="B693" s="72" t="s">
        <v>1785</v>
      </c>
      <c r="C693" s="73" t="s">
        <v>1691</v>
      </c>
      <c r="N693" s="72" t="s">
        <v>1706</v>
      </c>
      <c r="P693" s="72"/>
      <c r="Q693" s="72"/>
      <c r="R693" s="72"/>
      <c r="S693" s="72"/>
      <c r="T693" s="72"/>
      <c r="U693" s="72"/>
      <c r="V693" s="72"/>
      <c r="W693" s="72"/>
      <c r="X693" s="72"/>
      <c r="Y693" s="72"/>
      <c r="Z693" s="72"/>
      <c r="AA693" s="72"/>
      <c r="AF693" s="72"/>
      <c r="AG693" s="72"/>
      <c r="AH693" s="72"/>
    </row>
    <row r="694" spans="2:34">
      <c r="B694" s="72" t="s">
        <v>1784</v>
      </c>
      <c r="C694" s="73" t="s">
        <v>1691</v>
      </c>
      <c r="N694" s="72" t="s">
        <v>1706</v>
      </c>
      <c r="P694" s="72"/>
      <c r="Q694" s="72"/>
      <c r="R694" s="72"/>
      <c r="S694" s="72"/>
      <c r="T694" s="72"/>
      <c r="U694" s="72"/>
      <c r="V694" s="72"/>
      <c r="W694" s="72"/>
      <c r="X694" s="72"/>
      <c r="Y694" s="72"/>
      <c r="Z694" s="72"/>
      <c r="AA694" s="72"/>
      <c r="AF694" s="72"/>
      <c r="AG694" s="72"/>
      <c r="AH694" s="72"/>
    </row>
    <row r="695" spans="2:34">
      <c r="B695" s="72" t="s">
        <v>1783</v>
      </c>
      <c r="C695" s="73" t="s">
        <v>1691</v>
      </c>
      <c r="N695" s="72" t="s">
        <v>1706</v>
      </c>
      <c r="P695" s="72"/>
      <c r="Q695" s="72"/>
      <c r="R695" s="72"/>
      <c r="S695" s="72"/>
      <c r="T695" s="72"/>
      <c r="U695" s="72"/>
      <c r="V695" s="72"/>
      <c r="W695" s="72"/>
      <c r="X695" s="72"/>
      <c r="Y695" s="72"/>
      <c r="Z695" s="72"/>
      <c r="AA695" s="72"/>
      <c r="AF695" s="72"/>
      <c r="AG695" s="72"/>
      <c r="AH695" s="72"/>
    </row>
    <row r="696" spans="2:34">
      <c r="B696" s="72" t="s">
        <v>1782</v>
      </c>
      <c r="C696" s="73" t="s">
        <v>1691</v>
      </c>
      <c r="N696" s="72" t="s">
        <v>1706</v>
      </c>
      <c r="P696" s="72"/>
      <c r="Q696" s="72"/>
      <c r="R696" s="72"/>
      <c r="S696" s="72"/>
      <c r="T696" s="72"/>
      <c r="U696" s="72"/>
      <c r="V696" s="72"/>
      <c r="W696" s="72"/>
      <c r="X696" s="72"/>
      <c r="Y696" s="72"/>
      <c r="Z696" s="72"/>
      <c r="AA696" s="72"/>
      <c r="AF696" s="72"/>
      <c r="AG696" s="72"/>
      <c r="AH696" s="72"/>
    </row>
    <row r="697" spans="2:34">
      <c r="B697" s="72" t="s">
        <v>1781</v>
      </c>
      <c r="C697" s="73" t="s">
        <v>1691</v>
      </c>
      <c r="N697" s="72" t="s">
        <v>1706</v>
      </c>
      <c r="P697" s="72"/>
      <c r="Q697" s="72"/>
      <c r="R697" s="72"/>
      <c r="S697" s="72"/>
      <c r="T697" s="72"/>
      <c r="U697" s="72"/>
      <c r="V697" s="72"/>
      <c r="W697" s="72"/>
      <c r="X697" s="72"/>
      <c r="Y697" s="72"/>
      <c r="Z697" s="72"/>
      <c r="AA697" s="72"/>
      <c r="AF697" s="72"/>
      <c r="AG697" s="72"/>
      <c r="AH697" s="72"/>
    </row>
    <row r="698" spans="2:34">
      <c r="B698" s="72" t="s">
        <v>1780</v>
      </c>
      <c r="C698" s="73" t="s">
        <v>1691</v>
      </c>
      <c r="N698" s="72" t="s">
        <v>1706</v>
      </c>
      <c r="P698" s="72"/>
      <c r="Q698" s="72"/>
      <c r="R698" s="72"/>
      <c r="S698" s="72"/>
      <c r="T698" s="72"/>
      <c r="U698" s="72"/>
      <c r="V698" s="72"/>
      <c r="W698" s="72"/>
      <c r="X698" s="72"/>
      <c r="Y698" s="72"/>
      <c r="Z698" s="72"/>
      <c r="AA698" s="72"/>
      <c r="AF698" s="72"/>
      <c r="AG698" s="72"/>
      <c r="AH698" s="72"/>
    </row>
    <row r="699" spans="2:34">
      <c r="B699" s="72" t="s">
        <v>1779</v>
      </c>
      <c r="C699" s="73" t="s">
        <v>1691</v>
      </c>
      <c r="N699" s="72" t="s">
        <v>1706</v>
      </c>
      <c r="P699" s="72"/>
      <c r="Q699" s="72"/>
      <c r="R699" s="72"/>
      <c r="S699" s="72"/>
      <c r="T699" s="72"/>
      <c r="U699" s="72"/>
      <c r="V699" s="72"/>
      <c r="W699" s="72"/>
      <c r="X699" s="72"/>
      <c r="Y699" s="72"/>
      <c r="Z699" s="72"/>
      <c r="AA699" s="72"/>
      <c r="AF699" s="72"/>
      <c r="AG699" s="72"/>
      <c r="AH699" s="72"/>
    </row>
    <row r="700" spans="2:34">
      <c r="B700" s="72" t="s">
        <v>1778</v>
      </c>
      <c r="C700" s="73" t="s">
        <v>1691</v>
      </c>
      <c r="N700" s="72" t="s">
        <v>1706</v>
      </c>
      <c r="P700" s="72"/>
      <c r="Q700" s="72"/>
      <c r="R700" s="72"/>
      <c r="S700" s="72"/>
      <c r="T700" s="72"/>
      <c r="U700" s="72"/>
      <c r="V700" s="72"/>
      <c r="W700" s="72"/>
      <c r="X700" s="72"/>
      <c r="Y700" s="72"/>
      <c r="Z700" s="72"/>
      <c r="AA700" s="72"/>
      <c r="AF700" s="72"/>
      <c r="AG700" s="72"/>
      <c r="AH700" s="72"/>
    </row>
    <row r="701" spans="2:34">
      <c r="B701" s="72" t="s">
        <v>1777</v>
      </c>
      <c r="C701" s="73" t="s">
        <v>1691</v>
      </c>
      <c r="N701" s="72" t="s">
        <v>1706</v>
      </c>
      <c r="P701" s="72"/>
      <c r="Q701" s="72"/>
      <c r="R701" s="72"/>
      <c r="S701" s="72"/>
      <c r="T701" s="72"/>
      <c r="U701" s="72"/>
      <c r="V701" s="72"/>
      <c r="W701" s="72"/>
      <c r="X701" s="72"/>
      <c r="Y701" s="72"/>
      <c r="Z701" s="72"/>
      <c r="AA701" s="72"/>
      <c r="AF701" s="72"/>
      <c r="AG701" s="72"/>
      <c r="AH701" s="72"/>
    </row>
    <row r="702" spans="2:34">
      <c r="B702" s="72" t="s">
        <v>1776</v>
      </c>
      <c r="C702" s="73" t="s">
        <v>1691</v>
      </c>
      <c r="N702" s="72" t="s">
        <v>1706</v>
      </c>
      <c r="P702" s="72"/>
      <c r="Q702" s="72"/>
      <c r="R702" s="72"/>
      <c r="S702" s="72"/>
      <c r="T702" s="72"/>
      <c r="U702" s="72"/>
      <c r="V702" s="72"/>
      <c r="W702" s="72"/>
      <c r="X702" s="72"/>
      <c r="Y702" s="72"/>
      <c r="Z702" s="72"/>
      <c r="AA702" s="72"/>
      <c r="AF702" s="72"/>
      <c r="AG702" s="72"/>
      <c r="AH702" s="72"/>
    </row>
    <row r="703" spans="2:34">
      <c r="B703" s="72" t="s">
        <v>1775</v>
      </c>
      <c r="C703" s="73" t="s">
        <v>1691</v>
      </c>
      <c r="N703" s="72" t="s">
        <v>1706</v>
      </c>
      <c r="P703" s="72"/>
      <c r="Q703" s="72"/>
      <c r="R703" s="72"/>
      <c r="S703" s="72"/>
      <c r="T703" s="72"/>
      <c r="U703" s="72"/>
      <c r="V703" s="72"/>
      <c r="W703" s="72"/>
      <c r="X703" s="72"/>
      <c r="Y703" s="72"/>
      <c r="Z703" s="72"/>
      <c r="AA703" s="72"/>
      <c r="AF703" s="72"/>
      <c r="AG703" s="72"/>
      <c r="AH703" s="72"/>
    </row>
    <row r="704" spans="2:34">
      <c r="B704" s="72" t="s">
        <v>1774</v>
      </c>
      <c r="C704" s="73" t="s">
        <v>1691</v>
      </c>
      <c r="N704" s="72" t="s">
        <v>1706</v>
      </c>
      <c r="P704" s="72"/>
      <c r="Q704" s="72"/>
      <c r="R704" s="72"/>
      <c r="S704" s="72"/>
      <c r="T704" s="72"/>
      <c r="U704" s="72"/>
      <c r="V704" s="72"/>
      <c r="W704" s="72"/>
      <c r="X704" s="72"/>
      <c r="Y704" s="72"/>
      <c r="Z704" s="72"/>
      <c r="AA704" s="72"/>
      <c r="AF704" s="72"/>
      <c r="AG704" s="72"/>
      <c r="AH704" s="72"/>
    </row>
    <row r="705" spans="2:34">
      <c r="B705" s="72" t="s">
        <v>1773</v>
      </c>
      <c r="C705" s="73" t="s">
        <v>1691</v>
      </c>
      <c r="N705" s="72" t="s">
        <v>1706</v>
      </c>
      <c r="P705" s="72"/>
      <c r="Q705" s="72"/>
      <c r="R705" s="72"/>
      <c r="S705" s="72"/>
      <c r="T705" s="72"/>
      <c r="U705" s="72"/>
      <c r="V705" s="72"/>
      <c r="W705" s="72"/>
      <c r="X705" s="72"/>
      <c r="Y705" s="72"/>
      <c r="Z705" s="72"/>
      <c r="AA705" s="72"/>
      <c r="AF705" s="72"/>
      <c r="AG705" s="72"/>
      <c r="AH705" s="72"/>
    </row>
    <row r="706" spans="2:34">
      <c r="B706" s="72" t="s">
        <v>1772</v>
      </c>
      <c r="C706" s="73" t="s">
        <v>1691</v>
      </c>
      <c r="N706" s="72" t="s">
        <v>1706</v>
      </c>
      <c r="P706" s="72"/>
      <c r="Q706" s="72"/>
      <c r="R706" s="72"/>
      <c r="S706" s="72"/>
      <c r="T706" s="72"/>
      <c r="U706" s="72"/>
      <c r="V706" s="72"/>
      <c r="W706" s="72"/>
      <c r="X706" s="72"/>
      <c r="Y706" s="72"/>
      <c r="Z706" s="72"/>
      <c r="AA706" s="72"/>
      <c r="AF706" s="72"/>
      <c r="AG706" s="72"/>
      <c r="AH706" s="72"/>
    </row>
    <row r="707" spans="2:34">
      <c r="B707" s="72" t="s">
        <v>1771</v>
      </c>
      <c r="C707" s="73" t="s">
        <v>1691</v>
      </c>
      <c r="N707" s="72" t="s">
        <v>1706</v>
      </c>
      <c r="P707" s="72"/>
      <c r="Q707" s="72"/>
      <c r="R707" s="72"/>
      <c r="S707" s="72"/>
      <c r="T707" s="72"/>
      <c r="U707" s="72"/>
      <c r="V707" s="72"/>
      <c r="W707" s="72"/>
      <c r="X707" s="72"/>
      <c r="Y707" s="72"/>
      <c r="Z707" s="72"/>
      <c r="AA707" s="72"/>
      <c r="AF707" s="72"/>
      <c r="AG707" s="72"/>
      <c r="AH707" s="72"/>
    </row>
    <row r="708" spans="2:34">
      <c r="B708" s="72" t="s">
        <v>1770</v>
      </c>
      <c r="C708" s="73" t="s">
        <v>1691</v>
      </c>
      <c r="N708" s="72" t="s">
        <v>1706</v>
      </c>
      <c r="P708" s="72"/>
      <c r="Q708" s="72"/>
      <c r="R708" s="72"/>
      <c r="S708" s="72"/>
      <c r="T708" s="72"/>
      <c r="U708" s="72"/>
      <c r="V708" s="72"/>
      <c r="W708" s="72"/>
      <c r="X708" s="72"/>
      <c r="Y708" s="72"/>
      <c r="Z708" s="72"/>
      <c r="AA708" s="72"/>
      <c r="AF708" s="72"/>
      <c r="AG708" s="72"/>
      <c r="AH708" s="72"/>
    </row>
    <row r="709" spans="2:34">
      <c r="B709" s="72" t="s">
        <v>1769</v>
      </c>
      <c r="C709" s="73" t="s">
        <v>1691</v>
      </c>
      <c r="N709" s="72" t="s">
        <v>1706</v>
      </c>
      <c r="P709" s="72"/>
      <c r="Q709" s="72"/>
      <c r="R709" s="72"/>
      <c r="S709" s="72"/>
      <c r="T709" s="72"/>
      <c r="U709" s="72"/>
      <c r="V709" s="72"/>
      <c r="W709" s="72"/>
      <c r="X709" s="72"/>
      <c r="Y709" s="72"/>
      <c r="Z709" s="72"/>
      <c r="AA709" s="72"/>
      <c r="AF709" s="72"/>
      <c r="AG709" s="72"/>
      <c r="AH709" s="72"/>
    </row>
    <row r="710" spans="2:34">
      <c r="B710" s="72" t="s">
        <v>1768</v>
      </c>
      <c r="C710" s="73" t="s">
        <v>1691</v>
      </c>
      <c r="N710" s="72" t="s">
        <v>1706</v>
      </c>
      <c r="P710" s="72"/>
      <c r="Q710" s="72"/>
      <c r="R710" s="72"/>
      <c r="S710" s="72"/>
      <c r="T710" s="72"/>
      <c r="U710" s="72"/>
      <c r="V710" s="72"/>
      <c r="W710" s="72"/>
      <c r="X710" s="72"/>
      <c r="Y710" s="72"/>
      <c r="Z710" s="72"/>
      <c r="AA710" s="72"/>
      <c r="AF710" s="72"/>
      <c r="AG710" s="72"/>
      <c r="AH710" s="72"/>
    </row>
    <row r="711" spans="2:34">
      <c r="B711" s="72" t="s">
        <v>1767</v>
      </c>
      <c r="C711" s="73" t="s">
        <v>1691</v>
      </c>
      <c r="N711" s="72" t="s">
        <v>1706</v>
      </c>
      <c r="P711" s="72"/>
      <c r="Q711" s="72"/>
      <c r="R711" s="72"/>
      <c r="S711" s="72"/>
      <c r="T711" s="72"/>
      <c r="U711" s="72"/>
      <c r="V711" s="72"/>
      <c r="W711" s="72"/>
      <c r="X711" s="72"/>
      <c r="Y711" s="72"/>
      <c r="Z711" s="72"/>
      <c r="AA711" s="72"/>
      <c r="AF711" s="72"/>
      <c r="AG711" s="72"/>
      <c r="AH711" s="72"/>
    </row>
    <row r="712" spans="2:34">
      <c r="B712" s="72" t="s">
        <v>1766</v>
      </c>
      <c r="C712" s="73" t="s">
        <v>1691</v>
      </c>
      <c r="N712" s="72" t="s">
        <v>1706</v>
      </c>
      <c r="P712" s="72"/>
      <c r="Q712" s="72"/>
      <c r="R712" s="72"/>
      <c r="S712" s="72"/>
      <c r="T712" s="72"/>
      <c r="U712" s="72"/>
      <c r="V712" s="72"/>
      <c r="W712" s="72"/>
      <c r="X712" s="72"/>
      <c r="Y712" s="72"/>
      <c r="Z712" s="72"/>
      <c r="AA712" s="72"/>
      <c r="AF712" s="72"/>
      <c r="AG712" s="72"/>
      <c r="AH712" s="72"/>
    </row>
    <row r="713" spans="2:34">
      <c r="B713" s="72" t="s">
        <v>1765</v>
      </c>
      <c r="C713" s="73" t="s">
        <v>1691</v>
      </c>
      <c r="N713" s="72" t="s">
        <v>1706</v>
      </c>
      <c r="P713" s="72"/>
      <c r="Q713" s="72"/>
      <c r="R713" s="72"/>
      <c r="S713" s="72"/>
      <c r="T713" s="72"/>
      <c r="U713" s="72"/>
      <c r="V713" s="72"/>
      <c r="W713" s="72"/>
      <c r="X713" s="72"/>
      <c r="Y713" s="72"/>
      <c r="Z713" s="72"/>
      <c r="AA713" s="72"/>
      <c r="AF713" s="72"/>
      <c r="AG713" s="72"/>
      <c r="AH713" s="72"/>
    </row>
    <row r="714" spans="2:34">
      <c r="B714" s="72" t="s">
        <v>1764</v>
      </c>
      <c r="C714" s="73" t="s">
        <v>1691</v>
      </c>
      <c r="N714" s="72" t="s">
        <v>1706</v>
      </c>
      <c r="P714" s="72"/>
      <c r="Q714" s="72"/>
      <c r="R714" s="72"/>
      <c r="S714" s="72"/>
      <c r="T714" s="72"/>
      <c r="U714" s="72"/>
      <c r="V714" s="72"/>
      <c r="W714" s="72"/>
      <c r="X714" s="72"/>
      <c r="Y714" s="72"/>
      <c r="Z714" s="72"/>
      <c r="AA714" s="72"/>
      <c r="AF714" s="72"/>
      <c r="AG714" s="72"/>
      <c r="AH714" s="72"/>
    </row>
    <row r="715" spans="2:34">
      <c r="B715" s="88" t="s">
        <v>1763</v>
      </c>
      <c r="C715" s="73" t="s">
        <v>1691</v>
      </c>
      <c r="N715" s="72" t="s">
        <v>1706</v>
      </c>
      <c r="P715" s="72"/>
      <c r="Q715" s="72"/>
      <c r="R715" s="72"/>
      <c r="S715" s="72"/>
      <c r="T715" s="72"/>
      <c r="U715" s="72"/>
      <c r="V715" s="72"/>
      <c r="W715" s="72"/>
      <c r="X715" s="72"/>
      <c r="Y715" s="72"/>
      <c r="Z715" s="72"/>
      <c r="AA715" s="72"/>
      <c r="AF715" s="72"/>
      <c r="AG715" s="72"/>
      <c r="AH715" s="72"/>
    </row>
    <row r="716" spans="2:34">
      <c r="B716" s="72" t="s">
        <v>1762</v>
      </c>
      <c r="C716" s="73" t="s">
        <v>1691</v>
      </c>
      <c r="N716" s="72" t="s">
        <v>1706</v>
      </c>
      <c r="P716" s="72"/>
      <c r="Q716" s="72"/>
      <c r="R716" s="72"/>
      <c r="S716" s="72"/>
      <c r="T716" s="72"/>
      <c r="U716" s="72"/>
      <c r="V716" s="72"/>
      <c r="W716" s="72"/>
      <c r="X716" s="72"/>
      <c r="Y716" s="72"/>
      <c r="Z716" s="72"/>
      <c r="AA716" s="72"/>
      <c r="AF716" s="72"/>
      <c r="AG716" s="72"/>
      <c r="AH716" s="72"/>
    </row>
    <row r="717" spans="2:34">
      <c r="B717" s="72" t="s">
        <v>1761</v>
      </c>
      <c r="C717" s="73" t="s">
        <v>1691</v>
      </c>
      <c r="N717" s="72" t="s">
        <v>1706</v>
      </c>
      <c r="P717" s="72"/>
      <c r="Q717" s="72"/>
      <c r="R717" s="72"/>
      <c r="S717" s="72"/>
      <c r="T717" s="72"/>
      <c r="U717" s="72"/>
      <c r="V717" s="72"/>
      <c r="W717" s="72"/>
      <c r="X717" s="72"/>
      <c r="Y717" s="72"/>
      <c r="Z717" s="72"/>
      <c r="AA717" s="72"/>
      <c r="AF717" s="72"/>
      <c r="AG717" s="72"/>
      <c r="AH717" s="72"/>
    </row>
    <row r="718" spans="2:34">
      <c r="B718" s="72" t="s">
        <v>1760</v>
      </c>
      <c r="C718" s="73" t="s">
        <v>1691</v>
      </c>
      <c r="N718" s="72" t="s">
        <v>1706</v>
      </c>
      <c r="P718" s="72"/>
      <c r="Q718" s="72"/>
      <c r="R718" s="72"/>
      <c r="S718" s="72"/>
      <c r="T718" s="72"/>
      <c r="U718" s="72"/>
      <c r="V718" s="72"/>
      <c r="W718" s="72"/>
      <c r="X718" s="72"/>
      <c r="Y718" s="72"/>
      <c r="Z718" s="72"/>
      <c r="AA718" s="72"/>
      <c r="AF718" s="72"/>
      <c r="AG718" s="72"/>
      <c r="AH718" s="72"/>
    </row>
    <row r="719" spans="2:34">
      <c r="B719" s="72" t="s">
        <v>1759</v>
      </c>
      <c r="C719" s="73" t="s">
        <v>1691</v>
      </c>
      <c r="N719" s="72" t="s">
        <v>1706</v>
      </c>
      <c r="P719" s="72"/>
      <c r="Q719" s="72"/>
      <c r="R719" s="72"/>
      <c r="S719" s="72"/>
      <c r="T719" s="72"/>
      <c r="U719" s="72"/>
      <c r="V719" s="72"/>
      <c r="W719" s="72"/>
      <c r="X719" s="72"/>
      <c r="Y719" s="72"/>
      <c r="Z719" s="72"/>
      <c r="AA719" s="72"/>
      <c r="AF719" s="72"/>
      <c r="AG719" s="72"/>
      <c r="AH719" s="72"/>
    </row>
    <row r="720" spans="2:34">
      <c r="B720" s="72" t="s">
        <v>1758</v>
      </c>
      <c r="C720" s="73" t="s">
        <v>1691</v>
      </c>
      <c r="N720" s="72" t="s">
        <v>1706</v>
      </c>
      <c r="P720" s="72"/>
      <c r="Q720" s="72"/>
      <c r="R720" s="72"/>
      <c r="S720" s="72"/>
      <c r="T720" s="72"/>
      <c r="U720" s="72"/>
      <c r="V720" s="72"/>
      <c r="W720" s="72"/>
      <c r="X720" s="72"/>
      <c r="Y720" s="72"/>
      <c r="Z720" s="72"/>
      <c r="AA720" s="72"/>
      <c r="AF720" s="72"/>
      <c r="AG720" s="72"/>
      <c r="AH720" s="72"/>
    </row>
    <row r="721" spans="2:34">
      <c r="B721" s="72" t="s">
        <v>1757</v>
      </c>
      <c r="C721" s="73" t="s">
        <v>1691</v>
      </c>
      <c r="N721" s="72" t="s">
        <v>1706</v>
      </c>
      <c r="P721" s="72"/>
      <c r="Q721" s="72"/>
      <c r="R721" s="72"/>
      <c r="S721" s="72"/>
      <c r="T721" s="72"/>
      <c r="U721" s="72"/>
      <c r="V721" s="72"/>
      <c r="W721" s="72"/>
      <c r="X721" s="72"/>
      <c r="Y721" s="72"/>
      <c r="Z721" s="72"/>
      <c r="AA721" s="72"/>
      <c r="AF721" s="72"/>
      <c r="AG721" s="72"/>
      <c r="AH721" s="72"/>
    </row>
    <row r="722" spans="2:34">
      <c r="B722" s="72" t="s">
        <v>1756</v>
      </c>
      <c r="C722" s="73" t="s">
        <v>1691</v>
      </c>
      <c r="N722" s="72" t="s">
        <v>1706</v>
      </c>
      <c r="P722" s="72"/>
      <c r="Q722" s="72"/>
      <c r="R722" s="72"/>
      <c r="S722" s="72"/>
      <c r="T722" s="72"/>
      <c r="U722" s="72"/>
      <c r="V722" s="72"/>
      <c r="W722" s="72"/>
      <c r="X722" s="72"/>
      <c r="Y722" s="72"/>
      <c r="Z722" s="72"/>
      <c r="AA722" s="72"/>
      <c r="AF722" s="72"/>
      <c r="AG722" s="72"/>
      <c r="AH722" s="72"/>
    </row>
    <row r="723" spans="2:34">
      <c r="B723" s="72" t="s">
        <v>1755</v>
      </c>
      <c r="C723" s="73" t="s">
        <v>1691</v>
      </c>
      <c r="N723" s="72" t="s">
        <v>1706</v>
      </c>
      <c r="P723" s="72"/>
      <c r="Q723" s="72"/>
      <c r="R723" s="72"/>
      <c r="S723" s="72"/>
      <c r="T723" s="72"/>
      <c r="U723" s="72"/>
      <c r="V723" s="72"/>
      <c r="W723" s="72"/>
      <c r="X723" s="72"/>
      <c r="Y723" s="72"/>
      <c r="Z723" s="72"/>
      <c r="AA723" s="72"/>
      <c r="AF723" s="72"/>
      <c r="AG723" s="72"/>
      <c r="AH723" s="72"/>
    </row>
    <row r="724" spans="2:34">
      <c r="B724" s="72" t="s">
        <v>1754</v>
      </c>
      <c r="C724" s="73" t="s">
        <v>1691</v>
      </c>
      <c r="N724" s="72" t="s">
        <v>1706</v>
      </c>
      <c r="P724" s="72"/>
      <c r="Q724" s="72"/>
      <c r="R724" s="72"/>
      <c r="S724" s="72"/>
      <c r="T724" s="72"/>
      <c r="U724" s="72"/>
      <c r="V724" s="72"/>
      <c r="W724" s="72"/>
      <c r="X724" s="72"/>
      <c r="Y724" s="72"/>
      <c r="Z724" s="72"/>
      <c r="AA724" s="72"/>
      <c r="AF724" s="72"/>
      <c r="AG724" s="72"/>
      <c r="AH724" s="72"/>
    </row>
    <row r="725" spans="2:34">
      <c r="B725" s="72" t="s">
        <v>1753</v>
      </c>
      <c r="C725" s="73" t="s">
        <v>1691</v>
      </c>
      <c r="N725" s="72" t="s">
        <v>1706</v>
      </c>
      <c r="P725" s="72"/>
      <c r="Q725" s="72"/>
      <c r="R725" s="72"/>
      <c r="S725" s="72"/>
      <c r="T725" s="72"/>
      <c r="U725" s="72"/>
      <c r="V725" s="72"/>
      <c r="W725" s="72"/>
      <c r="X725" s="72"/>
      <c r="Y725" s="72"/>
      <c r="Z725" s="72"/>
      <c r="AA725" s="72"/>
      <c r="AF725" s="72"/>
      <c r="AG725" s="72"/>
      <c r="AH725" s="72"/>
    </row>
    <row r="726" spans="2:34">
      <c r="B726" s="72" t="s">
        <v>1752</v>
      </c>
      <c r="C726" s="73" t="s">
        <v>1691</v>
      </c>
      <c r="N726" s="72" t="s">
        <v>1706</v>
      </c>
      <c r="P726" s="72"/>
      <c r="Q726" s="72"/>
      <c r="R726" s="72"/>
      <c r="S726" s="72"/>
      <c r="T726" s="72"/>
      <c r="U726" s="72"/>
      <c r="V726" s="72"/>
      <c r="W726" s="72"/>
      <c r="X726" s="72"/>
      <c r="Y726" s="72"/>
      <c r="Z726" s="72"/>
      <c r="AA726" s="72"/>
      <c r="AF726" s="72"/>
      <c r="AG726" s="72"/>
      <c r="AH726" s="72"/>
    </row>
    <row r="727" spans="2:34">
      <c r="B727" s="72" t="s">
        <v>1751</v>
      </c>
      <c r="C727" s="73" t="s">
        <v>1691</v>
      </c>
      <c r="N727" s="72" t="s">
        <v>1706</v>
      </c>
      <c r="P727" s="72"/>
      <c r="Q727" s="72"/>
      <c r="R727" s="72"/>
      <c r="S727" s="72"/>
      <c r="T727" s="72"/>
      <c r="U727" s="72"/>
      <c r="V727" s="72"/>
      <c r="W727" s="72"/>
      <c r="X727" s="72"/>
      <c r="Y727" s="72"/>
      <c r="Z727" s="72"/>
      <c r="AA727" s="72"/>
      <c r="AF727" s="72"/>
      <c r="AG727" s="72"/>
      <c r="AH727" s="72"/>
    </row>
    <row r="728" spans="2:34">
      <c r="B728" s="72" t="s">
        <v>1750</v>
      </c>
      <c r="C728" s="73" t="s">
        <v>1691</v>
      </c>
      <c r="N728" s="72" t="s">
        <v>1706</v>
      </c>
      <c r="P728" s="72"/>
      <c r="Q728" s="72"/>
      <c r="R728" s="72"/>
      <c r="S728" s="72"/>
      <c r="T728" s="72"/>
      <c r="U728" s="72"/>
      <c r="V728" s="72"/>
      <c r="W728" s="72"/>
      <c r="X728" s="72"/>
      <c r="Y728" s="72"/>
      <c r="Z728" s="72"/>
      <c r="AA728" s="72"/>
      <c r="AF728" s="72"/>
      <c r="AG728" s="72"/>
      <c r="AH728" s="72"/>
    </row>
    <row r="729" spans="2:34">
      <c r="B729" s="72" t="s">
        <v>1749</v>
      </c>
      <c r="C729" s="73" t="s">
        <v>1691</v>
      </c>
      <c r="N729" s="72" t="s">
        <v>1706</v>
      </c>
      <c r="P729" s="72"/>
      <c r="Q729" s="72"/>
      <c r="R729" s="72"/>
      <c r="S729" s="72"/>
      <c r="T729" s="72"/>
      <c r="U729" s="72"/>
      <c r="V729" s="72"/>
      <c r="W729" s="72"/>
      <c r="X729" s="72"/>
      <c r="Y729" s="72"/>
      <c r="Z729" s="72"/>
      <c r="AA729" s="72"/>
      <c r="AF729" s="72"/>
      <c r="AG729" s="72"/>
      <c r="AH729" s="72"/>
    </row>
    <row r="730" spans="2:34">
      <c r="B730" s="72" t="s">
        <v>1748</v>
      </c>
      <c r="C730" s="73" t="s">
        <v>1691</v>
      </c>
      <c r="N730" s="72" t="s">
        <v>1706</v>
      </c>
      <c r="P730" s="72"/>
      <c r="Q730" s="72"/>
      <c r="R730" s="72"/>
      <c r="S730" s="72"/>
      <c r="T730" s="72"/>
      <c r="U730" s="72"/>
      <c r="V730" s="72"/>
      <c r="W730" s="72"/>
      <c r="X730" s="72"/>
      <c r="Y730" s="72"/>
      <c r="Z730" s="72"/>
      <c r="AA730" s="72"/>
      <c r="AF730" s="72"/>
      <c r="AG730" s="72"/>
      <c r="AH730" s="72"/>
    </row>
    <row r="731" spans="2:34">
      <c r="B731" s="72" t="s">
        <v>1747</v>
      </c>
      <c r="C731" s="73" t="s">
        <v>1691</v>
      </c>
      <c r="N731" s="72" t="s">
        <v>1706</v>
      </c>
      <c r="P731" s="72"/>
      <c r="Q731" s="72"/>
      <c r="R731" s="72"/>
      <c r="S731" s="72"/>
      <c r="T731" s="72"/>
      <c r="U731" s="72"/>
      <c r="V731" s="72"/>
      <c r="W731" s="72"/>
      <c r="X731" s="72"/>
      <c r="Y731" s="72"/>
      <c r="Z731" s="72"/>
      <c r="AA731" s="72"/>
      <c r="AF731" s="72"/>
      <c r="AG731" s="72"/>
      <c r="AH731" s="72"/>
    </row>
    <row r="732" spans="2:34">
      <c r="B732" s="72" t="s">
        <v>1746</v>
      </c>
      <c r="C732" s="73" t="s">
        <v>1691</v>
      </c>
      <c r="N732" s="72" t="s">
        <v>1706</v>
      </c>
      <c r="P732" s="72"/>
      <c r="Q732" s="72"/>
      <c r="R732" s="72"/>
      <c r="S732" s="72"/>
      <c r="T732" s="72"/>
      <c r="U732" s="72"/>
      <c r="V732" s="72"/>
      <c r="W732" s="72"/>
      <c r="X732" s="72"/>
      <c r="Y732" s="72"/>
      <c r="Z732" s="72"/>
      <c r="AA732" s="72"/>
      <c r="AF732" s="72"/>
      <c r="AG732" s="72"/>
      <c r="AH732" s="72"/>
    </row>
    <row r="733" spans="2:34">
      <c r="B733" s="72" t="s">
        <v>1745</v>
      </c>
      <c r="C733" s="73" t="s">
        <v>1691</v>
      </c>
      <c r="N733" s="72" t="s">
        <v>1706</v>
      </c>
      <c r="P733" s="72"/>
      <c r="Q733" s="72"/>
      <c r="R733" s="72"/>
      <c r="S733" s="72"/>
      <c r="T733" s="72"/>
      <c r="U733" s="72"/>
      <c r="V733" s="72"/>
      <c r="W733" s="72"/>
      <c r="X733" s="72"/>
      <c r="Y733" s="72"/>
      <c r="Z733" s="72"/>
      <c r="AA733" s="72"/>
      <c r="AF733" s="72"/>
      <c r="AG733" s="72"/>
      <c r="AH733" s="72"/>
    </row>
    <row r="734" spans="2:34">
      <c r="B734" s="72" t="s">
        <v>1744</v>
      </c>
      <c r="C734" s="73" t="s">
        <v>1691</v>
      </c>
      <c r="N734" s="72" t="s">
        <v>1706</v>
      </c>
      <c r="P734" s="72"/>
      <c r="Q734" s="72"/>
      <c r="R734" s="72"/>
      <c r="S734" s="72"/>
      <c r="T734" s="72"/>
      <c r="U734" s="72"/>
      <c r="V734" s="72"/>
      <c r="W734" s="72"/>
      <c r="X734" s="72"/>
      <c r="Y734" s="72"/>
      <c r="Z734" s="72"/>
      <c r="AA734" s="72"/>
      <c r="AF734" s="72"/>
      <c r="AG734" s="72"/>
      <c r="AH734" s="72"/>
    </row>
    <row r="735" spans="2:34">
      <c r="B735" s="72" t="s">
        <v>1743</v>
      </c>
      <c r="C735" s="73" t="s">
        <v>1691</v>
      </c>
      <c r="N735" s="72" t="s">
        <v>1706</v>
      </c>
      <c r="P735" s="72"/>
      <c r="Q735" s="72"/>
      <c r="R735" s="72"/>
      <c r="S735" s="72"/>
      <c r="T735" s="72"/>
      <c r="U735" s="72"/>
      <c r="V735" s="72"/>
      <c r="W735" s="72"/>
      <c r="X735" s="72"/>
      <c r="Y735" s="72"/>
      <c r="Z735" s="72"/>
      <c r="AA735" s="72"/>
      <c r="AF735" s="72"/>
      <c r="AG735" s="72"/>
      <c r="AH735" s="72"/>
    </row>
    <row r="736" spans="2:34">
      <c r="B736" s="72" t="s">
        <v>1742</v>
      </c>
      <c r="C736" s="73" t="s">
        <v>1691</v>
      </c>
      <c r="N736" s="72" t="s">
        <v>1706</v>
      </c>
      <c r="P736" s="72"/>
      <c r="Q736" s="72"/>
      <c r="R736" s="72"/>
      <c r="S736" s="72"/>
      <c r="T736" s="72"/>
      <c r="U736" s="72"/>
      <c r="V736" s="72"/>
      <c r="W736" s="72"/>
      <c r="X736" s="72"/>
      <c r="Y736" s="72"/>
      <c r="Z736" s="72"/>
      <c r="AA736" s="72"/>
      <c r="AF736" s="72"/>
      <c r="AG736" s="72"/>
      <c r="AH736" s="72"/>
    </row>
    <row r="737" spans="2:34">
      <c r="B737" s="72" t="s">
        <v>1741</v>
      </c>
      <c r="C737" s="73" t="s">
        <v>1691</v>
      </c>
      <c r="N737" s="72" t="s">
        <v>1706</v>
      </c>
      <c r="P737" s="72"/>
      <c r="Q737" s="72"/>
      <c r="R737" s="72"/>
      <c r="S737" s="72"/>
      <c r="T737" s="72"/>
      <c r="U737" s="72"/>
      <c r="V737" s="72"/>
      <c r="W737" s="72"/>
      <c r="X737" s="72"/>
      <c r="Y737" s="72"/>
      <c r="Z737" s="72"/>
      <c r="AA737" s="72"/>
      <c r="AF737" s="72"/>
      <c r="AG737" s="72"/>
      <c r="AH737" s="72"/>
    </row>
    <row r="738" spans="2:34">
      <c r="B738" s="72" t="s">
        <v>1740</v>
      </c>
      <c r="C738" s="73" t="s">
        <v>1691</v>
      </c>
      <c r="N738" s="72" t="s">
        <v>1706</v>
      </c>
      <c r="P738" s="72"/>
      <c r="Q738" s="72"/>
      <c r="R738" s="72"/>
      <c r="S738" s="72"/>
      <c r="T738" s="72"/>
      <c r="U738" s="72"/>
      <c r="V738" s="72"/>
      <c r="W738" s="72"/>
      <c r="X738" s="72"/>
      <c r="Y738" s="72"/>
      <c r="Z738" s="72"/>
      <c r="AA738" s="72"/>
      <c r="AF738" s="72"/>
      <c r="AG738" s="72"/>
      <c r="AH738" s="72"/>
    </row>
    <row r="739" spans="2:34">
      <c r="B739" s="72" t="s">
        <v>1739</v>
      </c>
      <c r="C739" s="73" t="s">
        <v>1691</v>
      </c>
      <c r="N739" s="72" t="s">
        <v>1706</v>
      </c>
      <c r="P739" s="72"/>
      <c r="Q739" s="72"/>
      <c r="R739" s="72"/>
      <c r="S739" s="72"/>
      <c r="T739" s="72"/>
      <c r="U739" s="72"/>
      <c r="V739" s="72"/>
      <c r="W739" s="72"/>
      <c r="X739" s="72"/>
      <c r="Y739" s="72"/>
      <c r="Z739" s="72"/>
      <c r="AA739" s="72"/>
      <c r="AF739" s="72"/>
      <c r="AG739" s="72"/>
      <c r="AH739" s="72"/>
    </row>
    <row r="740" spans="2:34">
      <c r="B740" s="72" t="s">
        <v>1738</v>
      </c>
      <c r="C740" s="73" t="s">
        <v>1691</v>
      </c>
      <c r="N740" s="72" t="s">
        <v>1706</v>
      </c>
      <c r="P740" s="72"/>
      <c r="Q740" s="72"/>
      <c r="R740" s="72"/>
      <c r="S740" s="72"/>
      <c r="T740" s="72"/>
      <c r="U740" s="72"/>
      <c r="V740" s="72"/>
      <c r="W740" s="72"/>
      <c r="X740" s="72"/>
      <c r="Y740" s="72"/>
      <c r="Z740" s="72"/>
      <c r="AA740" s="72"/>
      <c r="AF740" s="72"/>
      <c r="AG740" s="72"/>
      <c r="AH740" s="72"/>
    </row>
    <row r="741" spans="2:34">
      <c r="B741" s="72" t="s">
        <v>1737</v>
      </c>
      <c r="C741" s="73" t="s">
        <v>1691</v>
      </c>
      <c r="N741" s="72" t="s">
        <v>1706</v>
      </c>
      <c r="P741" s="72"/>
      <c r="Q741" s="72"/>
      <c r="R741" s="72"/>
      <c r="S741" s="72"/>
      <c r="T741" s="72"/>
      <c r="U741" s="72"/>
      <c r="V741" s="72"/>
      <c r="W741" s="72"/>
      <c r="X741" s="72"/>
      <c r="Y741" s="72"/>
      <c r="Z741" s="72"/>
      <c r="AA741" s="72"/>
      <c r="AF741" s="72"/>
      <c r="AG741" s="72"/>
      <c r="AH741" s="72"/>
    </row>
    <row r="742" spans="2:34">
      <c r="B742" s="72" t="s">
        <v>1736</v>
      </c>
      <c r="C742" s="73" t="s">
        <v>1691</v>
      </c>
      <c r="N742" s="72" t="s">
        <v>1706</v>
      </c>
      <c r="P742" s="72"/>
      <c r="Q742" s="72"/>
      <c r="R742" s="72"/>
      <c r="S742" s="72"/>
      <c r="T742" s="72"/>
      <c r="U742" s="72"/>
      <c r="V742" s="72"/>
      <c r="W742" s="72"/>
      <c r="X742" s="72"/>
      <c r="Y742" s="72"/>
      <c r="Z742" s="72"/>
      <c r="AA742" s="72"/>
      <c r="AF742" s="72"/>
      <c r="AG742" s="72"/>
      <c r="AH742" s="72"/>
    </row>
    <row r="743" spans="2:34">
      <c r="B743" s="72" t="s">
        <v>1735</v>
      </c>
      <c r="C743" s="73" t="s">
        <v>1691</v>
      </c>
      <c r="N743" s="72" t="s">
        <v>1706</v>
      </c>
      <c r="P743" s="72"/>
      <c r="Q743" s="72"/>
      <c r="R743" s="72"/>
      <c r="S743" s="72"/>
      <c r="T743" s="72"/>
      <c r="U743" s="72"/>
      <c r="V743" s="72"/>
      <c r="W743" s="72"/>
      <c r="X743" s="72"/>
      <c r="Y743" s="72"/>
      <c r="Z743" s="72"/>
      <c r="AA743" s="72"/>
      <c r="AF743" s="72"/>
      <c r="AG743" s="72"/>
      <c r="AH743" s="72"/>
    </row>
    <row r="744" spans="2:34">
      <c r="B744" s="72" t="s">
        <v>1734</v>
      </c>
      <c r="C744" s="73" t="s">
        <v>1691</v>
      </c>
      <c r="N744" s="72" t="s">
        <v>1706</v>
      </c>
      <c r="P744" s="72"/>
      <c r="Q744" s="72"/>
      <c r="R744" s="72"/>
      <c r="S744" s="72"/>
      <c r="T744" s="72"/>
      <c r="U744" s="72"/>
      <c r="V744" s="72"/>
      <c r="W744" s="72"/>
      <c r="X744" s="72"/>
      <c r="Y744" s="72"/>
      <c r="Z744" s="72"/>
      <c r="AA744" s="72"/>
      <c r="AF744" s="72"/>
      <c r="AG744" s="72"/>
      <c r="AH744" s="72"/>
    </row>
    <row r="745" spans="2:34">
      <c r="B745" s="72" t="s">
        <v>1733</v>
      </c>
      <c r="C745" s="73" t="s">
        <v>1691</v>
      </c>
      <c r="N745" s="72" t="s">
        <v>1706</v>
      </c>
      <c r="P745" s="72"/>
      <c r="Q745" s="72"/>
      <c r="R745" s="72"/>
      <c r="S745" s="72"/>
      <c r="T745" s="72"/>
      <c r="U745" s="72"/>
      <c r="V745" s="72"/>
      <c r="W745" s="72"/>
      <c r="X745" s="72"/>
      <c r="Y745" s="72"/>
      <c r="Z745" s="72"/>
      <c r="AA745" s="72"/>
      <c r="AF745" s="72"/>
      <c r="AG745" s="72"/>
      <c r="AH745" s="72"/>
    </row>
    <row r="746" spans="2:34">
      <c r="B746" s="72" t="s">
        <v>1732</v>
      </c>
      <c r="C746" s="73" t="s">
        <v>1691</v>
      </c>
      <c r="N746" s="72" t="s">
        <v>1706</v>
      </c>
      <c r="P746" s="72"/>
      <c r="Q746" s="72"/>
      <c r="R746" s="72"/>
      <c r="S746" s="72"/>
      <c r="T746" s="72"/>
      <c r="U746" s="72"/>
      <c r="V746" s="72"/>
      <c r="W746" s="72"/>
      <c r="X746" s="72"/>
      <c r="Y746" s="72"/>
      <c r="Z746" s="72"/>
      <c r="AA746" s="72"/>
      <c r="AF746" s="72"/>
      <c r="AG746" s="72"/>
      <c r="AH746" s="72"/>
    </row>
    <row r="747" spans="2:34">
      <c r="B747" s="72" t="s">
        <v>1731</v>
      </c>
      <c r="C747" s="73" t="s">
        <v>1691</v>
      </c>
      <c r="N747" s="72" t="s">
        <v>1706</v>
      </c>
      <c r="P747" s="72"/>
      <c r="Q747" s="72"/>
      <c r="R747" s="72"/>
      <c r="S747" s="72"/>
      <c r="T747" s="72"/>
      <c r="U747" s="72"/>
      <c r="V747" s="72"/>
      <c r="W747" s="72"/>
      <c r="X747" s="72"/>
      <c r="Y747" s="72"/>
      <c r="Z747" s="72"/>
      <c r="AA747" s="72"/>
      <c r="AF747" s="72"/>
      <c r="AG747" s="72"/>
      <c r="AH747" s="72"/>
    </row>
    <row r="748" spans="2:34">
      <c r="B748" s="72" t="s">
        <v>1730</v>
      </c>
      <c r="C748" s="73" t="s">
        <v>1691</v>
      </c>
      <c r="N748" s="72" t="s">
        <v>1706</v>
      </c>
      <c r="P748" s="72"/>
      <c r="Q748" s="72"/>
      <c r="R748" s="72"/>
      <c r="S748" s="72"/>
      <c r="T748" s="72"/>
      <c r="U748" s="72"/>
      <c r="V748" s="72"/>
      <c r="W748" s="72"/>
      <c r="X748" s="72"/>
      <c r="Y748" s="72"/>
      <c r="Z748" s="72"/>
      <c r="AA748" s="72"/>
      <c r="AF748" s="72"/>
      <c r="AG748" s="72"/>
      <c r="AH748" s="72"/>
    </row>
    <row r="749" spans="2:34">
      <c r="B749" s="72" t="s">
        <v>1729</v>
      </c>
      <c r="C749" s="73" t="s">
        <v>1691</v>
      </c>
      <c r="N749" s="72" t="s">
        <v>1706</v>
      </c>
      <c r="P749" s="72"/>
      <c r="Q749" s="72"/>
      <c r="R749" s="72"/>
      <c r="S749" s="72"/>
      <c r="T749" s="72"/>
      <c r="U749" s="72"/>
      <c r="V749" s="72"/>
      <c r="W749" s="72"/>
      <c r="X749" s="72"/>
      <c r="Y749" s="72"/>
      <c r="Z749" s="72"/>
      <c r="AA749" s="72"/>
      <c r="AF749" s="72"/>
      <c r="AG749" s="72"/>
      <c r="AH749" s="72"/>
    </row>
    <row r="750" spans="2:34">
      <c r="B750" s="72" t="s">
        <v>1728</v>
      </c>
      <c r="C750" s="73" t="s">
        <v>1691</v>
      </c>
      <c r="N750" s="72" t="s">
        <v>1706</v>
      </c>
      <c r="P750" s="72"/>
      <c r="Q750" s="72"/>
      <c r="R750" s="72"/>
      <c r="S750" s="72"/>
      <c r="T750" s="72"/>
      <c r="U750" s="72"/>
      <c r="V750" s="72"/>
      <c r="W750" s="72"/>
      <c r="X750" s="72"/>
      <c r="Y750" s="72"/>
      <c r="Z750" s="72"/>
      <c r="AA750" s="72"/>
      <c r="AF750" s="72"/>
      <c r="AG750" s="72"/>
      <c r="AH750" s="72"/>
    </row>
    <row r="751" spans="2:34">
      <c r="B751" s="72" t="s">
        <v>1727</v>
      </c>
      <c r="C751" s="73" t="s">
        <v>1691</v>
      </c>
      <c r="N751" s="72" t="s">
        <v>1706</v>
      </c>
      <c r="P751" s="72"/>
      <c r="Q751" s="72"/>
      <c r="R751" s="72"/>
      <c r="S751" s="72"/>
      <c r="T751" s="72"/>
      <c r="U751" s="72"/>
      <c r="V751" s="72"/>
      <c r="W751" s="72"/>
      <c r="X751" s="72"/>
      <c r="Y751" s="72"/>
      <c r="Z751" s="72"/>
      <c r="AA751" s="72"/>
      <c r="AF751" s="72"/>
      <c r="AG751" s="72"/>
      <c r="AH751" s="72"/>
    </row>
    <row r="752" spans="2:34">
      <c r="B752" s="72" t="s">
        <v>1726</v>
      </c>
      <c r="C752" s="73" t="s">
        <v>1691</v>
      </c>
      <c r="N752" s="72" t="s">
        <v>1706</v>
      </c>
      <c r="P752" s="72"/>
      <c r="Q752" s="72"/>
      <c r="R752" s="72"/>
      <c r="S752" s="72"/>
      <c r="T752" s="72"/>
      <c r="U752" s="72"/>
      <c r="V752" s="72"/>
      <c r="W752" s="72"/>
      <c r="X752" s="72"/>
      <c r="Y752" s="72"/>
      <c r="Z752" s="72"/>
      <c r="AA752" s="72"/>
      <c r="AF752" s="72"/>
      <c r="AG752" s="72"/>
      <c r="AH752" s="72"/>
    </row>
    <row r="753" spans="2:34">
      <c r="B753" s="72" t="s">
        <v>1725</v>
      </c>
      <c r="C753" s="73" t="s">
        <v>1691</v>
      </c>
      <c r="N753" s="72" t="s">
        <v>1706</v>
      </c>
      <c r="P753" s="72"/>
      <c r="Q753" s="72"/>
      <c r="R753" s="72"/>
      <c r="S753" s="72"/>
      <c r="T753" s="72"/>
      <c r="U753" s="72"/>
      <c r="V753" s="72"/>
      <c r="W753" s="72"/>
      <c r="X753" s="72"/>
      <c r="Y753" s="72"/>
      <c r="Z753" s="72"/>
      <c r="AA753" s="72"/>
      <c r="AF753" s="72"/>
      <c r="AG753" s="72"/>
      <c r="AH753" s="72"/>
    </row>
    <row r="754" spans="2:34">
      <c r="B754" s="72" t="s">
        <v>1724</v>
      </c>
      <c r="C754" s="73" t="s">
        <v>1691</v>
      </c>
      <c r="N754" s="72" t="s">
        <v>1706</v>
      </c>
      <c r="P754" s="72"/>
      <c r="Q754" s="72"/>
      <c r="R754" s="72"/>
      <c r="S754" s="72"/>
      <c r="T754" s="72"/>
      <c r="U754" s="72"/>
      <c r="V754" s="72"/>
      <c r="W754" s="72"/>
      <c r="X754" s="72"/>
      <c r="Y754" s="72"/>
      <c r="Z754" s="72"/>
      <c r="AA754" s="72"/>
      <c r="AF754" s="72"/>
      <c r="AG754" s="72"/>
      <c r="AH754" s="72"/>
    </row>
    <row r="755" spans="2:34">
      <c r="B755" s="72" t="s">
        <v>1723</v>
      </c>
      <c r="C755" s="73" t="s">
        <v>1691</v>
      </c>
      <c r="N755" s="72" t="s">
        <v>1706</v>
      </c>
      <c r="P755" s="72"/>
      <c r="Q755" s="72"/>
      <c r="R755" s="72"/>
      <c r="S755" s="72"/>
      <c r="T755" s="72"/>
      <c r="U755" s="72"/>
      <c r="V755" s="72"/>
      <c r="W755" s="72"/>
      <c r="X755" s="72"/>
      <c r="Y755" s="72"/>
      <c r="Z755" s="72"/>
      <c r="AA755" s="72"/>
      <c r="AF755" s="72"/>
      <c r="AG755" s="72"/>
      <c r="AH755" s="72"/>
    </row>
    <row r="756" spans="2:34">
      <c r="B756" s="72" t="s">
        <v>1722</v>
      </c>
      <c r="C756" s="73" t="s">
        <v>1691</v>
      </c>
      <c r="N756" s="72" t="s">
        <v>1706</v>
      </c>
      <c r="P756" s="72"/>
      <c r="Q756" s="72"/>
      <c r="R756" s="72"/>
      <c r="S756" s="72"/>
      <c r="T756" s="72"/>
      <c r="U756" s="72"/>
      <c r="V756" s="72"/>
      <c r="W756" s="72"/>
      <c r="X756" s="72"/>
      <c r="Y756" s="72"/>
      <c r="Z756" s="72"/>
      <c r="AA756" s="72"/>
      <c r="AF756" s="72"/>
      <c r="AG756" s="72"/>
      <c r="AH756" s="72"/>
    </row>
    <row r="757" spans="2:34">
      <c r="B757" s="72" t="s">
        <v>1721</v>
      </c>
      <c r="C757" s="73" t="s">
        <v>1691</v>
      </c>
      <c r="N757" s="72" t="s">
        <v>1706</v>
      </c>
      <c r="P757" s="72"/>
      <c r="Q757" s="72"/>
      <c r="R757" s="72"/>
      <c r="S757" s="72"/>
      <c r="T757" s="72"/>
      <c r="U757" s="72"/>
      <c r="V757" s="72"/>
      <c r="W757" s="72"/>
      <c r="X757" s="72"/>
      <c r="Y757" s="72"/>
      <c r="Z757" s="72"/>
      <c r="AA757" s="72"/>
      <c r="AF757" s="72"/>
      <c r="AG757" s="72"/>
      <c r="AH757" s="72"/>
    </row>
    <row r="758" spans="2:34">
      <c r="B758" s="72" t="s">
        <v>1720</v>
      </c>
      <c r="C758" s="73" t="s">
        <v>1691</v>
      </c>
      <c r="N758" s="72" t="s">
        <v>1706</v>
      </c>
      <c r="P758" s="72"/>
      <c r="Q758" s="72"/>
      <c r="R758" s="72"/>
      <c r="S758" s="72"/>
      <c r="T758" s="72"/>
      <c r="U758" s="72"/>
      <c r="V758" s="72"/>
      <c r="W758" s="72"/>
      <c r="X758" s="72"/>
      <c r="Y758" s="72"/>
      <c r="Z758" s="72"/>
      <c r="AA758" s="72"/>
      <c r="AF758" s="72"/>
      <c r="AG758" s="72"/>
      <c r="AH758" s="72"/>
    </row>
    <row r="759" spans="2:34">
      <c r="B759" s="72" t="s">
        <v>1719</v>
      </c>
      <c r="C759" s="73" t="s">
        <v>1691</v>
      </c>
      <c r="N759" s="72" t="s">
        <v>1706</v>
      </c>
      <c r="P759" s="72"/>
      <c r="Q759" s="72"/>
      <c r="R759" s="72"/>
      <c r="S759" s="72"/>
      <c r="T759" s="72"/>
      <c r="U759" s="72"/>
      <c r="V759" s="72"/>
      <c r="W759" s="72"/>
      <c r="X759" s="72"/>
      <c r="Y759" s="72"/>
      <c r="Z759" s="72"/>
      <c r="AA759" s="72"/>
      <c r="AF759" s="72"/>
      <c r="AG759" s="72"/>
      <c r="AH759" s="72"/>
    </row>
    <row r="760" spans="2:34">
      <c r="B760" s="72" t="s">
        <v>1718</v>
      </c>
      <c r="C760" s="73" t="s">
        <v>1691</v>
      </c>
      <c r="N760" s="72" t="s">
        <v>1706</v>
      </c>
      <c r="P760" s="72"/>
      <c r="Q760" s="72"/>
      <c r="R760" s="72"/>
      <c r="S760" s="72"/>
      <c r="T760" s="72"/>
      <c r="U760" s="72"/>
      <c r="V760" s="72"/>
      <c r="W760" s="72"/>
      <c r="X760" s="72"/>
      <c r="Y760" s="72"/>
      <c r="Z760" s="72"/>
      <c r="AA760" s="72"/>
      <c r="AF760" s="72"/>
      <c r="AG760" s="72"/>
      <c r="AH760" s="72"/>
    </row>
    <row r="761" spans="2:34">
      <c r="B761" s="72" t="s">
        <v>1717</v>
      </c>
      <c r="C761" s="73" t="s">
        <v>1691</v>
      </c>
      <c r="N761" s="72" t="s">
        <v>1706</v>
      </c>
      <c r="P761" s="72"/>
      <c r="Q761" s="72"/>
      <c r="R761" s="72"/>
      <c r="S761" s="72"/>
      <c r="T761" s="72"/>
      <c r="U761" s="72"/>
      <c r="V761" s="72"/>
      <c r="W761" s="72"/>
      <c r="X761" s="72"/>
      <c r="Y761" s="72"/>
      <c r="Z761" s="72"/>
      <c r="AA761" s="72"/>
      <c r="AF761" s="72"/>
      <c r="AG761" s="72"/>
      <c r="AH761" s="72"/>
    </row>
    <row r="762" spans="2:34">
      <c r="B762" s="72" t="s">
        <v>1716</v>
      </c>
      <c r="C762" s="73" t="s">
        <v>1691</v>
      </c>
      <c r="N762" s="72" t="s">
        <v>1706</v>
      </c>
      <c r="P762" s="72"/>
      <c r="Q762" s="72"/>
      <c r="R762" s="72"/>
      <c r="S762" s="72"/>
      <c r="T762" s="72"/>
      <c r="U762" s="72"/>
      <c r="V762" s="72"/>
      <c r="W762" s="72"/>
      <c r="X762" s="72"/>
      <c r="Y762" s="72"/>
      <c r="Z762" s="72"/>
      <c r="AA762" s="72"/>
      <c r="AF762" s="72"/>
      <c r="AG762" s="72"/>
      <c r="AH762" s="72"/>
    </row>
    <row r="763" spans="2:34">
      <c r="B763" s="72" t="s">
        <v>1715</v>
      </c>
      <c r="C763" s="73" t="s">
        <v>1691</v>
      </c>
      <c r="N763" s="72" t="s">
        <v>1706</v>
      </c>
      <c r="P763" s="72"/>
      <c r="Q763" s="72"/>
      <c r="R763" s="72"/>
      <c r="S763" s="72"/>
      <c r="T763" s="72"/>
      <c r="U763" s="72"/>
      <c r="V763" s="72"/>
      <c r="W763" s="72"/>
      <c r="X763" s="72"/>
      <c r="Y763" s="72"/>
      <c r="Z763" s="72"/>
      <c r="AA763" s="72"/>
      <c r="AF763" s="72"/>
      <c r="AG763" s="72"/>
      <c r="AH763" s="72"/>
    </row>
    <row r="764" spans="2:34">
      <c r="B764" s="72" t="s">
        <v>1714</v>
      </c>
      <c r="C764" s="73" t="s">
        <v>1691</v>
      </c>
      <c r="N764" s="72" t="s">
        <v>1706</v>
      </c>
      <c r="P764" s="72"/>
      <c r="Q764" s="72"/>
      <c r="R764" s="72"/>
      <c r="S764" s="72"/>
      <c r="T764" s="72"/>
      <c r="U764" s="72"/>
      <c r="V764" s="72"/>
      <c r="W764" s="72"/>
      <c r="X764" s="72"/>
      <c r="Y764" s="72"/>
      <c r="Z764" s="72"/>
      <c r="AA764" s="72"/>
      <c r="AF764" s="72"/>
      <c r="AG764" s="72"/>
      <c r="AH764" s="72"/>
    </row>
    <row r="765" spans="2:34">
      <c r="B765" s="72" t="s">
        <v>1713</v>
      </c>
      <c r="C765" s="73" t="s">
        <v>1691</v>
      </c>
      <c r="N765" s="72" t="s">
        <v>1706</v>
      </c>
      <c r="P765" s="72"/>
      <c r="Q765" s="72"/>
      <c r="R765" s="72"/>
      <c r="S765" s="72"/>
      <c r="T765" s="72"/>
      <c r="U765" s="72"/>
      <c r="V765" s="72"/>
      <c r="W765" s="72"/>
      <c r="X765" s="72"/>
      <c r="Y765" s="72"/>
      <c r="Z765" s="72"/>
      <c r="AA765" s="72"/>
      <c r="AF765" s="72"/>
      <c r="AG765" s="72"/>
      <c r="AH765" s="72"/>
    </row>
    <row r="766" spans="2:34">
      <c r="B766" s="72" t="s">
        <v>1432</v>
      </c>
      <c r="C766" s="73" t="s">
        <v>1691</v>
      </c>
      <c r="N766" s="72" t="s">
        <v>1706</v>
      </c>
      <c r="P766" s="72"/>
      <c r="Q766" s="72"/>
      <c r="R766" s="72"/>
      <c r="S766" s="72"/>
      <c r="T766" s="72"/>
      <c r="U766" s="72"/>
      <c r="V766" s="72"/>
      <c r="W766" s="72"/>
      <c r="X766" s="72"/>
      <c r="Y766" s="72"/>
      <c r="Z766" s="72"/>
      <c r="AA766" s="72"/>
      <c r="AF766" s="72"/>
      <c r="AG766" s="72"/>
      <c r="AH766" s="72"/>
    </row>
    <row r="767" spans="2:34">
      <c r="B767" s="72" t="s">
        <v>1712</v>
      </c>
      <c r="C767" s="73" t="s">
        <v>1691</v>
      </c>
      <c r="N767" s="72" t="s">
        <v>1706</v>
      </c>
      <c r="P767" s="72"/>
      <c r="Q767" s="72"/>
      <c r="R767" s="72"/>
      <c r="S767" s="72"/>
      <c r="T767" s="72"/>
      <c r="U767" s="72"/>
      <c r="V767" s="72"/>
      <c r="W767" s="72"/>
      <c r="X767" s="72"/>
      <c r="Y767" s="72"/>
      <c r="Z767" s="72"/>
      <c r="AA767" s="72"/>
      <c r="AF767" s="72"/>
      <c r="AG767" s="72"/>
      <c r="AH767" s="72"/>
    </row>
    <row r="768" spans="2:34">
      <c r="B768" s="72" t="s">
        <v>1711</v>
      </c>
      <c r="C768" s="73" t="s">
        <v>1691</v>
      </c>
      <c r="N768" s="72" t="s">
        <v>1706</v>
      </c>
      <c r="P768" s="72"/>
      <c r="Q768" s="72"/>
      <c r="R768" s="72"/>
      <c r="S768" s="72"/>
      <c r="T768" s="72"/>
      <c r="U768" s="72"/>
      <c r="V768" s="72"/>
      <c r="W768" s="72"/>
      <c r="X768" s="72"/>
      <c r="Y768" s="72"/>
      <c r="Z768" s="72"/>
      <c r="AA768" s="72"/>
      <c r="AF768" s="72"/>
      <c r="AG768" s="72"/>
      <c r="AH768" s="72"/>
    </row>
    <row r="769" spans="2:34">
      <c r="B769" s="72" t="s">
        <v>1710</v>
      </c>
      <c r="C769" s="73" t="s">
        <v>1691</v>
      </c>
      <c r="N769" s="72" t="s">
        <v>1706</v>
      </c>
      <c r="P769" s="72"/>
      <c r="Q769" s="72"/>
      <c r="R769" s="72"/>
      <c r="S769" s="72"/>
      <c r="T769" s="72"/>
      <c r="U769" s="72"/>
      <c r="V769" s="72"/>
      <c r="W769" s="72"/>
      <c r="X769" s="72"/>
      <c r="Y769" s="72"/>
      <c r="Z769" s="72"/>
      <c r="AA769" s="72"/>
      <c r="AF769" s="72"/>
      <c r="AG769" s="72"/>
      <c r="AH769" s="72"/>
    </row>
    <row r="770" spans="2:34">
      <c r="B770" s="72" t="s">
        <v>1709</v>
      </c>
      <c r="C770" s="73" t="s">
        <v>1691</v>
      </c>
      <c r="N770" s="72" t="s">
        <v>1706</v>
      </c>
      <c r="P770" s="72"/>
      <c r="Q770" s="72"/>
      <c r="R770" s="72"/>
      <c r="S770" s="72"/>
      <c r="T770" s="72"/>
      <c r="U770" s="72"/>
      <c r="V770" s="72"/>
      <c r="W770" s="72"/>
      <c r="X770" s="72"/>
      <c r="Y770" s="72"/>
      <c r="Z770" s="72"/>
      <c r="AA770" s="72"/>
      <c r="AF770" s="72"/>
      <c r="AG770" s="72"/>
      <c r="AH770" s="72"/>
    </row>
    <row r="771" spans="2:34">
      <c r="B771" s="72" t="s">
        <v>1708</v>
      </c>
      <c r="C771" s="73" t="s">
        <v>1691</v>
      </c>
      <c r="N771" s="72" t="s">
        <v>1706</v>
      </c>
      <c r="P771" s="72"/>
      <c r="Q771" s="72"/>
      <c r="R771" s="72"/>
      <c r="S771" s="72"/>
      <c r="T771" s="72"/>
      <c r="U771" s="72"/>
      <c r="V771" s="72"/>
      <c r="W771" s="72"/>
      <c r="X771" s="72"/>
      <c r="Y771" s="72"/>
      <c r="Z771" s="72"/>
      <c r="AA771" s="72"/>
      <c r="AF771" s="72"/>
      <c r="AG771" s="72"/>
      <c r="AH771" s="72"/>
    </row>
    <row r="772" spans="2:34">
      <c r="B772" s="72" t="s">
        <v>1707</v>
      </c>
      <c r="C772" s="73" t="s">
        <v>1691</v>
      </c>
      <c r="N772" s="72" t="s">
        <v>1706</v>
      </c>
      <c r="P772" s="72"/>
      <c r="Q772" s="72"/>
      <c r="R772" s="72"/>
      <c r="S772" s="72"/>
      <c r="T772" s="72"/>
      <c r="U772" s="72"/>
      <c r="V772" s="72"/>
      <c r="W772" s="72"/>
      <c r="X772" s="72"/>
      <c r="Y772" s="72"/>
      <c r="Z772" s="72"/>
      <c r="AA772" s="72"/>
      <c r="AF772" s="72"/>
      <c r="AG772" s="72"/>
      <c r="AH772" s="72"/>
    </row>
    <row r="773" spans="2:34">
      <c r="B773" s="72" t="s">
        <v>1705</v>
      </c>
      <c r="C773" s="73" t="s">
        <v>1691</v>
      </c>
      <c r="P773" s="72"/>
      <c r="Q773" s="72"/>
      <c r="R773" s="72"/>
      <c r="S773" s="72"/>
      <c r="T773" s="72"/>
      <c r="U773" s="72"/>
      <c r="V773" s="72"/>
      <c r="W773" s="72"/>
      <c r="X773" s="72"/>
      <c r="Y773" s="72"/>
      <c r="Z773" s="72"/>
      <c r="AA773" s="72"/>
      <c r="AF773" s="72"/>
      <c r="AG773" s="72"/>
      <c r="AH773" s="72"/>
    </row>
    <row r="774" spans="2:34">
      <c r="B774" s="72" t="s">
        <v>1704</v>
      </c>
      <c r="C774" s="73" t="s">
        <v>1691</v>
      </c>
      <c r="P774" s="72"/>
      <c r="Q774" s="72"/>
      <c r="R774" s="72"/>
      <c r="S774" s="72"/>
      <c r="T774" s="72"/>
      <c r="U774" s="72"/>
      <c r="V774" s="72"/>
      <c r="W774" s="72"/>
      <c r="X774" s="72"/>
      <c r="Y774" s="72"/>
      <c r="Z774" s="72"/>
      <c r="AA774" s="72"/>
      <c r="AF774" s="72"/>
      <c r="AG774" s="72"/>
      <c r="AH774" s="72"/>
    </row>
    <row r="775" spans="2:34">
      <c r="B775" s="72" t="s">
        <v>1703</v>
      </c>
      <c r="C775" s="73" t="s">
        <v>1691</v>
      </c>
      <c r="P775" s="72"/>
      <c r="Q775" s="72"/>
      <c r="R775" s="72"/>
      <c r="S775" s="72"/>
      <c r="T775" s="72"/>
      <c r="U775" s="72"/>
      <c r="V775" s="72"/>
      <c r="W775" s="72"/>
      <c r="X775" s="72"/>
      <c r="Y775" s="72"/>
      <c r="Z775" s="72"/>
      <c r="AA775" s="72"/>
      <c r="AF775" s="72"/>
      <c r="AG775" s="72"/>
      <c r="AH775" s="72"/>
    </row>
    <row r="776" spans="2:34">
      <c r="B776" s="72" t="s">
        <v>1702</v>
      </c>
      <c r="C776" s="73" t="s">
        <v>1691</v>
      </c>
      <c r="P776" s="72"/>
      <c r="Q776" s="72"/>
      <c r="R776" s="72"/>
      <c r="S776" s="72"/>
      <c r="T776" s="72"/>
      <c r="U776" s="72"/>
      <c r="V776" s="72"/>
      <c r="W776" s="72"/>
      <c r="X776" s="72"/>
      <c r="Y776" s="72"/>
      <c r="Z776" s="72"/>
      <c r="AA776" s="72"/>
      <c r="AF776" s="72"/>
      <c r="AG776" s="72"/>
      <c r="AH776" s="72"/>
    </row>
    <row r="777" spans="2:34">
      <c r="B777" s="72" t="s">
        <v>1701</v>
      </c>
      <c r="C777" s="73" t="s">
        <v>1691</v>
      </c>
      <c r="P777" s="72"/>
      <c r="Q777" s="72"/>
      <c r="R777" s="72"/>
      <c r="S777" s="72"/>
      <c r="T777" s="72"/>
      <c r="U777" s="72"/>
      <c r="V777" s="72"/>
      <c r="W777" s="72"/>
      <c r="X777" s="72"/>
      <c r="Y777" s="72"/>
      <c r="Z777" s="72"/>
      <c r="AA777" s="72"/>
      <c r="AF777" s="72"/>
      <c r="AG777" s="72"/>
      <c r="AH777" s="72"/>
    </row>
    <row r="778" spans="2:34">
      <c r="B778" s="72" t="s">
        <v>1700</v>
      </c>
      <c r="C778" s="73" t="s">
        <v>1691</v>
      </c>
      <c r="P778" s="72"/>
      <c r="Q778" s="72"/>
      <c r="R778" s="72"/>
      <c r="S778" s="72"/>
      <c r="T778" s="72"/>
      <c r="U778" s="72"/>
      <c r="V778" s="72"/>
      <c r="W778" s="72"/>
      <c r="X778" s="72"/>
      <c r="Y778" s="72"/>
      <c r="Z778" s="72"/>
      <c r="AA778" s="72"/>
      <c r="AF778" s="72"/>
      <c r="AG778" s="72"/>
      <c r="AH778" s="72"/>
    </row>
    <row r="779" spans="2:34">
      <c r="B779" s="72" t="s">
        <v>1699</v>
      </c>
      <c r="C779" s="73" t="s">
        <v>1691</v>
      </c>
      <c r="D779" s="72"/>
      <c r="F779" s="72"/>
      <c r="G779" s="72"/>
      <c r="H779" s="72"/>
      <c r="P779" s="72"/>
      <c r="Q779" s="72"/>
      <c r="R779" s="72"/>
      <c r="S779" s="72"/>
      <c r="T779" s="72"/>
      <c r="U779" s="72"/>
      <c r="V779" s="72"/>
      <c r="W779" s="72"/>
      <c r="X779" s="72"/>
      <c r="Y779" s="72"/>
      <c r="Z779" s="72"/>
      <c r="AA779" s="72"/>
      <c r="AF779" s="72"/>
      <c r="AG779" s="72"/>
      <c r="AH779" s="72"/>
    </row>
    <row r="780" spans="2:34">
      <c r="B780" s="72" t="s">
        <v>1698</v>
      </c>
      <c r="C780" s="73" t="s">
        <v>1691</v>
      </c>
      <c r="D780" s="72"/>
      <c r="F780" s="72"/>
      <c r="G780" s="72"/>
      <c r="H780" s="72"/>
      <c r="P780" s="72"/>
      <c r="Q780" s="72"/>
      <c r="R780" s="72"/>
      <c r="S780" s="72"/>
      <c r="T780" s="72"/>
      <c r="U780" s="72"/>
      <c r="V780" s="72"/>
      <c r="W780" s="72"/>
      <c r="X780" s="72"/>
      <c r="Y780" s="72"/>
      <c r="Z780" s="72"/>
      <c r="AA780" s="72"/>
      <c r="AF780" s="72"/>
      <c r="AG780" s="72"/>
      <c r="AH780" s="72"/>
    </row>
    <row r="781" spans="2:34">
      <c r="B781" s="72" t="s">
        <v>1697</v>
      </c>
      <c r="C781" s="73" t="s">
        <v>1691</v>
      </c>
      <c r="D781" s="72"/>
      <c r="F781" s="72"/>
      <c r="G781" s="72"/>
      <c r="H781" s="72"/>
      <c r="P781" s="72"/>
      <c r="Q781" s="72"/>
      <c r="R781" s="72"/>
      <c r="S781" s="72"/>
      <c r="T781" s="72"/>
      <c r="U781" s="72"/>
      <c r="V781" s="72"/>
      <c r="W781" s="72"/>
      <c r="X781" s="72"/>
      <c r="Y781" s="72"/>
      <c r="Z781" s="72"/>
      <c r="AA781" s="72"/>
      <c r="AF781" s="72"/>
      <c r="AG781" s="72"/>
      <c r="AH781" s="72"/>
    </row>
    <row r="782" spans="2:34">
      <c r="B782" s="72" t="s">
        <v>1696</v>
      </c>
      <c r="C782" s="73" t="s">
        <v>1691</v>
      </c>
      <c r="D782" s="72"/>
      <c r="F782" s="72"/>
      <c r="G782" s="72"/>
      <c r="H782" s="72"/>
      <c r="P782" s="72"/>
      <c r="Q782" s="72"/>
      <c r="R782" s="72"/>
      <c r="S782" s="72"/>
      <c r="T782" s="72"/>
      <c r="U782" s="72"/>
      <c r="V782" s="72"/>
      <c r="W782" s="72"/>
      <c r="X782" s="72"/>
      <c r="Y782" s="72"/>
      <c r="Z782" s="72"/>
      <c r="AA782" s="72"/>
      <c r="AF782" s="72"/>
      <c r="AG782" s="72"/>
      <c r="AH782" s="72"/>
    </row>
    <row r="783" spans="2:34">
      <c r="B783" s="72" t="s">
        <v>1695</v>
      </c>
      <c r="C783" s="73" t="s">
        <v>1691</v>
      </c>
      <c r="D783" s="72"/>
      <c r="F783" s="72"/>
      <c r="G783" s="72"/>
      <c r="H783" s="72"/>
      <c r="P783" s="72"/>
      <c r="Q783" s="72"/>
      <c r="R783" s="72"/>
      <c r="S783" s="72"/>
      <c r="T783" s="72"/>
      <c r="U783" s="72"/>
      <c r="V783" s="72"/>
      <c r="W783" s="72"/>
      <c r="X783" s="72"/>
      <c r="Y783" s="72"/>
      <c r="Z783" s="72"/>
      <c r="AA783" s="72"/>
      <c r="AF783" s="72"/>
      <c r="AG783" s="72"/>
      <c r="AH783" s="72"/>
    </row>
    <row r="784" spans="2:34">
      <c r="B784" s="72" t="s">
        <v>1694</v>
      </c>
      <c r="C784" s="73" t="s">
        <v>1691</v>
      </c>
      <c r="D784" s="72"/>
      <c r="F784" s="72"/>
      <c r="G784" s="72"/>
      <c r="H784" s="72"/>
      <c r="P784" s="72"/>
      <c r="Q784" s="72"/>
      <c r="R784" s="72"/>
      <c r="S784" s="72"/>
      <c r="T784" s="72"/>
      <c r="U784" s="72"/>
      <c r="V784" s="72"/>
      <c r="W784" s="72"/>
      <c r="X784" s="72"/>
      <c r="Y784" s="72"/>
      <c r="Z784" s="72"/>
      <c r="AA784" s="72"/>
      <c r="AF784" s="72"/>
      <c r="AG784" s="72"/>
      <c r="AH784" s="72"/>
    </row>
    <row r="785" spans="2:34">
      <c r="B785" s="72" t="s">
        <v>1693</v>
      </c>
      <c r="C785" s="73" t="s">
        <v>1691</v>
      </c>
      <c r="D785" s="72"/>
      <c r="F785" s="72"/>
      <c r="G785" s="72"/>
      <c r="H785" s="72"/>
      <c r="P785" s="72"/>
      <c r="Q785" s="72"/>
      <c r="R785" s="72"/>
      <c r="S785" s="72"/>
      <c r="T785" s="72"/>
      <c r="U785" s="72"/>
      <c r="V785" s="72"/>
      <c r="W785" s="72"/>
      <c r="X785" s="72"/>
      <c r="Y785" s="72"/>
      <c r="Z785" s="72"/>
      <c r="AA785" s="72"/>
      <c r="AF785" s="72"/>
      <c r="AG785" s="72"/>
      <c r="AH785" s="72"/>
    </row>
    <row r="786" spans="2:34">
      <c r="B786" s="72" t="s">
        <v>1692</v>
      </c>
      <c r="C786" s="73" t="s">
        <v>1691</v>
      </c>
      <c r="D786" s="72"/>
      <c r="F786" s="72"/>
      <c r="G786" s="72"/>
      <c r="H786" s="72"/>
      <c r="P786" s="72"/>
      <c r="Q786" s="72"/>
      <c r="R786" s="72"/>
      <c r="S786" s="72"/>
      <c r="T786" s="72"/>
      <c r="U786" s="72"/>
      <c r="V786" s="72"/>
      <c r="W786" s="72"/>
      <c r="X786" s="72"/>
      <c r="Y786" s="72"/>
      <c r="Z786" s="72"/>
      <c r="AA786" s="72"/>
      <c r="AE786" s="396" t="s">
        <v>9770</v>
      </c>
      <c r="AF786" s="72"/>
      <c r="AG786" s="72"/>
      <c r="AH786" s="72"/>
    </row>
    <row r="787" spans="2:34">
      <c r="B787" s="396" t="s">
        <v>9771</v>
      </c>
      <c r="D787" s="72"/>
      <c r="F787" s="72"/>
      <c r="G787" s="72"/>
      <c r="H787" s="72"/>
      <c r="P787" s="72"/>
      <c r="Q787" s="72"/>
      <c r="R787" s="72"/>
      <c r="S787" s="72"/>
      <c r="T787" s="72"/>
      <c r="U787" s="72"/>
      <c r="V787" s="72"/>
      <c r="W787" s="72"/>
      <c r="X787" s="72"/>
      <c r="Y787" s="72"/>
      <c r="Z787" s="72"/>
      <c r="AA787" s="72"/>
      <c r="AE787" s="396" t="s">
        <v>9772</v>
      </c>
      <c r="AF787" s="72"/>
      <c r="AG787" s="72"/>
      <c r="AH787" s="72"/>
    </row>
    <row r="788" spans="2:34">
      <c r="B788" s="72" t="s">
        <v>1690</v>
      </c>
      <c r="D788" s="72"/>
      <c r="F788" s="72"/>
      <c r="G788" s="72"/>
      <c r="H788" s="72"/>
      <c r="P788" s="72"/>
      <c r="Q788" s="72"/>
      <c r="R788" s="72"/>
      <c r="S788" s="72"/>
      <c r="T788" s="72"/>
      <c r="U788" s="72"/>
      <c r="V788" s="72"/>
      <c r="W788" s="72"/>
      <c r="X788" s="72"/>
      <c r="Y788" s="72"/>
      <c r="Z788" s="72"/>
      <c r="AA788" s="72"/>
      <c r="AF788" s="72"/>
      <c r="AG788" s="72"/>
      <c r="AH788" s="72"/>
    </row>
    <row r="789" spans="2:34">
      <c r="B789" s="72" t="s">
        <v>1689</v>
      </c>
      <c r="D789" s="72"/>
      <c r="F789" s="72"/>
      <c r="G789" s="72"/>
      <c r="H789" s="72"/>
      <c r="P789" s="72"/>
      <c r="Q789" s="72"/>
      <c r="R789" s="72"/>
      <c r="S789" s="72"/>
      <c r="T789" s="72"/>
      <c r="U789" s="72"/>
      <c r="V789" s="72"/>
      <c r="W789" s="72"/>
      <c r="X789" s="72"/>
      <c r="Y789" s="72"/>
      <c r="Z789" s="72"/>
      <c r="AA789" s="72"/>
      <c r="AF789" s="72"/>
      <c r="AG789" s="72"/>
      <c r="AH789" s="72"/>
    </row>
    <row r="790" spans="2:34">
      <c r="B790" s="72" t="s">
        <v>1688</v>
      </c>
      <c r="D790" s="72"/>
      <c r="F790" s="72"/>
      <c r="G790" s="72"/>
      <c r="H790" s="72"/>
      <c r="P790" s="72"/>
      <c r="Q790" s="72"/>
      <c r="R790" s="72"/>
      <c r="S790" s="72"/>
      <c r="T790" s="72"/>
      <c r="U790" s="72"/>
      <c r="V790" s="72"/>
      <c r="W790" s="72"/>
      <c r="X790" s="72"/>
      <c r="Y790" s="72"/>
      <c r="Z790" s="72"/>
      <c r="AA790" s="72"/>
      <c r="AF790" s="72"/>
      <c r="AG790" s="72"/>
      <c r="AH790" s="72"/>
    </row>
    <row r="791" spans="2:34">
      <c r="B791" s="72" t="s">
        <v>1687</v>
      </c>
      <c r="D791" s="72"/>
      <c r="F791" s="72"/>
      <c r="G791" s="72"/>
      <c r="H791" s="72"/>
      <c r="P791" s="72"/>
      <c r="Q791" s="72"/>
      <c r="R791" s="72"/>
      <c r="S791" s="72"/>
      <c r="T791" s="72"/>
      <c r="U791" s="72"/>
      <c r="V791" s="72"/>
      <c r="W791" s="72"/>
      <c r="X791" s="72"/>
      <c r="Y791" s="72"/>
      <c r="Z791" s="72"/>
      <c r="AA791" s="72"/>
      <c r="AF791" s="72"/>
      <c r="AG791" s="72"/>
      <c r="AH791" s="72"/>
    </row>
    <row r="792" spans="2:34">
      <c r="B792" s="72" t="s">
        <v>1686</v>
      </c>
      <c r="D792" s="72"/>
      <c r="F792" s="72"/>
      <c r="G792" s="72"/>
      <c r="H792" s="72"/>
      <c r="P792" s="72"/>
      <c r="Q792" s="72"/>
      <c r="R792" s="72"/>
      <c r="S792" s="72"/>
      <c r="T792" s="72"/>
      <c r="U792" s="72"/>
      <c r="V792" s="72"/>
      <c r="W792" s="72"/>
      <c r="X792" s="72"/>
      <c r="Y792" s="72"/>
      <c r="Z792" s="72"/>
      <c r="AA792" s="72"/>
      <c r="AF792" s="72"/>
      <c r="AG792" s="72"/>
      <c r="AH792" s="72"/>
    </row>
    <row r="793" spans="2:34">
      <c r="B793" s="72" t="s">
        <v>1685</v>
      </c>
      <c r="D793" s="72"/>
      <c r="F793" s="72"/>
      <c r="G793" s="72"/>
      <c r="H793" s="72"/>
      <c r="P793" s="72"/>
      <c r="Q793" s="72"/>
      <c r="R793" s="72"/>
      <c r="S793" s="72"/>
      <c r="T793" s="72"/>
      <c r="U793" s="72"/>
      <c r="V793" s="72"/>
      <c r="W793" s="72"/>
      <c r="X793" s="72"/>
      <c r="Y793" s="72"/>
      <c r="Z793" s="72"/>
      <c r="AA793" s="72"/>
      <c r="AF793" s="72"/>
      <c r="AG793" s="72"/>
      <c r="AH793" s="72"/>
    </row>
    <row r="794" spans="2:34">
      <c r="B794" s="72" t="s">
        <v>1684</v>
      </c>
      <c r="D794" s="72"/>
      <c r="F794" s="72"/>
      <c r="G794" s="72"/>
      <c r="H794" s="72"/>
      <c r="P794" s="72"/>
      <c r="Q794" s="72"/>
      <c r="R794" s="72"/>
      <c r="S794" s="72"/>
      <c r="T794" s="72"/>
      <c r="U794" s="72"/>
      <c r="V794" s="72"/>
      <c r="W794" s="72"/>
      <c r="X794" s="72"/>
      <c r="Y794" s="72"/>
      <c r="Z794" s="72"/>
      <c r="AA794" s="72"/>
      <c r="AF794" s="72"/>
      <c r="AG794" s="72"/>
      <c r="AH794" s="72"/>
    </row>
    <row r="795" spans="2:34">
      <c r="B795" s="72" t="s">
        <v>1683</v>
      </c>
      <c r="D795" s="72"/>
      <c r="F795" s="72"/>
      <c r="G795" s="72"/>
      <c r="H795" s="72"/>
      <c r="P795" s="72"/>
      <c r="Q795" s="72"/>
      <c r="R795" s="72"/>
      <c r="S795" s="72"/>
      <c r="T795" s="72"/>
      <c r="U795" s="72"/>
      <c r="V795" s="72"/>
      <c r="W795" s="72"/>
      <c r="X795" s="72"/>
      <c r="Y795" s="72"/>
      <c r="Z795" s="72"/>
      <c r="AA795" s="72"/>
      <c r="AF795" s="72"/>
      <c r="AG795" s="72"/>
      <c r="AH795" s="72"/>
    </row>
    <row r="796" spans="2:34">
      <c r="B796" s="72" t="s">
        <v>1682</v>
      </c>
      <c r="C796" s="72"/>
      <c r="D796" s="72"/>
      <c r="F796" s="72"/>
      <c r="G796" s="72"/>
      <c r="H796" s="72"/>
      <c r="P796" s="72"/>
      <c r="Q796" s="72"/>
      <c r="R796" s="72"/>
      <c r="S796" s="72"/>
      <c r="T796" s="72"/>
      <c r="U796" s="72"/>
      <c r="V796" s="72"/>
      <c r="W796" s="72"/>
      <c r="X796" s="72"/>
      <c r="Y796" s="72"/>
      <c r="Z796" s="72"/>
      <c r="AA796" s="72"/>
      <c r="AF796" s="72"/>
      <c r="AG796" s="72"/>
      <c r="AH796" s="72"/>
    </row>
    <row r="797" spans="2:34">
      <c r="B797" s="72" t="s">
        <v>1681</v>
      </c>
      <c r="C797" s="72"/>
      <c r="D797" s="72"/>
      <c r="F797" s="72"/>
      <c r="G797" s="72"/>
      <c r="H797" s="72"/>
      <c r="P797" s="72"/>
      <c r="Q797" s="72"/>
      <c r="R797" s="72"/>
      <c r="S797" s="72"/>
      <c r="T797" s="72"/>
      <c r="U797" s="72"/>
      <c r="V797" s="72"/>
      <c r="W797" s="72"/>
      <c r="X797" s="72"/>
      <c r="Y797" s="72"/>
      <c r="Z797" s="72"/>
      <c r="AA797" s="72"/>
      <c r="AF797" s="72"/>
      <c r="AG797" s="72"/>
      <c r="AH797" s="72"/>
    </row>
    <row r="798" spans="2:34">
      <c r="B798" s="72" t="s">
        <v>1680</v>
      </c>
      <c r="C798" s="72"/>
      <c r="D798" s="72"/>
      <c r="F798" s="72"/>
      <c r="G798" s="72"/>
      <c r="H798" s="72"/>
      <c r="P798" s="72"/>
      <c r="Q798" s="72"/>
      <c r="R798" s="72"/>
      <c r="S798" s="72"/>
      <c r="T798" s="72"/>
      <c r="U798" s="72"/>
      <c r="V798" s="72"/>
      <c r="W798" s="72"/>
      <c r="X798" s="72"/>
      <c r="Y798" s="72"/>
      <c r="Z798" s="72"/>
      <c r="AA798" s="72"/>
      <c r="AF798" s="72"/>
      <c r="AG798" s="72"/>
      <c r="AH798" s="72"/>
    </row>
    <row r="799" spans="2:34">
      <c r="B799" s="72" t="s">
        <v>1679</v>
      </c>
      <c r="C799" s="72"/>
      <c r="D799" s="72"/>
      <c r="F799" s="72"/>
      <c r="G799" s="72"/>
      <c r="H799" s="72"/>
      <c r="P799" s="72"/>
      <c r="Q799" s="72"/>
      <c r="R799" s="72"/>
      <c r="S799" s="72"/>
      <c r="T799" s="72"/>
      <c r="U799" s="72"/>
      <c r="V799" s="72"/>
      <c r="W799" s="72"/>
      <c r="X799" s="72"/>
      <c r="Y799" s="72"/>
      <c r="Z799" s="72"/>
      <c r="AA799" s="72"/>
      <c r="AF799" s="72"/>
      <c r="AG799" s="72"/>
      <c r="AH799" s="72"/>
    </row>
    <row r="800" spans="2:34">
      <c r="B800" s="72" t="s">
        <v>1678</v>
      </c>
      <c r="C800" s="72"/>
      <c r="D800" s="72"/>
      <c r="F800" s="72"/>
      <c r="G800" s="72"/>
      <c r="H800" s="72"/>
      <c r="P800" s="72"/>
      <c r="Q800" s="72"/>
      <c r="R800" s="72"/>
      <c r="S800" s="72"/>
      <c r="T800" s="72"/>
      <c r="U800" s="72"/>
      <c r="V800" s="72"/>
      <c r="W800" s="72"/>
      <c r="X800" s="72"/>
      <c r="Y800" s="72"/>
      <c r="Z800" s="72"/>
      <c r="AA800" s="72"/>
      <c r="AF800" s="72"/>
      <c r="AG800" s="72"/>
      <c r="AH800" s="72"/>
    </row>
    <row r="801" spans="2:34">
      <c r="B801" s="72" t="s">
        <v>1677</v>
      </c>
      <c r="C801" s="72"/>
      <c r="D801" s="72"/>
      <c r="F801" s="72"/>
      <c r="G801" s="72"/>
      <c r="H801" s="72"/>
      <c r="P801" s="72"/>
      <c r="Q801" s="72"/>
      <c r="R801" s="72"/>
      <c r="S801" s="72"/>
      <c r="T801" s="72"/>
      <c r="U801" s="72"/>
      <c r="V801" s="72"/>
      <c r="W801" s="72"/>
      <c r="X801" s="72"/>
      <c r="Y801" s="72"/>
      <c r="Z801" s="72"/>
      <c r="AA801" s="72"/>
      <c r="AF801" s="72"/>
      <c r="AG801" s="72"/>
      <c r="AH801" s="72"/>
    </row>
    <row r="802" spans="2:34">
      <c r="B802" s="72" t="s">
        <v>1676</v>
      </c>
      <c r="C802" s="72"/>
      <c r="D802" s="72"/>
      <c r="F802" s="72"/>
      <c r="G802" s="72"/>
      <c r="H802" s="72"/>
      <c r="P802" s="72"/>
      <c r="Q802" s="72"/>
      <c r="R802" s="72"/>
      <c r="S802" s="72"/>
      <c r="T802" s="72"/>
      <c r="U802" s="72"/>
      <c r="V802" s="72"/>
      <c r="W802" s="72"/>
      <c r="X802" s="72"/>
      <c r="Y802" s="72"/>
      <c r="Z802" s="72"/>
      <c r="AA802" s="72"/>
      <c r="AF802" s="72"/>
      <c r="AG802" s="72"/>
      <c r="AH802" s="72"/>
    </row>
    <row r="803" spans="2:34">
      <c r="B803" s="72" t="s">
        <v>1675</v>
      </c>
      <c r="C803" s="72"/>
      <c r="D803" s="72"/>
      <c r="F803" s="72"/>
      <c r="G803" s="72"/>
      <c r="H803" s="72"/>
      <c r="P803" s="72"/>
      <c r="Q803" s="72"/>
      <c r="R803" s="72"/>
      <c r="S803" s="72"/>
      <c r="T803" s="72"/>
      <c r="U803" s="72"/>
      <c r="V803" s="72"/>
      <c r="W803" s="72"/>
      <c r="X803" s="72"/>
      <c r="Y803" s="72"/>
      <c r="Z803" s="72"/>
      <c r="AA803" s="72"/>
      <c r="AF803" s="72"/>
      <c r="AG803" s="72"/>
      <c r="AH803" s="72"/>
    </row>
    <row r="804" spans="2:34">
      <c r="B804" s="72" t="s">
        <v>1674</v>
      </c>
      <c r="C804" s="72"/>
      <c r="D804" s="72"/>
      <c r="F804" s="72"/>
      <c r="G804" s="72"/>
      <c r="H804" s="72"/>
      <c r="P804" s="72"/>
      <c r="Q804" s="72"/>
      <c r="R804" s="72"/>
      <c r="S804" s="72"/>
      <c r="T804" s="72"/>
      <c r="U804" s="72"/>
      <c r="V804" s="72"/>
      <c r="W804" s="72"/>
      <c r="X804" s="72"/>
      <c r="Y804" s="72"/>
      <c r="Z804" s="72"/>
      <c r="AA804" s="72"/>
      <c r="AF804" s="72"/>
      <c r="AG804" s="72"/>
      <c r="AH804" s="72"/>
    </row>
    <row r="805" spans="2:34">
      <c r="B805" s="72" t="s">
        <v>1673</v>
      </c>
      <c r="C805" s="72"/>
      <c r="D805" s="72"/>
      <c r="F805" s="72"/>
      <c r="G805" s="72"/>
      <c r="H805" s="72"/>
      <c r="P805" s="72"/>
      <c r="Q805" s="72"/>
      <c r="R805" s="72"/>
      <c r="S805" s="72"/>
      <c r="T805" s="72"/>
      <c r="U805" s="72"/>
      <c r="V805" s="72"/>
      <c r="W805" s="72"/>
      <c r="X805" s="72"/>
      <c r="Y805" s="72"/>
      <c r="Z805" s="72"/>
      <c r="AA805" s="72"/>
      <c r="AF805" s="72"/>
      <c r="AG805" s="72"/>
      <c r="AH805" s="72"/>
    </row>
    <row r="806" spans="2:34">
      <c r="B806" s="72" t="s">
        <v>1672</v>
      </c>
      <c r="C806" s="72"/>
      <c r="D806" s="72"/>
      <c r="F806" s="72"/>
      <c r="G806" s="72"/>
      <c r="H806" s="72"/>
      <c r="P806" s="72"/>
      <c r="Q806" s="72"/>
      <c r="R806" s="72"/>
      <c r="S806" s="72"/>
      <c r="T806" s="72"/>
      <c r="U806" s="72"/>
      <c r="V806" s="72"/>
      <c r="W806" s="72"/>
      <c r="X806" s="72"/>
      <c r="Y806" s="72"/>
      <c r="Z806" s="72"/>
      <c r="AA806" s="72"/>
      <c r="AF806" s="72"/>
      <c r="AG806" s="72"/>
      <c r="AH806" s="72"/>
    </row>
    <row r="807" spans="2:34">
      <c r="B807" s="72" t="s">
        <v>1671</v>
      </c>
      <c r="C807" s="72"/>
      <c r="D807" s="72"/>
      <c r="F807" s="72"/>
      <c r="G807" s="72"/>
      <c r="H807" s="72"/>
      <c r="P807" s="72"/>
      <c r="Q807" s="72"/>
      <c r="R807" s="72"/>
      <c r="S807" s="72"/>
      <c r="T807" s="72"/>
      <c r="U807" s="72"/>
      <c r="V807" s="72"/>
      <c r="W807" s="72"/>
      <c r="X807" s="72"/>
      <c r="Y807" s="72"/>
      <c r="Z807" s="72"/>
      <c r="AA807" s="72"/>
      <c r="AF807" s="72"/>
      <c r="AG807" s="72"/>
      <c r="AH807" s="72"/>
    </row>
    <row r="808" spans="2:34">
      <c r="B808" s="72" t="s">
        <v>1670</v>
      </c>
      <c r="C808" s="72"/>
      <c r="D808" s="72"/>
      <c r="F808" s="72"/>
      <c r="G808" s="72"/>
      <c r="H808" s="72"/>
      <c r="P808" s="72"/>
      <c r="Q808" s="72"/>
      <c r="R808" s="72"/>
      <c r="S808" s="72"/>
      <c r="T808" s="72"/>
      <c r="U808" s="72"/>
      <c r="V808" s="72"/>
      <c r="W808" s="72"/>
      <c r="X808" s="72"/>
      <c r="Y808" s="72"/>
      <c r="Z808" s="72"/>
      <c r="AA808" s="72"/>
      <c r="AF808" s="72"/>
      <c r="AG808" s="72"/>
      <c r="AH808" s="72"/>
    </row>
    <row r="809" spans="2:34">
      <c r="B809" s="72" t="s">
        <v>1669</v>
      </c>
      <c r="C809" s="72"/>
      <c r="D809" s="72"/>
      <c r="F809" s="72"/>
      <c r="G809" s="72"/>
      <c r="H809" s="72"/>
      <c r="P809" s="72"/>
      <c r="Q809" s="72"/>
      <c r="R809" s="72"/>
      <c r="S809" s="72"/>
      <c r="T809" s="72"/>
      <c r="U809" s="72"/>
      <c r="V809" s="72"/>
      <c r="W809" s="72"/>
      <c r="X809" s="72"/>
      <c r="Y809" s="72"/>
      <c r="Z809" s="72"/>
      <c r="AA809" s="72"/>
      <c r="AF809" s="72"/>
      <c r="AG809" s="72"/>
      <c r="AH809" s="72"/>
    </row>
    <row r="810" spans="2:34">
      <c r="B810" s="72" t="s">
        <v>1668</v>
      </c>
      <c r="C810" s="72"/>
      <c r="D810" s="72"/>
      <c r="F810" s="72"/>
      <c r="G810" s="72"/>
      <c r="H810" s="72"/>
      <c r="P810" s="72"/>
      <c r="Q810" s="72"/>
      <c r="R810" s="72"/>
      <c r="S810" s="72"/>
      <c r="T810" s="72"/>
      <c r="U810" s="72"/>
      <c r="V810" s="72"/>
      <c r="W810" s="72"/>
      <c r="X810" s="72"/>
      <c r="Y810" s="72"/>
      <c r="Z810" s="72"/>
      <c r="AA810" s="72"/>
      <c r="AF810" s="72"/>
      <c r="AG810" s="72"/>
      <c r="AH810" s="72"/>
    </row>
    <row r="811" spans="2:34">
      <c r="B811" s="72" t="s">
        <v>1667</v>
      </c>
      <c r="C811" s="72"/>
      <c r="D811" s="72"/>
      <c r="F811" s="72"/>
      <c r="G811" s="72"/>
      <c r="H811" s="72"/>
      <c r="P811" s="72"/>
      <c r="Q811" s="72"/>
      <c r="R811" s="72"/>
      <c r="S811" s="72"/>
      <c r="T811" s="72"/>
      <c r="U811" s="72"/>
      <c r="V811" s="72"/>
      <c r="W811" s="72"/>
      <c r="X811" s="72"/>
      <c r="Y811" s="72"/>
      <c r="Z811" s="72"/>
      <c r="AA811" s="72"/>
      <c r="AF811" s="72"/>
      <c r="AG811" s="72"/>
      <c r="AH811" s="72"/>
    </row>
    <row r="812" spans="2:34">
      <c r="B812" s="72" t="s">
        <v>1666</v>
      </c>
      <c r="AF812" s="72"/>
      <c r="AG812" s="72"/>
      <c r="AH812" s="72"/>
    </row>
    <row r="813" spans="2:34">
      <c r="B813" s="72" t="s">
        <v>1665</v>
      </c>
      <c r="AF813" s="72"/>
      <c r="AG813" s="72"/>
      <c r="AH813" s="72"/>
    </row>
    <row r="814" spans="2:34">
      <c r="B814" s="72" t="s">
        <v>1664</v>
      </c>
      <c r="AF814" s="72"/>
      <c r="AG814" s="72"/>
      <c r="AH814" s="72"/>
    </row>
    <row r="815" spans="2:34">
      <c r="B815" s="72" t="s">
        <v>1663</v>
      </c>
      <c r="AF815" s="72"/>
      <c r="AG815" s="72"/>
      <c r="AH815" s="72"/>
    </row>
    <row r="816" spans="2:34">
      <c r="B816" s="72" t="s">
        <v>1662</v>
      </c>
      <c r="AF816" s="72"/>
      <c r="AG816" s="72"/>
      <c r="AH816" s="72"/>
    </row>
    <row r="817" spans="2:34">
      <c r="B817" s="72" t="s">
        <v>1661</v>
      </c>
      <c r="AF817" s="72"/>
      <c r="AG817" s="72"/>
      <c r="AH817" s="72"/>
    </row>
    <row r="818" spans="2:34">
      <c r="B818" s="72" t="s">
        <v>1660</v>
      </c>
      <c r="AF818" s="72"/>
      <c r="AG818" s="72"/>
      <c r="AH818" s="72"/>
    </row>
    <row r="819" spans="2:34">
      <c r="B819" s="72" t="s">
        <v>1659</v>
      </c>
      <c r="AF819" s="72"/>
      <c r="AG819" s="72"/>
      <c r="AH819" s="72"/>
    </row>
    <row r="820" spans="2:34">
      <c r="B820" s="72" t="s">
        <v>1658</v>
      </c>
      <c r="AF820" s="72"/>
      <c r="AG820" s="72"/>
      <c r="AH820" s="72"/>
    </row>
    <row r="821" spans="2:34">
      <c r="B821" s="72" t="s">
        <v>1657</v>
      </c>
      <c r="AF821" s="72"/>
      <c r="AG821" s="72"/>
      <c r="AH821" s="72"/>
    </row>
    <row r="822" spans="2:34">
      <c r="B822" s="72" t="s">
        <v>1656</v>
      </c>
      <c r="AF822" s="72"/>
      <c r="AG822" s="72"/>
      <c r="AH822" s="72"/>
    </row>
    <row r="823" spans="2:34">
      <c r="B823" s="72" t="s">
        <v>1655</v>
      </c>
      <c r="AF823" s="72"/>
      <c r="AG823" s="72"/>
      <c r="AH823" s="72"/>
    </row>
    <row r="824" spans="2:34">
      <c r="B824" s="72" t="s">
        <v>1654</v>
      </c>
      <c r="AF824" s="72"/>
      <c r="AG824" s="72"/>
      <c r="AH824" s="72"/>
    </row>
    <row r="825" spans="2:34">
      <c r="B825" s="72" t="s">
        <v>1653</v>
      </c>
      <c r="AF825" s="72"/>
      <c r="AG825" s="72"/>
      <c r="AH825" s="72"/>
    </row>
    <row r="826" spans="2:34">
      <c r="B826" s="72" t="s">
        <v>1652</v>
      </c>
      <c r="AF826" s="72"/>
      <c r="AG826" s="72"/>
      <c r="AH826" s="72"/>
    </row>
    <row r="827" spans="2:34">
      <c r="B827" s="72" t="s">
        <v>1651</v>
      </c>
      <c r="AE827" s="91" t="s">
        <v>5449</v>
      </c>
      <c r="AF827" s="72"/>
      <c r="AG827" s="72"/>
      <c r="AH827" s="72"/>
    </row>
    <row r="828" spans="2:34">
      <c r="B828" s="72" t="s">
        <v>1650</v>
      </c>
      <c r="C828" s="72"/>
      <c r="D828" s="72"/>
      <c r="F828" s="72"/>
      <c r="G828" s="72"/>
      <c r="H828" s="72"/>
      <c r="P828" s="72"/>
      <c r="Q828" s="72"/>
      <c r="R828" s="72"/>
      <c r="S828" s="72"/>
      <c r="T828" s="72"/>
      <c r="U828" s="72"/>
      <c r="V828" s="72"/>
      <c r="W828" s="72"/>
      <c r="X828" s="72"/>
      <c r="Y828" s="72"/>
      <c r="Z828" s="72"/>
      <c r="AA828" s="72"/>
      <c r="AF828" s="72"/>
      <c r="AG828" s="72"/>
      <c r="AH828" s="72"/>
    </row>
    <row r="829" spans="2:34">
      <c r="B829" s="72" t="s">
        <v>1649</v>
      </c>
      <c r="C829" s="72"/>
      <c r="D829" s="72"/>
      <c r="F829" s="72"/>
      <c r="G829" s="72"/>
      <c r="H829" s="72"/>
      <c r="P829" s="72"/>
      <c r="Q829" s="72"/>
      <c r="R829" s="72"/>
      <c r="S829" s="72"/>
      <c r="T829" s="72"/>
      <c r="U829" s="72"/>
      <c r="V829" s="72"/>
      <c r="W829" s="72"/>
      <c r="X829" s="72"/>
      <c r="Y829" s="72"/>
      <c r="Z829" s="72"/>
      <c r="AA829" s="72"/>
      <c r="AF829" s="72"/>
      <c r="AG829" s="72"/>
      <c r="AH829" s="72"/>
    </row>
    <row r="830" spans="2:34">
      <c r="B830" s="72" t="s">
        <v>1648</v>
      </c>
      <c r="C830" s="72"/>
      <c r="D830" s="72"/>
      <c r="F830" s="72"/>
      <c r="G830" s="72"/>
      <c r="H830" s="72"/>
      <c r="P830" s="72"/>
      <c r="Q830" s="72"/>
      <c r="R830" s="72"/>
      <c r="S830" s="72"/>
      <c r="T830" s="72"/>
      <c r="U830" s="72"/>
      <c r="V830" s="72"/>
      <c r="W830" s="72"/>
      <c r="X830" s="72"/>
      <c r="Y830" s="72"/>
      <c r="Z830" s="72"/>
      <c r="AA830" s="72"/>
      <c r="AF830" s="72"/>
      <c r="AG830" s="72"/>
      <c r="AH830" s="72"/>
    </row>
    <row r="831" spans="2:34">
      <c r="B831" s="72" t="s">
        <v>1647</v>
      </c>
      <c r="C831" s="72"/>
      <c r="D831" s="72"/>
      <c r="F831" s="72"/>
      <c r="G831" s="72"/>
      <c r="H831" s="72"/>
      <c r="P831" s="72"/>
      <c r="Q831" s="72"/>
      <c r="R831" s="72"/>
      <c r="S831" s="72"/>
      <c r="T831" s="72"/>
      <c r="U831" s="72"/>
      <c r="V831" s="72"/>
      <c r="W831" s="72"/>
      <c r="X831" s="72"/>
      <c r="Y831" s="72"/>
      <c r="Z831" s="72"/>
      <c r="AA831" s="72"/>
      <c r="AF831" s="72"/>
      <c r="AG831" s="72"/>
      <c r="AH831" s="72"/>
    </row>
    <row r="832" spans="2:34">
      <c r="B832" s="72" t="s">
        <v>1646</v>
      </c>
      <c r="C832" s="72"/>
      <c r="D832" s="72"/>
      <c r="F832" s="72"/>
      <c r="G832" s="72"/>
      <c r="H832" s="72"/>
      <c r="P832" s="72"/>
      <c r="Q832" s="72"/>
      <c r="R832" s="72"/>
      <c r="S832" s="72"/>
      <c r="T832" s="72"/>
      <c r="U832" s="72"/>
      <c r="V832" s="72"/>
      <c r="W832" s="72"/>
      <c r="X832" s="72"/>
      <c r="Y832" s="72"/>
      <c r="Z832" s="72"/>
      <c r="AA832" s="72"/>
      <c r="AF832" s="72"/>
      <c r="AG832" s="72"/>
      <c r="AH832" s="72"/>
    </row>
    <row r="833" spans="2:34">
      <c r="B833" s="72" t="s">
        <v>1645</v>
      </c>
      <c r="C833" s="72"/>
      <c r="D833" s="72"/>
      <c r="F833" s="72"/>
      <c r="G833" s="72"/>
      <c r="H833" s="72"/>
      <c r="P833" s="72"/>
      <c r="Q833" s="72"/>
      <c r="R833" s="72"/>
      <c r="S833" s="72"/>
      <c r="T833" s="72"/>
      <c r="U833" s="72"/>
      <c r="V833" s="72"/>
      <c r="W833" s="72"/>
      <c r="X833" s="72"/>
      <c r="Y833" s="72"/>
      <c r="Z833" s="72"/>
      <c r="AA833" s="72"/>
      <c r="AF833" s="72"/>
      <c r="AG833" s="72"/>
      <c r="AH833" s="72"/>
    </row>
    <row r="834" spans="2:34">
      <c r="B834" s="72" t="s">
        <v>1644</v>
      </c>
      <c r="C834" s="72"/>
      <c r="D834" s="72"/>
      <c r="F834" s="72"/>
      <c r="G834" s="72"/>
      <c r="H834" s="72"/>
      <c r="P834" s="72"/>
      <c r="Q834" s="72"/>
      <c r="R834" s="72"/>
      <c r="S834" s="72"/>
      <c r="T834" s="72"/>
      <c r="U834" s="72"/>
      <c r="V834" s="72"/>
      <c r="W834" s="72"/>
      <c r="X834" s="72"/>
      <c r="Y834" s="72"/>
      <c r="Z834" s="72"/>
      <c r="AA834" s="72"/>
      <c r="AF834" s="72"/>
      <c r="AG834" s="72"/>
      <c r="AH834" s="72"/>
    </row>
    <row r="835" spans="2:34">
      <c r="B835" s="72" t="s">
        <v>1643</v>
      </c>
      <c r="C835" s="72"/>
      <c r="D835" s="72"/>
      <c r="F835" s="72"/>
      <c r="G835" s="72"/>
      <c r="H835" s="72"/>
      <c r="P835" s="72"/>
      <c r="Q835" s="72"/>
      <c r="R835" s="72"/>
      <c r="S835" s="72"/>
      <c r="T835" s="72"/>
      <c r="U835" s="72"/>
      <c r="V835" s="72"/>
      <c r="W835" s="72"/>
      <c r="X835" s="72"/>
      <c r="Y835" s="72"/>
      <c r="Z835" s="72"/>
      <c r="AA835" s="72"/>
      <c r="AF835" s="72"/>
      <c r="AG835" s="72"/>
      <c r="AH835" s="72"/>
    </row>
    <row r="836" spans="2:34">
      <c r="B836" s="72" t="s">
        <v>1642</v>
      </c>
      <c r="C836" s="72"/>
      <c r="D836" s="72"/>
      <c r="F836" s="72"/>
      <c r="G836" s="72"/>
      <c r="H836" s="72"/>
      <c r="P836" s="72"/>
      <c r="Q836" s="72"/>
      <c r="R836" s="72"/>
      <c r="S836" s="72"/>
      <c r="T836" s="72"/>
      <c r="U836" s="72"/>
      <c r="V836" s="72"/>
      <c r="W836" s="72"/>
      <c r="X836" s="72"/>
      <c r="Y836" s="72"/>
      <c r="Z836" s="72"/>
      <c r="AA836" s="72"/>
      <c r="AF836" s="72"/>
      <c r="AG836" s="72"/>
      <c r="AH836" s="72"/>
    </row>
    <row r="837" spans="2:34">
      <c r="B837" s="72" t="s">
        <v>1641</v>
      </c>
      <c r="C837" s="72"/>
      <c r="D837" s="72"/>
      <c r="F837" s="72"/>
      <c r="G837" s="72"/>
      <c r="H837" s="72"/>
      <c r="P837" s="72"/>
      <c r="Q837" s="72"/>
      <c r="R837" s="72"/>
      <c r="S837" s="72"/>
      <c r="T837" s="72"/>
      <c r="U837" s="72"/>
      <c r="V837" s="72"/>
      <c r="W837" s="72"/>
      <c r="X837" s="72"/>
      <c r="Y837" s="72"/>
      <c r="Z837" s="72"/>
      <c r="AA837" s="72"/>
      <c r="AF837" s="72"/>
      <c r="AG837" s="72"/>
      <c r="AH837" s="72"/>
    </row>
    <row r="838" spans="2:34">
      <c r="B838" s="72" t="s">
        <v>1640</v>
      </c>
      <c r="C838" s="72"/>
      <c r="D838" s="72"/>
      <c r="F838" s="72"/>
      <c r="G838" s="72"/>
      <c r="H838" s="72"/>
      <c r="P838" s="72"/>
      <c r="Q838" s="72"/>
      <c r="R838" s="72"/>
      <c r="S838" s="72"/>
      <c r="T838" s="72"/>
      <c r="U838" s="72"/>
      <c r="V838" s="72"/>
      <c r="W838" s="72"/>
      <c r="X838" s="72"/>
      <c r="Y838" s="72"/>
      <c r="Z838" s="72"/>
      <c r="AA838" s="72"/>
      <c r="AF838" s="72"/>
      <c r="AG838" s="72"/>
      <c r="AH838" s="72"/>
    </row>
    <row r="839" spans="2:34">
      <c r="B839" s="72" t="s">
        <v>1639</v>
      </c>
      <c r="C839" s="72"/>
      <c r="D839" s="72"/>
      <c r="F839" s="72"/>
      <c r="G839" s="72"/>
      <c r="H839" s="72"/>
      <c r="P839" s="72"/>
      <c r="Q839" s="72"/>
      <c r="R839" s="72"/>
      <c r="S839" s="72"/>
      <c r="T839" s="72"/>
      <c r="U839" s="72"/>
      <c r="V839" s="72"/>
      <c r="W839" s="72"/>
      <c r="X839" s="72"/>
      <c r="Y839" s="72"/>
      <c r="Z839" s="72"/>
      <c r="AA839" s="72"/>
      <c r="AF839" s="72"/>
      <c r="AG839" s="72"/>
      <c r="AH839" s="72"/>
    </row>
    <row r="840" spans="2:34">
      <c r="B840" s="72" t="s">
        <v>1638</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1637</v>
      </c>
      <c r="C841" s="72"/>
      <c r="D841" s="72"/>
      <c r="F841" s="72"/>
      <c r="G841" s="72"/>
      <c r="H841" s="72"/>
      <c r="P841" s="72"/>
      <c r="Q841" s="72"/>
      <c r="R841" s="72"/>
      <c r="S841" s="72"/>
      <c r="T841" s="72"/>
      <c r="U841" s="72"/>
      <c r="V841" s="72"/>
      <c r="W841" s="72"/>
      <c r="X841" s="72"/>
      <c r="Y841" s="72"/>
      <c r="Z841" s="72"/>
      <c r="AA841" s="72"/>
      <c r="AF841" s="72"/>
      <c r="AG841" s="72"/>
      <c r="AH841" s="72"/>
    </row>
    <row r="842" spans="2:34">
      <c r="B842" s="72" t="s">
        <v>1636</v>
      </c>
      <c r="C842" s="72"/>
      <c r="D842" s="72"/>
      <c r="F842" s="72"/>
      <c r="G842" s="72"/>
      <c r="H842" s="72"/>
      <c r="P842" s="72"/>
      <c r="Q842" s="72"/>
      <c r="R842" s="72"/>
      <c r="S842" s="72"/>
      <c r="T842" s="72"/>
      <c r="U842" s="72"/>
      <c r="V842" s="72"/>
      <c r="W842" s="72"/>
      <c r="X842" s="72"/>
      <c r="Y842" s="72"/>
      <c r="Z842" s="72"/>
      <c r="AA842" s="72"/>
      <c r="AF842" s="72"/>
      <c r="AG842" s="72"/>
      <c r="AH842" s="72"/>
    </row>
    <row r="843" spans="2:34">
      <c r="B843" s="176" t="s">
        <v>6718</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1635</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1634</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1633</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1632</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1631</v>
      </c>
      <c r="C848" s="72"/>
      <c r="D848" s="72"/>
      <c r="F848" s="72"/>
      <c r="G848" s="72"/>
      <c r="H848" s="72"/>
      <c r="P848" s="72"/>
      <c r="Q848" s="72"/>
      <c r="R848" s="72"/>
      <c r="S848" s="72"/>
      <c r="T848" s="72"/>
      <c r="U848" s="72"/>
      <c r="V848" s="72"/>
      <c r="W848" s="72"/>
      <c r="X848" s="72"/>
      <c r="Y848" s="72"/>
      <c r="Z848" s="72"/>
      <c r="AA848" s="72"/>
      <c r="AF848" s="72"/>
      <c r="AG848" s="72"/>
      <c r="AH848" s="72"/>
    </row>
    <row r="849" spans="2:34">
      <c r="B849" s="72" t="s">
        <v>1630</v>
      </c>
      <c r="C849" s="72"/>
      <c r="D849" s="72"/>
      <c r="F849" s="72"/>
      <c r="G849" s="72"/>
      <c r="H849" s="72"/>
      <c r="P849" s="72"/>
      <c r="Q849" s="72"/>
      <c r="R849" s="72"/>
      <c r="S849" s="72"/>
      <c r="T849" s="72"/>
      <c r="U849" s="72"/>
      <c r="V849" s="72"/>
      <c r="W849" s="72"/>
      <c r="X849" s="72"/>
      <c r="Y849" s="72"/>
      <c r="Z849" s="72"/>
      <c r="AA849" s="72"/>
      <c r="AF849" s="72"/>
      <c r="AG849" s="72"/>
      <c r="AH849" s="72"/>
    </row>
    <row r="850" spans="2:34">
      <c r="B850" s="72" t="s">
        <v>1629</v>
      </c>
      <c r="C850" s="72"/>
      <c r="D850" s="72"/>
      <c r="F850" s="72"/>
      <c r="G850" s="72"/>
      <c r="H850" s="72"/>
      <c r="P850" s="72"/>
      <c r="Q850" s="72"/>
      <c r="R850" s="72"/>
      <c r="S850" s="72"/>
      <c r="T850" s="72"/>
      <c r="U850" s="72"/>
      <c r="V850" s="72"/>
      <c r="W850" s="72"/>
      <c r="X850" s="72"/>
      <c r="Y850" s="72"/>
      <c r="Z850" s="72"/>
      <c r="AA850" s="72"/>
      <c r="AF850" s="72"/>
      <c r="AG850" s="72"/>
      <c r="AH850" s="72"/>
    </row>
    <row r="851" spans="2:34">
      <c r="B851" s="72" t="s">
        <v>1628</v>
      </c>
      <c r="C851" s="72"/>
      <c r="D851" s="72"/>
      <c r="F851" s="72"/>
      <c r="G851" s="72"/>
      <c r="H851" s="72"/>
      <c r="P851" s="72"/>
      <c r="Q851" s="72"/>
      <c r="R851" s="72"/>
      <c r="S851" s="72"/>
      <c r="T851" s="72"/>
      <c r="U851" s="72"/>
      <c r="V851" s="72"/>
      <c r="W851" s="72"/>
      <c r="X851" s="72"/>
      <c r="Y851" s="72"/>
      <c r="Z851" s="72"/>
      <c r="AA851" s="72"/>
      <c r="AF851" s="72"/>
      <c r="AG851" s="72"/>
      <c r="AH851" s="72"/>
    </row>
    <row r="852" spans="2:34">
      <c r="B852" s="72" t="s">
        <v>1627</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1626</v>
      </c>
      <c r="C853" s="72"/>
      <c r="D853" s="72"/>
      <c r="F853" s="72"/>
      <c r="G853" s="72"/>
      <c r="H853" s="72"/>
      <c r="P853" s="72"/>
      <c r="Q853" s="72"/>
      <c r="R853" s="72"/>
      <c r="S853" s="72"/>
      <c r="T853" s="72"/>
      <c r="U853" s="72"/>
      <c r="V853" s="72"/>
      <c r="W853" s="72"/>
      <c r="X853" s="72"/>
      <c r="Y853" s="72"/>
      <c r="Z853" s="72"/>
      <c r="AA853" s="72"/>
      <c r="AF853" s="72"/>
      <c r="AG853" s="72"/>
      <c r="AH853" s="72"/>
    </row>
    <row r="854" spans="2:34">
      <c r="B854" s="72" t="s">
        <v>1625</v>
      </c>
      <c r="C854" s="72"/>
      <c r="D854" s="72"/>
      <c r="F854" s="72"/>
      <c r="G854" s="72"/>
      <c r="H854" s="72"/>
      <c r="P854" s="72"/>
      <c r="Q854" s="72"/>
      <c r="R854" s="72"/>
      <c r="S854" s="72"/>
      <c r="T854" s="72"/>
      <c r="U854" s="72"/>
      <c r="V854" s="72"/>
      <c r="W854" s="72"/>
      <c r="X854" s="72"/>
      <c r="Y854" s="72"/>
      <c r="Z854" s="72"/>
      <c r="AA854" s="72"/>
      <c r="AF854" s="72"/>
      <c r="AG854" s="72"/>
      <c r="AH854" s="72"/>
    </row>
    <row r="855" spans="2:34">
      <c r="B855" s="72" t="s">
        <v>1624</v>
      </c>
      <c r="C855" s="72"/>
      <c r="D855" s="72"/>
      <c r="F855" s="72"/>
      <c r="G855" s="72"/>
      <c r="H855" s="72"/>
      <c r="P855" s="72"/>
      <c r="Q855" s="72"/>
      <c r="R855" s="72"/>
      <c r="S855" s="72"/>
      <c r="T855" s="72"/>
      <c r="U855" s="72"/>
      <c r="V855" s="72"/>
      <c r="W855" s="72"/>
      <c r="X855" s="72"/>
      <c r="Y855" s="72"/>
      <c r="Z855" s="72"/>
      <c r="AA855" s="72"/>
      <c r="AF855" s="72"/>
      <c r="AG855" s="72"/>
      <c r="AH855" s="72"/>
    </row>
    <row r="856" spans="2:34">
      <c r="B856" s="72" t="s">
        <v>1623</v>
      </c>
      <c r="C856" s="72"/>
      <c r="D856" s="72">
        <v>500</v>
      </c>
      <c r="E856" s="72">
        <v>43</v>
      </c>
      <c r="F856" s="72"/>
      <c r="G856" s="72"/>
      <c r="H856" s="72"/>
      <c r="P856" s="72"/>
      <c r="Q856" s="72"/>
      <c r="R856" s="72"/>
      <c r="S856" s="72"/>
      <c r="T856" s="72"/>
      <c r="U856" s="72"/>
      <c r="V856" s="72"/>
      <c r="W856" s="72"/>
      <c r="X856" s="72"/>
      <c r="Y856" s="72"/>
      <c r="Z856" s="72"/>
      <c r="AA856" s="72"/>
      <c r="AF856" s="72"/>
      <c r="AG856" s="72"/>
      <c r="AH856" s="72"/>
    </row>
    <row r="857" spans="2:34">
      <c r="B857" s="72" t="s">
        <v>1622</v>
      </c>
      <c r="C857" s="72"/>
      <c r="D857" s="72"/>
      <c r="F857" s="72"/>
      <c r="G857" s="72"/>
      <c r="H857" s="72"/>
      <c r="P857" s="72"/>
      <c r="Q857" s="72"/>
      <c r="R857" s="72"/>
      <c r="S857" s="72"/>
      <c r="T857" s="72"/>
      <c r="U857" s="72"/>
      <c r="V857" s="72"/>
      <c r="W857" s="72"/>
      <c r="X857" s="72"/>
      <c r="Y857" s="72"/>
      <c r="Z857" s="72"/>
      <c r="AA857" s="72"/>
      <c r="AF857" s="72"/>
      <c r="AG857" s="72"/>
      <c r="AH857" s="72"/>
    </row>
    <row r="858" spans="2:34">
      <c r="B858" s="72" t="s">
        <v>1621</v>
      </c>
      <c r="C858" s="72"/>
      <c r="D858" s="72"/>
      <c r="F858" s="72"/>
      <c r="G858" s="72"/>
      <c r="H858" s="72"/>
      <c r="P858" s="72"/>
      <c r="Q858" s="72"/>
      <c r="R858" s="72"/>
      <c r="S858" s="72"/>
      <c r="T858" s="72"/>
      <c r="U858" s="72"/>
      <c r="V858" s="72"/>
      <c r="W858" s="72"/>
      <c r="X858" s="72"/>
      <c r="Y858" s="72"/>
      <c r="Z858" s="72"/>
      <c r="AA858" s="72"/>
      <c r="AF858" s="72"/>
      <c r="AG858" s="72"/>
      <c r="AH858" s="72"/>
    </row>
    <row r="859" spans="2:34">
      <c r="B859" s="72" t="s">
        <v>1620</v>
      </c>
      <c r="C859" s="72"/>
      <c r="D859" s="72"/>
      <c r="F859" s="72"/>
      <c r="G859" s="72"/>
      <c r="H859" s="72"/>
      <c r="P859" s="72"/>
      <c r="Q859" s="72"/>
      <c r="R859" s="72"/>
      <c r="S859" s="72"/>
      <c r="T859" s="72"/>
      <c r="U859" s="72"/>
      <c r="V859" s="72"/>
      <c r="W859" s="72"/>
      <c r="X859" s="72"/>
      <c r="Y859" s="72"/>
      <c r="Z859" s="72"/>
      <c r="AA859" s="72"/>
      <c r="AF859" s="72"/>
      <c r="AG859" s="72"/>
      <c r="AH859" s="72"/>
    </row>
    <row r="860" spans="2:34">
      <c r="B860" s="72" t="s">
        <v>1619</v>
      </c>
      <c r="P860" s="72"/>
      <c r="Q860" s="72"/>
      <c r="R860" s="72"/>
      <c r="S860" s="72"/>
      <c r="T860" s="72"/>
      <c r="U860" s="72"/>
      <c r="V860" s="72"/>
      <c r="W860" s="72"/>
      <c r="X860" s="72"/>
      <c r="Y860" s="72"/>
      <c r="Z860" s="72"/>
      <c r="AA860" s="72"/>
      <c r="AF860" s="72"/>
      <c r="AG860" s="72"/>
      <c r="AH860" s="72"/>
    </row>
    <row r="861" spans="2:34">
      <c r="B861" s="72" t="s">
        <v>1618</v>
      </c>
      <c r="P861" s="72"/>
      <c r="Q861" s="72"/>
      <c r="R861" s="72"/>
      <c r="S861" s="72"/>
      <c r="T861" s="72"/>
      <c r="U861" s="72"/>
      <c r="V861" s="72"/>
      <c r="W861" s="72"/>
      <c r="X861" s="72"/>
      <c r="Y861" s="72"/>
      <c r="Z861" s="72"/>
      <c r="AA861" s="72"/>
      <c r="AF861" s="72"/>
      <c r="AG861" s="72"/>
      <c r="AH861" s="72"/>
    </row>
    <row r="862" spans="2:34">
      <c r="B862" s="72" t="s">
        <v>1617</v>
      </c>
      <c r="P862" s="72"/>
      <c r="Q862" s="72"/>
      <c r="R862" s="72"/>
      <c r="S862" s="72"/>
      <c r="T862" s="72"/>
      <c r="U862" s="72"/>
      <c r="V862" s="72"/>
      <c r="W862" s="72"/>
      <c r="X862" s="72"/>
      <c r="Y862" s="72"/>
      <c r="Z862" s="72"/>
      <c r="AA862" s="72"/>
      <c r="AF862" s="72"/>
      <c r="AG862" s="72"/>
      <c r="AH862" s="72"/>
    </row>
    <row r="863" spans="2:34">
      <c r="B863" s="72" t="s">
        <v>1616</v>
      </c>
      <c r="P863" s="72"/>
      <c r="Q863" s="72"/>
      <c r="R863" s="72"/>
      <c r="S863" s="72"/>
      <c r="T863" s="72"/>
      <c r="U863" s="72"/>
      <c r="V863" s="72"/>
      <c r="W863" s="72"/>
      <c r="X863" s="72"/>
      <c r="Y863" s="72"/>
      <c r="Z863" s="72"/>
      <c r="AA863" s="72"/>
      <c r="AF863" s="72"/>
      <c r="AG863" s="72"/>
      <c r="AH863" s="72"/>
    </row>
    <row r="864" spans="2:34">
      <c r="B864" s="72" t="s">
        <v>1615</v>
      </c>
      <c r="P864" s="72"/>
      <c r="Q864" s="72"/>
      <c r="R864" s="72"/>
      <c r="S864" s="72"/>
      <c r="T864" s="72"/>
      <c r="U864" s="72"/>
      <c r="V864" s="72"/>
      <c r="W864" s="72"/>
      <c r="X864" s="72"/>
      <c r="Y864" s="72"/>
      <c r="Z864" s="72"/>
      <c r="AA864" s="72"/>
      <c r="AF864" s="72"/>
      <c r="AG864" s="72"/>
      <c r="AH864" s="72"/>
    </row>
    <row r="865" spans="2:34">
      <c r="B865" s="72" t="s">
        <v>1614</v>
      </c>
      <c r="P865" s="72"/>
      <c r="Q865" s="72"/>
      <c r="R865" s="72"/>
      <c r="S865" s="72"/>
      <c r="T865" s="72"/>
      <c r="U865" s="72"/>
      <c r="V865" s="72"/>
      <c r="W865" s="72"/>
      <c r="X865" s="72"/>
      <c r="Y865" s="72"/>
      <c r="Z865" s="72"/>
      <c r="AA865" s="72"/>
      <c r="AF865" s="72"/>
      <c r="AG865" s="72"/>
      <c r="AH865" s="72"/>
    </row>
    <row r="866" spans="2:34">
      <c r="B866" s="72" t="s">
        <v>1613</v>
      </c>
      <c r="P866" s="72"/>
      <c r="Q866" s="72"/>
      <c r="R866" s="72"/>
      <c r="S866" s="72"/>
      <c r="T866" s="72"/>
      <c r="U866" s="72"/>
      <c r="V866" s="72"/>
      <c r="W866" s="72"/>
      <c r="X866" s="72"/>
      <c r="Y866" s="72"/>
      <c r="Z866" s="72"/>
      <c r="AA866" s="72"/>
      <c r="AF866" s="72"/>
      <c r="AG866" s="72"/>
      <c r="AH866" s="72"/>
    </row>
    <row r="867" spans="2:34">
      <c r="B867" s="72" t="s">
        <v>1612</v>
      </c>
      <c r="P867" s="72"/>
      <c r="Q867" s="72"/>
      <c r="R867" s="72"/>
      <c r="S867" s="72"/>
      <c r="T867" s="72"/>
      <c r="U867" s="72"/>
      <c r="V867" s="72"/>
      <c r="W867" s="72"/>
      <c r="X867" s="72"/>
      <c r="Y867" s="72"/>
      <c r="Z867" s="72"/>
      <c r="AA867" s="72"/>
      <c r="AF867" s="72"/>
      <c r="AG867" s="72"/>
      <c r="AH867" s="72"/>
    </row>
    <row r="868" spans="2:34">
      <c r="B868" s="72" t="s">
        <v>1611</v>
      </c>
      <c r="P868" s="72"/>
      <c r="Q868" s="72"/>
      <c r="R868" s="72"/>
      <c r="S868" s="72"/>
      <c r="T868" s="72"/>
      <c r="U868" s="72"/>
      <c r="V868" s="72"/>
      <c r="W868" s="72"/>
      <c r="X868" s="72"/>
      <c r="Y868" s="72"/>
      <c r="Z868" s="72"/>
      <c r="AA868" s="72"/>
      <c r="AF868" s="72"/>
      <c r="AG868" s="72"/>
      <c r="AH868" s="72"/>
    </row>
    <row r="869" spans="2:34">
      <c r="B869" s="72" t="s">
        <v>1610</v>
      </c>
      <c r="I869" s="176" t="s">
        <v>2456</v>
      </c>
      <c r="P869" s="72"/>
      <c r="Q869" s="72"/>
      <c r="R869" s="72"/>
      <c r="S869" s="72"/>
      <c r="T869" s="72"/>
      <c r="U869" s="72"/>
      <c r="V869" s="72"/>
      <c r="W869" s="72"/>
      <c r="X869" s="72"/>
      <c r="Y869" s="72"/>
      <c r="Z869" s="72"/>
      <c r="AA869" s="72"/>
      <c r="AF869" s="72"/>
      <c r="AG869" s="72"/>
      <c r="AH869" s="72"/>
    </row>
    <row r="870" spans="2:34">
      <c r="B870" s="72" t="s">
        <v>1609</v>
      </c>
      <c r="P870" s="72"/>
      <c r="Q870" s="72"/>
      <c r="R870" s="72"/>
      <c r="S870" s="72"/>
      <c r="T870" s="72"/>
      <c r="U870" s="72"/>
      <c r="V870" s="72"/>
      <c r="W870" s="72"/>
      <c r="X870" s="72"/>
      <c r="Y870" s="72"/>
      <c r="Z870" s="72"/>
      <c r="AA870" s="72"/>
      <c r="AF870" s="72"/>
      <c r="AG870" s="72"/>
      <c r="AH870" s="72"/>
    </row>
    <row r="871" spans="2:34">
      <c r="B871" s="72" t="s">
        <v>1608</v>
      </c>
      <c r="P871" s="72"/>
      <c r="Q871" s="72"/>
      <c r="R871" s="72"/>
      <c r="S871" s="72"/>
      <c r="T871" s="72"/>
      <c r="U871" s="72"/>
      <c r="V871" s="72"/>
      <c r="W871" s="72"/>
      <c r="X871" s="72"/>
      <c r="Y871" s="72"/>
      <c r="Z871" s="72"/>
      <c r="AA871" s="72"/>
      <c r="AF871" s="72"/>
      <c r="AG871" s="72"/>
      <c r="AH871" s="72"/>
    </row>
    <row r="872" spans="2:34">
      <c r="B872" s="72" t="s">
        <v>1607</v>
      </c>
      <c r="P872" s="72"/>
      <c r="Q872" s="72"/>
      <c r="R872" s="72"/>
      <c r="S872" s="72"/>
      <c r="T872" s="72"/>
      <c r="U872" s="72"/>
      <c r="V872" s="72"/>
      <c r="W872" s="72"/>
      <c r="X872" s="72"/>
      <c r="Y872" s="72"/>
      <c r="Z872" s="72"/>
      <c r="AA872" s="72"/>
      <c r="AF872" s="72"/>
      <c r="AG872" s="72"/>
      <c r="AH872" s="72"/>
    </row>
    <row r="873" spans="2:34">
      <c r="B873" s="72" t="s">
        <v>1606</v>
      </c>
      <c r="P873" s="72"/>
      <c r="Q873" s="72"/>
      <c r="R873" s="72"/>
      <c r="S873" s="72"/>
      <c r="T873" s="72"/>
      <c r="U873" s="72"/>
      <c r="V873" s="72"/>
      <c r="W873" s="72"/>
      <c r="X873" s="72"/>
      <c r="Y873" s="72"/>
      <c r="Z873" s="72"/>
      <c r="AA873" s="72"/>
      <c r="AF873" s="72"/>
      <c r="AG873" s="72"/>
      <c r="AH873" s="72"/>
    </row>
    <row r="874" spans="2:34">
      <c r="B874" s="72" t="s">
        <v>1605</v>
      </c>
      <c r="P874" s="72"/>
      <c r="Q874" s="72"/>
      <c r="R874" s="72"/>
      <c r="S874" s="72"/>
      <c r="T874" s="72"/>
      <c r="U874" s="72"/>
      <c r="V874" s="72"/>
      <c r="W874" s="72"/>
      <c r="X874" s="72"/>
      <c r="Y874" s="72"/>
      <c r="Z874" s="72"/>
      <c r="AA874" s="72"/>
      <c r="AF874" s="72"/>
      <c r="AG874" s="72"/>
      <c r="AH874" s="72"/>
    </row>
    <row r="875" spans="2:34">
      <c r="B875" s="72" t="s">
        <v>1604</v>
      </c>
      <c r="P875" s="72"/>
      <c r="Q875" s="72"/>
      <c r="R875" s="72"/>
      <c r="S875" s="72"/>
      <c r="T875" s="72"/>
      <c r="U875" s="72"/>
      <c r="V875" s="72"/>
      <c r="W875" s="72"/>
      <c r="X875" s="72"/>
      <c r="Y875" s="72"/>
      <c r="Z875" s="72"/>
      <c r="AA875" s="72"/>
      <c r="AF875" s="72"/>
      <c r="AG875" s="72"/>
      <c r="AH875" s="72"/>
    </row>
    <row r="876" spans="2:34">
      <c r="B876" s="72" t="s">
        <v>1603</v>
      </c>
      <c r="P876" s="72"/>
      <c r="Q876" s="72"/>
      <c r="R876" s="72"/>
      <c r="S876" s="72"/>
      <c r="T876" s="72"/>
      <c r="U876" s="72"/>
      <c r="V876" s="72"/>
      <c r="W876" s="72"/>
      <c r="X876" s="72"/>
      <c r="Y876" s="72"/>
      <c r="Z876" s="72"/>
      <c r="AA876" s="72"/>
      <c r="AF876" s="72"/>
      <c r="AG876" s="72"/>
      <c r="AH876" s="72"/>
    </row>
    <row r="877" spans="2:34">
      <c r="B877" s="72" t="s">
        <v>1602</v>
      </c>
      <c r="P877" s="72"/>
      <c r="Q877" s="72"/>
      <c r="R877" s="72"/>
      <c r="S877" s="72"/>
      <c r="T877" s="72"/>
      <c r="U877" s="72"/>
      <c r="V877" s="72"/>
      <c r="W877" s="72"/>
      <c r="X877" s="72"/>
      <c r="Y877" s="72"/>
      <c r="Z877" s="72"/>
      <c r="AA877" s="72"/>
      <c r="AF877" s="72"/>
      <c r="AG877" s="72"/>
      <c r="AH877" s="72"/>
    </row>
    <row r="878" spans="2:34">
      <c r="B878" s="72" t="s">
        <v>1601</v>
      </c>
      <c r="P878" s="72"/>
      <c r="Q878" s="72"/>
      <c r="R878" s="72"/>
      <c r="S878" s="72"/>
      <c r="T878" s="72"/>
      <c r="U878" s="72"/>
      <c r="V878" s="72"/>
      <c r="W878" s="72"/>
      <c r="X878" s="72"/>
      <c r="Y878" s="72"/>
      <c r="Z878" s="72"/>
      <c r="AA878" s="72"/>
      <c r="AF878" s="72"/>
      <c r="AG878" s="72"/>
      <c r="AH878" s="72"/>
    </row>
    <row r="879" spans="2:34">
      <c r="B879" s="72" t="s">
        <v>1600</v>
      </c>
      <c r="P879" s="72"/>
      <c r="Q879" s="72"/>
      <c r="R879" s="72"/>
      <c r="S879" s="72"/>
      <c r="T879" s="72"/>
      <c r="U879" s="72"/>
      <c r="V879" s="72"/>
      <c r="W879" s="72"/>
      <c r="X879" s="72"/>
      <c r="Y879" s="72"/>
      <c r="Z879" s="72"/>
      <c r="AA879" s="72"/>
      <c r="AF879" s="72"/>
      <c r="AG879" s="72"/>
      <c r="AH879" s="72"/>
    </row>
    <row r="880" spans="2:34">
      <c r="B880" s="72" t="s">
        <v>1599</v>
      </c>
      <c r="K880" s="72" t="s">
        <v>3331</v>
      </c>
      <c r="L880" s="72" t="s">
        <v>5162</v>
      </c>
      <c r="P880" s="72"/>
      <c r="Q880" s="72"/>
      <c r="R880" s="72"/>
      <c r="S880" s="72"/>
      <c r="T880" s="72"/>
      <c r="U880" s="72"/>
      <c r="V880" s="72"/>
      <c r="W880" s="72"/>
      <c r="X880" s="72"/>
      <c r="Y880" s="72"/>
      <c r="Z880" s="72"/>
      <c r="AA880" s="72"/>
      <c r="AF880" s="72"/>
      <c r="AG880" s="72"/>
      <c r="AH880" s="72"/>
    </row>
    <row r="881" spans="2:34">
      <c r="B881" s="72" t="s">
        <v>1598</v>
      </c>
      <c r="P881" s="72"/>
      <c r="Q881" s="72"/>
      <c r="R881" s="72"/>
      <c r="S881" s="72"/>
      <c r="T881" s="72"/>
      <c r="U881" s="72"/>
      <c r="V881" s="72"/>
      <c r="W881" s="72"/>
      <c r="X881" s="72"/>
      <c r="Y881" s="72"/>
      <c r="Z881" s="72"/>
      <c r="AA881" s="72"/>
      <c r="AF881" s="72"/>
      <c r="AG881" s="72"/>
      <c r="AH881" s="72"/>
    </row>
    <row r="882" spans="2:34">
      <c r="B882" s="72" t="s">
        <v>1597</v>
      </c>
      <c r="P882" s="72"/>
      <c r="Q882" s="72"/>
      <c r="R882" s="72"/>
      <c r="S882" s="72"/>
      <c r="T882" s="72"/>
      <c r="U882" s="72"/>
      <c r="V882" s="72"/>
      <c r="W882" s="72"/>
      <c r="X882" s="72"/>
      <c r="Y882" s="72"/>
      <c r="Z882" s="72"/>
      <c r="AA882" s="72"/>
      <c r="AF882" s="72"/>
      <c r="AG882" s="72"/>
      <c r="AH882" s="72"/>
    </row>
    <row r="883" spans="2:34">
      <c r="B883" s="72" t="s">
        <v>1596</v>
      </c>
      <c r="P883" s="72"/>
      <c r="Q883" s="72"/>
      <c r="R883" s="72"/>
      <c r="S883" s="72"/>
      <c r="T883" s="72"/>
      <c r="U883" s="72"/>
      <c r="V883" s="72"/>
      <c r="W883" s="72"/>
      <c r="X883" s="72"/>
      <c r="Y883" s="72"/>
      <c r="Z883" s="72"/>
      <c r="AA883" s="72"/>
      <c r="AF883" s="72"/>
      <c r="AG883" s="72"/>
      <c r="AH883" s="72"/>
    </row>
    <row r="884" spans="2:34">
      <c r="B884" s="72" t="s">
        <v>1595</v>
      </c>
      <c r="P884" s="72"/>
      <c r="Q884" s="72"/>
      <c r="R884" s="72"/>
      <c r="S884" s="72"/>
      <c r="T884" s="72"/>
      <c r="U884" s="72"/>
      <c r="V884" s="72"/>
      <c r="W884" s="72"/>
      <c r="X884" s="72"/>
      <c r="Y884" s="72"/>
      <c r="Z884" s="72"/>
      <c r="AA884" s="72"/>
      <c r="AF884" s="72"/>
      <c r="AG884" s="72"/>
      <c r="AH884" s="72"/>
    </row>
    <row r="885" spans="2:34">
      <c r="B885" s="72" t="s">
        <v>1594</v>
      </c>
      <c r="P885" s="72"/>
      <c r="Q885" s="72"/>
      <c r="R885" s="72"/>
      <c r="S885" s="72"/>
      <c r="T885" s="72"/>
      <c r="U885" s="72"/>
      <c r="V885" s="72"/>
      <c r="W885" s="72"/>
      <c r="X885" s="72"/>
      <c r="Y885" s="72"/>
      <c r="Z885" s="72"/>
      <c r="AA885" s="72"/>
      <c r="AF885" s="72"/>
      <c r="AG885" s="72"/>
      <c r="AH885" s="72"/>
    </row>
    <row r="886" spans="2:34">
      <c r="B886" s="72" t="s">
        <v>1593</v>
      </c>
      <c r="P886" s="72"/>
      <c r="Q886" s="72"/>
      <c r="R886" s="72"/>
      <c r="S886" s="72"/>
      <c r="T886" s="72"/>
      <c r="U886" s="72"/>
      <c r="V886" s="72"/>
      <c r="W886" s="72"/>
      <c r="X886" s="72"/>
      <c r="Y886" s="72"/>
      <c r="Z886" s="72"/>
      <c r="AA886" s="72"/>
      <c r="AF886" s="72"/>
      <c r="AG886" s="72"/>
      <c r="AH886" s="72"/>
    </row>
    <row r="887" spans="2:34">
      <c r="B887" s="72" t="s">
        <v>1592</v>
      </c>
      <c r="P887" s="72"/>
      <c r="Q887" s="72"/>
      <c r="R887" s="72"/>
      <c r="S887" s="72"/>
      <c r="T887" s="72"/>
      <c r="U887" s="72"/>
      <c r="V887" s="72"/>
      <c r="W887" s="72"/>
      <c r="X887" s="72"/>
      <c r="Y887" s="72"/>
      <c r="Z887" s="72"/>
      <c r="AA887" s="72"/>
      <c r="AF887" s="72"/>
      <c r="AG887" s="72"/>
      <c r="AH887" s="72"/>
    </row>
    <row r="888" spans="2:34">
      <c r="B888" s="72" t="s">
        <v>1591</v>
      </c>
      <c r="P888" s="72"/>
      <c r="Q888" s="72"/>
      <c r="R888" s="72"/>
      <c r="S888" s="72"/>
      <c r="T888" s="72"/>
      <c r="U888" s="72"/>
      <c r="V888" s="72"/>
      <c r="W888" s="72"/>
      <c r="X888" s="72"/>
      <c r="Y888" s="72"/>
      <c r="Z888" s="72"/>
      <c r="AA888" s="72"/>
      <c r="AF888" s="72"/>
      <c r="AG888" s="72"/>
      <c r="AH888" s="72"/>
    </row>
    <row r="889" spans="2:34">
      <c r="B889" s="72" t="s">
        <v>1590</v>
      </c>
      <c r="P889" s="72"/>
      <c r="Q889" s="72"/>
      <c r="R889" s="72"/>
      <c r="S889" s="72"/>
      <c r="T889" s="72"/>
      <c r="U889" s="72"/>
      <c r="V889" s="72"/>
      <c r="W889" s="72"/>
      <c r="X889" s="72"/>
      <c r="Y889" s="72"/>
      <c r="Z889" s="72"/>
      <c r="AA889" s="72"/>
      <c r="AF889" s="72"/>
      <c r="AG889" s="72"/>
      <c r="AH889" s="72"/>
    </row>
    <row r="890" spans="2:34">
      <c r="B890" s="72" t="s">
        <v>1589</v>
      </c>
      <c r="P890" s="72"/>
      <c r="Q890" s="72"/>
      <c r="R890" s="72"/>
      <c r="S890" s="72"/>
      <c r="T890" s="72"/>
      <c r="U890" s="72"/>
      <c r="V890" s="72"/>
      <c r="W890" s="72"/>
      <c r="X890" s="72"/>
      <c r="Y890" s="72"/>
      <c r="Z890" s="72"/>
      <c r="AA890" s="72"/>
      <c r="AF890" s="72"/>
      <c r="AG890" s="72"/>
      <c r="AH890" s="72"/>
    </row>
    <row r="891" spans="2:34">
      <c r="B891" s="72" t="s">
        <v>1588</v>
      </c>
      <c r="P891" s="72"/>
      <c r="Q891" s="72"/>
      <c r="R891" s="72"/>
      <c r="S891" s="72"/>
      <c r="T891" s="72"/>
      <c r="U891" s="72"/>
      <c r="V891" s="72"/>
      <c r="W891" s="72"/>
      <c r="X891" s="72"/>
      <c r="Y891" s="72"/>
      <c r="Z891" s="72"/>
      <c r="AA891" s="72"/>
      <c r="AF891" s="72"/>
      <c r="AG891" s="72"/>
      <c r="AH891" s="72"/>
    </row>
    <row r="892" spans="2:34">
      <c r="B892" s="72" t="s">
        <v>4297</v>
      </c>
      <c r="C892" s="72"/>
      <c r="D892" s="72"/>
      <c r="F892" s="72"/>
      <c r="G892" s="72"/>
      <c r="H892" s="72"/>
      <c r="P892" s="72"/>
      <c r="Q892" s="72"/>
      <c r="R892" s="72"/>
      <c r="S892" s="72"/>
      <c r="T892" s="72"/>
      <c r="U892" s="72"/>
      <c r="V892" s="72"/>
      <c r="W892" s="72"/>
      <c r="X892" s="72"/>
      <c r="Y892" s="72"/>
      <c r="Z892" s="72"/>
      <c r="AA892" s="72"/>
      <c r="AF892" s="72"/>
      <c r="AG892" s="72"/>
      <c r="AH892" s="72"/>
    </row>
    <row r="893" spans="2:34">
      <c r="B893" s="72" t="s">
        <v>1587</v>
      </c>
      <c r="C893" s="72"/>
      <c r="D893" s="72"/>
      <c r="F893" s="72"/>
      <c r="G893" s="72"/>
      <c r="H893" s="72"/>
      <c r="P893" s="72"/>
      <c r="Q893" s="72"/>
      <c r="R893" s="72"/>
      <c r="S893" s="72"/>
      <c r="T893" s="72"/>
      <c r="U893" s="72"/>
      <c r="V893" s="72"/>
      <c r="W893" s="72"/>
      <c r="X893" s="72"/>
      <c r="Y893" s="72"/>
      <c r="Z893" s="72"/>
      <c r="AA893" s="72"/>
      <c r="AF893" s="72"/>
      <c r="AG893" s="72"/>
      <c r="AH893" s="72"/>
    </row>
    <row r="894" spans="2:34">
      <c r="B894" s="72" t="s">
        <v>1586</v>
      </c>
      <c r="C894" s="72"/>
      <c r="D894" s="72"/>
      <c r="F894" s="72"/>
      <c r="G894" s="72"/>
      <c r="H894" s="72"/>
      <c r="P894" s="72"/>
      <c r="Q894" s="72"/>
      <c r="R894" s="72"/>
      <c r="S894" s="72"/>
      <c r="T894" s="72"/>
      <c r="U894" s="72"/>
      <c r="V894" s="72"/>
      <c r="W894" s="72"/>
      <c r="X894" s="72"/>
      <c r="Y894" s="72"/>
      <c r="Z894" s="72"/>
      <c r="AA894" s="72"/>
      <c r="AF894" s="72"/>
      <c r="AG894" s="72"/>
      <c r="AH894" s="72"/>
    </row>
    <row r="895" spans="2:34">
      <c r="B895" s="72" t="s">
        <v>1585</v>
      </c>
      <c r="C895" s="72"/>
      <c r="D895" s="72"/>
      <c r="F895" s="72"/>
      <c r="G895" s="72"/>
      <c r="H895" s="72"/>
      <c r="P895" s="72"/>
      <c r="Q895" s="72"/>
      <c r="R895" s="72"/>
      <c r="S895" s="72"/>
      <c r="T895" s="72"/>
      <c r="U895" s="72"/>
      <c r="V895" s="72"/>
      <c r="W895" s="72"/>
      <c r="X895" s="72"/>
      <c r="Y895" s="72"/>
      <c r="Z895" s="72"/>
      <c r="AA895" s="72"/>
      <c r="AF895" s="72"/>
      <c r="AG895" s="72"/>
      <c r="AH895" s="72"/>
    </row>
    <row r="896" spans="2:34">
      <c r="B896" s="72" t="s">
        <v>1584</v>
      </c>
      <c r="C896" s="72"/>
      <c r="D896" s="72"/>
      <c r="F896" s="72"/>
      <c r="G896" s="72"/>
      <c r="H896" s="72"/>
      <c r="P896" s="72"/>
      <c r="Q896" s="72"/>
      <c r="R896" s="72"/>
      <c r="S896" s="72"/>
      <c r="T896" s="72"/>
      <c r="U896" s="72"/>
      <c r="V896" s="72"/>
      <c r="W896" s="72"/>
      <c r="X896" s="72"/>
      <c r="Y896" s="72"/>
      <c r="Z896" s="72"/>
      <c r="AA896" s="72"/>
      <c r="AF896" s="72"/>
      <c r="AG896" s="72"/>
      <c r="AH896" s="72"/>
    </row>
    <row r="897" spans="2:34">
      <c r="B897" s="72" t="s">
        <v>1583</v>
      </c>
      <c r="C897" s="72"/>
      <c r="D897" s="72"/>
      <c r="F897" s="72"/>
      <c r="G897" s="72"/>
      <c r="H897" s="72"/>
      <c r="P897" s="72"/>
      <c r="Q897" s="72"/>
      <c r="R897" s="72"/>
      <c r="S897" s="72"/>
      <c r="T897" s="72"/>
      <c r="U897" s="72"/>
      <c r="V897" s="72"/>
      <c r="W897" s="72"/>
      <c r="X897" s="72"/>
      <c r="Y897" s="72"/>
      <c r="Z897" s="72"/>
      <c r="AA897" s="72"/>
      <c r="AF897" s="72"/>
      <c r="AG897" s="72"/>
      <c r="AH897" s="72"/>
    </row>
    <row r="898" spans="2:34">
      <c r="B898" s="72" t="s">
        <v>1582</v>
      </c>
      <c r="C898" s="72"/>
      <c r="D898" s="72"/>
      <c r="F898" s="72"/>
      <c r="G898" s="72"/>
      <c r="H898" s="72"/>
      <c r="P898" s="72"/>
      <c r="Q898" s="72"/>
      <c r="R898" s="72"/>
      <c r="S898" s="72"/>
      <c r="T898" s="72"/>
      <c r="U898" s="72"/>
      <c r="V898" s="72"/>
      <c r="W898" s="72"/>
      <c r="X898" s="72"/>
      <c r="Y898" s="72"/>
      <c r="Z898" s="72"/>
      <c r="AA898" s="72"/>
      <c r="AF898" s="72"/>
      <c r="AG898" s="72"/>
      <c r="AH898" s="72"/>
    </row>
    <row r="899" spans="2:34">
      <c r="B899" s="72" t="s">
        <v>1581</v>
      </c>
      <c r="C899" s="72"/>
      <c r="D899" s="72"/>
      <c r="F899" s="72"/>
      <c r="G899" s="72"/>
      <c r="H899" s="72"/>
      <c r="P899" s="72"/>
      <c r="Q899" s="72"/>
      <c r="R899" s="72"/>
      <c r="S899" s="72"/>
      <c r="T899" s="72"/>
      <c r="U899" s="72"/>
      <c r="V899" s="72"/>
      <c r="W899" s="72"/>
      <c r="X899" s="72"/>
      <c r="Y899" s="72"/>
      <c r="Z899" s="72"/>
      <c r="AA899" s="72"/>
      <c r="AF899" s="72"/>
      <c r="AG899" s="72"/>
      <c r="AH899" s="72"/>
    </row>
    <row r="900" spans="2:34">
      <c r="B900" s="72" t="s">
        <v>1580</v>
      </c>
      <c r="C900" s="72"/>
      <c r="D900" s="72"/>
      <c r="F900" s="72"/>
      <c r="G900" s="72"/>
      <c r="H900" s="72"/>
      <c r="P900" s="72"/>
      <c r="Q900" s="72"/>
      <c r="R900" s="72"/>
      <c r="S900" s="72"/>
      <c r="T900" s="72"/>
      <c r="U900" s="72"/>
      <c r="V900" s="72"/>
      <c r="W900" s="72"/>
      <c r="X900" s="72"/>
      <c r="Y900" s="72"/>
      <c r="Z900" s="72"/>
      <c r="AA900" s="72"/>
      <c r="AF900" s="72"/>
      <c r="AG900" s="72"/>
      <c r="AH900" s="72"/>
    </row>
    <row r="901" spans="2:34">
      <c r="B901" s="72" t="s">
        <v>1579</v>
      </c>
      <c r="C901" s="72"/>
      <c r="D901" s="72"/>
      <c r="F901" s="72"/>
      <c r="G901" s="72"/>
      <c r="H901" s="72"/>
      <c r="P901" s="72"/>
      <c r="Q901" s="72"/>
      <c r="R901" s="72"/>
      <c r="S901" s="72"/>
      <c r="T901" s="72"/>
      <c r="U901" s="72"/>
      <c r="V901" s="72"/>
      <c r="W901" s="72"/>
      <c r="X901" s="72"/>
      <c r="Y901" s="72"/>
      <c r="Z901" s="72"/>
      <c r="AA901" s="72"/>
      <c r="AF901" s="72"/>
      <c r="AG901" s="72"/>
      <c r="AH901" s="72"/>
    </row>
    <row r="902" spans="2:34">
      <c r="B902" s="72" t="s">
        <v>1578</v>
      </c>
      <c r="C902" s="72"/>
      <c r="D902" s="72"/>
      <c r="F902" s="72"/>
      <c r="G902" s="72"/>
      <c r="H902" s="72"/>
      <c r="P902" s="72"/>
      <c r="Q902" s="72"/>
      <c r="R902" s="72"/>
      <c r="S902" s="72"/>
      <c r="T902" s="72"/>
      <c r="U902" s="72"/>
      <c r="V902" s="72"/>
      <c r="W902" s="72"/>
      <c r="X902" s="72"/>
      <c r="Y902" s="72"/>
      <c r="Z902" s="72"/>
      <c r="AA902" s="72"/>
      <c r="AF902" s="72"/>
      <c r="AG902" s="72"/>
      <c r="AH902" s="72"/>
    </row>
    <row r="903" spans="2:34">
      <c r="B903" s="72" t="s">
        <v>1577</v>
      </c>
      <c r="C903" s="72"/>
      <c r="D903" s="72"/>
      <c r="F903" s="72"/>
      <c r="G903" s="72"/>
      <c r="H903" s="72"/>
      <c r="P903" s="72"/>
      <c r="Q903" s="72"/>
      <c r="R903" s="72"/>
      <c r="S903" s="72"/>
      <c r="T903" s="72"/>
      <c r="U903" s="72"/>
      <c r="V903" s="72"/>
      <c r="W903" s="72"/>
      <c r="X903" s="72"/>
      <c r="Y903" s="72"/>
      <c r="Z903" s="72"/>
      <c r="AA903" s="72"/>
      <c r="AF903" s="72"/>
      <c r="AG903" s="72"/>
      <c r="AH903" s="72"/>
    </row>
    <row r="904" spans="2:34">
      <c r="B904" s="72" t="s">
        <v>1576</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1575</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1574</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1573</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1572</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1571</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1570</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1569</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1568</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1567</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1566</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1565</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1564</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1563</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1562</v>
      </c>
      <c r="C918" s="72"/>
      <c r="D918" s="72"/>
      <c r="F918" s="72"/>
      <c r="G918" s="72"/>
      <c r="H918" s="72"/>
      <c r="P918" s="72"/>
      <c r="Q918" s="72"/>
      <c r="R918" s="72"/>
      <c r="S918" s="72"/>
      <c r="T918" s="72"/>
      <c r="U918" s="72"/>
      <c r="V918" s="72"/>
      <c r="W918" s="72"/>
      <c r="X918" s="72"/>
      <c r="Y918" s="72"/>
      <c r="Z918" s="72"/>
      <c r="AA918" s="72"/>
      <c r="AF918" s="72"/>
      <c r="AG918" s="72"/>
      <c r="AH918" s="72"/>
    </row>
    <row r="919" spans="2:34">
      <c r="B919" s="72" t="s">
        <v>1561</v>
      </c>
      <c r="C919" s="72"/>
      <c r="D919" s="72"/>
      <c r="F919" s="72"/>
      <c r="G919" s="72"/>
      <c r="H919" s="72"/>
      <c r="P919" s="72"/>
      <c r="Q919" s="72"/>
      <c r="R919" s="72"/>
      <c r="S919" s="72"/>
      <c r="T919" s="72"/>
      <c r="U919" s="72"/>
      <c r="V919" s="72"/>
      <c r="W919" s="72"/>
      <c r="X919" s="72"/>
      <c r="Y919" s="72"/>
      <c r="Z919" s="72"/>
      <c r="AA919" s="72"/>
      <c r="AF919" s="72"/>
      <c r="AG919" s="72"/>
      <c r="AH919" s="72"/>
    </row>
    <row r="920" spans="2:34">
      <c r="B920" s="72" t="s">
        <v>1560</v>
      </c>
      <c r="C920" s="72"/>
      <c r="D920" s="72"/>
      <c r="F920" s="72"/>
      <c r="G920" s="72"/>
      <c r="H920" s="72"/>
      <c r="P920" s="72"/>
      <c r="Q920" s="72"/>
      <c r="R920" s="72"/>
      <c r="S920" s="72"/>
      <c r="T920" s="72"/>
      <c r="U920" s="72"/>
      <c r="V920" s="72"/>
      <c r="W920" s="72"/>
      <c r="X920" s="72"/>
      <c r="Y920" s="72"/>
      <c r="Z920" s="72"/>
      <c r="AA920" s="72"/>
      <c r="AF920" s="72"/>
      <c r="AG920" s="72"/>
      <c r="AH920" s="72"/>
    </row>
    <row r="921" spans="2:34">
      <c r="B921" s="72" t="s">
        <v>1559</v>
      </c>
      <c r="C921" s="72"/>
      <c r="D921" s="72"/>
      <c r="F921" s="72"/>
      <c r="G921" s="72"/>
      <c r="H921" s="72"/>
      <c r="P921" s="72"/>
      <c r="Q921" s="72"/>
      <c r="R921" s="72"/>
      <c r="S921" s="72"/>
      <c r="T921" s="72"/>
      <c r="U921" s="72"/>
      <c r="V921" s="72"/>
      <c r="W921" s="72"/>
      <c r="X921" s="72"/>
      <c r="Y921" s="72"/>
      <c r="Z921" s="72"/>
      <c r="AA921" s="72"/>
      <c r="AF921" s="72"/>
      <c r="AG921" s="72"/>
      <c r="AH921" s="72"/>
    </row>
    <row r="922" spans="2:34">
      <c r="B922" s="72" t="s">
        <v>1558</v>
      </c>
      <c r="C922" s="72"/>
      <c r="D922" s="72"/>
      <c r="F922" s="72"/>
      <c r="G922" s="72"/>
      <c r="H922" s="72"/>
      <c r="P922" s="72"/>
      <c r="Q922" s="72"/>
      <c r="R922" s="72"/>
      <c r="S922" s="72"/>
      <c r="T922" s="72"/>
      <c r="U922" s="72"/>
      <c r="V922" s="72"/>
      <c r="W922" s="72"/>
      <c r="X922" s="72"/>
      <c r="Y922" s="72"/>
      <c r="Z922" s="72"/>
      <c r="AA922" s="72"/>
      <c r="AF922" s="72"/>
      <c r="AG922" s="72"/>
      <c r="AH922" s="72"/>
    </row>
    <row r="923" spans="2:34">
      <c r="B923" s="72" t="s">
        <v>4308</v>
      </c>
      <c r="C923" s="72"/>
      <c r="D923" s="72"/>
      <c r="F923" s="72"/>
      <c r="G923" s="72"/>
      <c r="H923" s="72"/>
      <c r="P923" s="72"/>
      <c r="Q923" s="72"/>
      <c r="R923" s="72"/>
      <c r="S923" s="72"/>
      <c r="T923" s="72"/>
      <c r="U923" s="72"/>
      <c r="V923" s="72"/>
      <c r="W923" s="72"/>
      <c r="X923" s="72"/>
      <c r="Y923" s="72"/>
      <c r="Z923" s="72"/>
      <c r="AA923" s="72"/>
      <c r="AF923" s="72"/>
      <c r="AG923" s="72"/>
      <c r="AH923" s="72"/>
    </row>
    <row r="924" spans="2:34">
      <c r="B924" s="72" t="s">
        <v>1557</v>
      </c>
    </row>
    <row r="925" spans="2:34">
      <c r="B925" s="72" t="s">
        <v>1556</v>
      </c>
    </row>
    <row r="926" spans="2:34">
      <c r="B926" s="72" t="s">
        <v>1555</v>
      </c>
    </row>
    <row r="927" spans="2:34">
      <c r="B927" s="72" t="s">
        <v>1554</v>
      </c>
    </row>
    <row r="928" spans="2:34">
      <c r="B928" s="72" t="s">
        <v>1553</v>
      </c>
    </row>
    <row r="929" spans="1:34">
      <c r="B929" s="72" t="s">
        <v>1552</v>
      </c>
      <c r="AE929" s="25" t="s">
        <v>9551</v>
      </c>
    </row>
    <row r="930" spans="1:34">
      <c r="B930" s="72" t="s">
        <v>1551</v>
      </c>
    </row>
    <row r="931" spans="1:34">
      <c r="B931" s="72" t="s">
        <v>1550</v>
      </c>
    </row>
    <row r="932" spans="1:34">
      <c r="B932" s="72" t="s">
        <v>1549</v>
      </c>
      <c r="AE932" s="25" t="s">
        <v>9548</v>
      </c>
    </row>
    <row r="933" spans="1:34">
      <c r="B933" s="72" t="s">
        <v>1548</v>
      </c>
    </row>
    <row r="934" spans="1:34">
      <c r="B934" s="12" t="s">
        <v>1547</v>
      </c>
    </row>
    <row r="935" spans="1:34">
      <c r="B935" s="72" t="s">
        <v>1546</v>
      </c>
    </row>
    <row r="936" spans="1:34">
      <c r="B936" s="72" t="s">
        <v>1545</v>
      </c>
    </row>
    <row r="937" spans="1:34">
      <c r="B937" s="72" t="s">
        <v>1544</v>
      </c>
    </row>
    <row r="938" spans="1:34">
      <c r="B938" s="72" t="s">
        <v>1543</v>
      </c>
    </row>
    <row r="939" spans="1:34" s="12" customFormat="1">
      <c r="A939" s="72"/>
      <c r="B939" s="12" t="s">
        <v>1542</v>
      </c>
      <c r="C939" s="29"/>
      <c r="D939" s="15"/>
      <c r="F939" s="15"/>
      <c r="G939" s="15"/>
      <c r="H939" s="13"/>
      <c r="K939" s="12" t="s">
        <v>3331</v>
      </c>
      <c r="L939" s="12" t="s">
        <v>3331</v>
      </c>
      <c r="P939" s="24"/>
      <c r="Q939" s="24"/>
      <c r="R939" s="24"/>
      <c r="S939" s="24"/>
      <c r="T939" s="24"/>
      <c r="U939" s="24"/>
      <c r="V939" s="24"/>
      <c r="W939" s="24"/>
      <c r="X939" s="24"/>
      <c r="Y939" s="24"/>
      <c r="Z939" s="24"/>
      <c r="AA939" s="24"/>
      <c r="AF939" s="65"/>
      <c r="AG939" s="60"/>
      <c r="AH939" s="60"/>
    </row>
    <row r="940" spans="1:34">
      <c r="B940" s="72" t="s">
        <v>1541</v>
      </c>
      <c r="C940" s="72"/>
      <c r="D940" s="72"/>
      <c r="F940" s="72"/>
      <c r="G940" s="72"/>
      <c r="H940" s="72"/>
      <c r="P940" s="72"/>
      <c r="Q940" s="72"/>
      <c r="R940" s="72"/>
      <c r="S940" s="72"/>
      <c r="T940" s="72"/>
      <c r="U940" s="72"/>
      <c r="V940" s="72"/>
      <c r="W940" s="72"/>
      <c r="X940" s="72"/>
      <c r="Y940" s="72"/>
      <c r="Z940" s="72"/>
      <c r="AA940" s="72"/>
      <c r="AF940" s="72"/>
      <c r="AG940" s="72"/>
      <c r="AH940" s="72"/>
    </row>
    <row r="941" spans="1:34">
      <c r="B941" s="72" t="s">
        <v>1540</v>
      </c>
      <c r="C941" s="72"/>
      <c r="D941" s="72"/>
      <c r="F941" s="72"/>
      <c r="G941" s="72"/>
      <c r="H941" s="72"/>
      <c r="P941" s="72"/>
      <c r="Q941" s="72"/>
      <c r="R941" s="72"/>
      <c r="S941" s="72"/>
      <c r="T941" s="72"/>
      <c r="U941" s="72"/>
      <c r="V941" s="72"/>
      <c r="W941" s="72"/>
      <c r="X941" s="72"/>
      <c r="Y941" s="72"/>
      <c r="Z941" s="72"/>
      <c r="AA941" s="72"/>
      <c r="AF941" s="72"/>
      <c r="AG941" s="72"/>
      <c r="AH941" s="72"/>
    </row>
    <row r="942" spans="1:34">
      <c r="B942" s="72" t="s">
        <v>1539</v>
      </c>
      <c r="C942" s="72"/>
      <c r="D942" s="72"/>
      <c r="F942" s="72"/>
      <c r="G942" s="72"/>
      <c r="H942" s="72"/>
      <c r="P942" s="72"/>
      <c r="Q942" s="72"/>
      <c r="R942" s="72"/>
      <c r="S942" s="72"/>
      <c r="T942" s="72"/>
      <c r="U942" s="72"/>
      <c r="V942" s="72"/>
      <c r="W942" s="72"/>
      <c r="X942" s="72"/>
      <c r="Y942" s="72"/>
      <c r="Z942" s="72"/>
      <c r="AA942" s="72"/>
      <c r="AF942" s="72"/>
      <c r="AG942" s="72"/>
      <c r="AH942" s="72"/>
    </row>
    <row r="943" spans="1:34">
      <c r="A943" s="12"/>
      <c r="B943" s="72" t="s">
        <v>1538</v>
      </c>
      <c r="C943" s="72"/>
      <c r="D943" s="72"/>
      <c r="F943" s="72"/>
      <c r="G943" s="72"/>
      <c r="H943" s="72"/>
      <c r="P943" s="72"/>
      <c r="Q943" s="72"/>
      <c r="R943" s="72"/>
      <c r="S943" s="72"/>
      <c r="T943" s="72"/>
      <c r="U943" s="72"/>
      <c r="V943" s="72"/>
      <c r="W943" s="72"/>
      <c r="X943" s="72"/>
      <c r="Y943" s="72"/>
      <c r="Z943" s="72"/>
      <c r="AA943" s="72"/>
      <c r="AF943" s="72"/>
      <c r="AG943" s="72"/>
      <c r="AH943" s="72"/>
    </row>
    <row r="944" spans="1:34">
      <c r="B944" s="72" t="s">
        <v>1537</v>
      </c>
      <c r="C944" s="72"/>
      <c r="D944" s="72"/>
      <c r="F944" s="72"/>
      <c r="G944" s="72"/>
      <c r="H944" s="72"/>
      <c r="P944" s="72"/>
      <c r="Q944" s="72"/>
      <c r="R944" s="72"/>
      <c r="S944" s="72"/>
      <c r="T944" s="72"/>
      <c r="U944" s="72"/>
      <c r="V944" s="72"/>
      <c r="W944" s="72"/>
      <c r="X944" s="72"/>
      <c r="Y944" s="72"/>
      <c r="Z944" s="72"/>
      <c r="AA944" s="72"/>
      <c r="AF944" s="72"/>
      <c r="AG944" s="72"/>
      <c r="AH944" s="72"/>
    </row>
    <row r="945" spans="2:34">
      <c r="B945" s="72" t="s">
        <v>1536</v>
      </c>
      <c r="C945" s="72"/>
      <c r="D945" s="72"/>
      <c r="F945" s="72"/>
      <c r="G945" s="72"/>
      <c r="H945" s="72"/>
      <c r="P945" s="72"/>
      <c r="Q945" s="72"/>
      <c r="R945" s="72"/>
      <c r="S945" s="72"/>
      <c r="T945" s="72"/>
      <c r="U945" s="72"/>
      <c r="V945" s="72"/>
      <c r="W945" s="72"/>
      <c r="X945" s="72"/>
      <c r="Y945" s="72"/>
      <c r="Z945" s="72"/>
      <c r="AA945" s="72"/>
      <c r="AF945" s="72"/>
      <c r="AG945" s="72"/>
      <c r="AH945" s="72"/>
    </row>
    <row r="946" spans="2:34">
      <c r="B946" s="72" t="s">
        <v>1535</v>
      </c>
      <c r="C946" s="72"/>
      <c r="D946" s="72"/>
      <c r="F946" s="72"/>
      <c r="G946" s="72"/>
      <c r="H946" s="72"/>
      <c r="P946" s="72"/>
      <c r="Q946" s="72"/>
      <c r="R946" s="72"/>
      <c r="S946" s="72"/>
      <c r="T946" s="72"/>
      <c r="U946" s="72"/>
      <c r="V946" s="72"/>
      <c r="W946" s="72"/>
      <c r="X946" s="72"/>
      <c r="Y946" s="72"/>
      <c r="Z946" s="72"/>
      <c r="AA946" s="72"/>
      <c r="AF946" s="72"/>
      <c r="AG946" s="72"/>
      <c r="AH946" s="72"/>
    </row>
    <row r="947" spans="2:34">
      <c r="B947" s="72" t="s">
        <v>1534</v>
      </c>
      <c r="C947" s="72"/>
      <c r="D947" s="72"/>
      <c r="F947" s="72"/>
      <c r="G947" s="72"/>
      <c r="H947" s="72"/>
      <c r="P947" s="72"/>
      <c r="Q947" s="72"/>
      <c r="R947" s="72"/>
      <c r="S947" s="72"/>
      <c r="T947" s="72"/>
      <c r="U947" s="72"/>
      <c r="V947" s="72"/>
      <c r="W947" s="72"/>
      <c r="X947" s="72"/>
      <c r="Y947" s="72"/>
      <c r="Z947" s="72"/>
      <c r="AA947" s="72"/>
      <c r="AF947" s="72"/>
      <c r="AG947" s="72"/>
      <c r="AH947" s="72"/>
    </row>
    <row r="948" spans="2:34">
      <c r="B948" s="72" t="s">
        <v>1533</v>
      </c>
      <c r="C948" s="72"/>
      <c r="D948" s="72"/>
      <c r="F948" s="72"/>
      <c r="G948" s="72"/>
      <c r="H948" s="72"/>
      <c r="P948" s="72"/>
      <c r="Q948" s="72"/>
      <c r="R948" s="72"/>
      <c r="S948" s="72"/>
      <c r="T948" s="72"/>
      <c r="U948" s="72"/>
      <c r="V948" s="72"/>
      <c r="W948" s="72"/>
      <c r="X948" s="72"/>
      <c r="Y948" s="72"/>
      <c r="Z948" s="72"/>
      <c r="AA948" s="72"/>
      <c r="AF948" s="72"/>
      <c r="AG948" s="72"/>
      <c r="AH948" s="72"/>
    </row>
    <row r="949" spans="2:34">
      <c r="B949" s="72" t="s">
        <v>1532</v>
      </c>
      <c r="C949" s="72"/>
      <c r="D949" s="72"/>
      <c r="F949" s="72"/>
      <c r="G949" s="72"/>
      <c r="H949" s="72"/>
      <c r="P949" s="72"/>
      <c r="Q949" s="72"/>
      <c r="R949" s="72"/>
      <c r="S949" s="72"/>
      <c r="T949" s="72"/>
      <c r="U949" s="72"/>
      <c r="V949" s="72"/>
      <c r="W949" s="72"/>
      <c r="X949" s="72"/>
      <c r="Y949" s="72"/>
      <c r="Z949" s="72"/>
      <c r="AA949" s="72"/>
      <c r="AF949" s="72"/>
      <c r="AG949" s="72"/>
      <c r="AH949" s="72"/>
    </row>
    <row r="950" spans="2:34">
      <c r="B950" s="72" t="s">
        <v>1531</v>
      </c>
      <c r="C950" s="72"/>
      <c r="D950" s="72"/>
      <c r="F950" s="72"/>
      <c r="G950" s="72"/>
      <c r="H950" s="72"/>
      <c r="P950" s="72"/>
      <c r="Q950" s="72"/>
      <c r="R950" s="72"/>
      <c r="S950" s="72"/>
      <c r="T950" s="72"/>
      <c r="U950" s="72"/>
      <c r="V950" s="72"/>
      <c r="W950" s="72"/>
      <c r="X950" s="72"/>
      <c r="Y950" s="72"/>
      <c r="Z950" s="72"/>
      <c r="AA950" s="72"/>
      <c r="AF950" s="72"/>
      <c r="AG950" s="72"/>
      <c r="AH950" s="72"/>
    </row>
    <row r="951" spans="2:34">
      <c r="B951" s="72" t="s">
        <v>1530</v>
      </c>
      <c r="C951" s="72"/>
      <c r="D951" s="72"/>
      <c r="F951" s="72"/>
      <c r="G951" s="72"/>
      <c r="H951" s="72"/>
      <c r="P951" s="72"/>
      <c r="Q951" s="72"/>
      <c r="R951" s="72"/>
      <c r="S951" s="72"/>
      <c r="T951" s="72"/>
      <c r="U951" s="72"/>
      <c r="V951" s="72"/>
      <c r="W951" s="72"/>
      <c r="X951" s="72"/>
      <c r="Y951" s="72"/>
      <c r="Z951" s="72"/>
      <c r="AA951" s="72"/>
      <c r="AF951" s="72"/>
      <c r="AG951" s="72"/>
      <c r="AH951" s="72"/>
    </row>
    <row r="952" spans="2:34">
      <c r="B952" s="72" t="s">
        <v>1529</v>
      </c>
      <c r="C952" s="72"/>
      <c r="D952" s="72"/>
      <c r="F952" s="72"/>
      <c r="G952" s="72"/>
      <c r="H952" s="72"/>
      <c r="P952" s="72"/>
      <c r="Q952" s="72"/>
      <c r="R952" s="72"/>
      <c r="S952" s="72"/>
      <c r="T952" s="72"/>
      <c r="U952" s="72"/>
      <c r="V952" s="72"/>
      <c r="W952" s="72"/>
      <c r="X952" s="72"/>
      <c r="Y952" s="72"/>
      <c r="Z952" s="72"/>
      <c r="AA952" s="72"/>
      <c r="AF952" s="72"/>
      <c r="AG952" s="72"/>
      <c r="AH952" s="72"/>
    </row>
    <row r="953" spans="2:34">
      <c r="B953" s="72" t="s">
        <v>1528</v>
      </c>
      <c r="C953" s="72"/>
      <c r="D953" s="72"/>
      <c r="F953" s="72"/>
      <c r="G953" s="72"/>
      <c r="H953" s="72"/>
      <c r="P953" s="72"/>
      <c r="Q953" s="72"/>
      <c r="R953" s="72"/>
      <c r="S953" s="72"/>
      <c r="T953" s="72"/>
      <c r="U953" s="72"/>
      <c r="V953" s="72"/>
      <c r="W953" s="72"/>
      <c r="X953" s="72"/>
      <c r="Y953" s="72"/>
      <c r="Z953" s="72"/>
      <c r="AA953" s="72"/>
      <c r="AF953" s="72"/>
      <c r="AG953" s="72"/>
      <c r="AH953" s="72"/>
    </row>
    <row r="954" spans="2:34">
      <c r="B954" s="72" t="s">
        <v>1527</v>
      </c>
      <c r="C954" s="72"/>
      <c r="D954" s="72"/>
      <c r="F954" s="72"/>
      <c r="G954" s="72"/>
      <c r="H954" s="72"/>
      <c r="P954" s="72"/>
      <c r="Q954" s="72"/>
      <c r="R954" s="72"/>
      <c r="S954" s="72"/>
      <c r="T954" s="72"/>
      <c r="U954" s="72"/>
      <c r="V954" s="72"/>
      <c r="W954" s="72"/>
      <c r="X954" s="72"/>
      <c r="Y954" s="72"/>
      <c r="Z954" s="72"/>
      <c r="AA954" s="72"/>
      <c r="AF954" s="72"/>
      <c r="AG954" s="72"/>
      <c r="AH954" s="72"/>
    </row>
    <row r="955" spans="2:34">
      <c r="B955" s="72" t="s">
        <v>1526</v>
      </c>
      <c r="C955" s="72"/>
      <c r="D955" s="72"/>
      <c r="F955" s="72"/>
      <c r="G955" s="72"/>
      <c r="H955" s="72"/>
      <c r="P955" s="72"/>
      <c r="Q955" s="72"/>
      <c r="R955" s="72"/>
      <c r="S955" s="72"/>
      <c r="T955" s="72"/>
      <c r="U955" s="72"/>
      <c r="V955" s="72"/>
      <c r="W955" s="72"/>
      <c r="X955" s="72"/>
      <c r="Y955" s="72"/>
      <c r="Z955" s="72"/>
      <c r="AA955" s="72"/>
      <c r="AF955" s="72"/>
      <c r="AG955" s="72"/>
      <c r="AH955" s="72"/>
    </row>
    <row r="956" spans="2:34">
      <c r="B956" s="72" t="s">
        <v>1525</v>
      </c>
      <c r="C956" s="72"/>
      <c r="D956" s="72"/>
      <c r="F956" s="72"/>
      <c r="G956" s="72"/>
      <c r="H956" s="72"/>
      <c r="P956" s="72"/>
      <c r="Q956" s="72"/>
      <c r="R956" s="72"/>
      <c r="S956" s="72"/>
      <c r="T956" s="72"/>
      <c r="U956" s="72"/>
      <c r="V956" s="72"/>
      <c r="W956" s="72"/>
      <c r="X956" s="72"/>
      <c r="Y956" s="72"/>
      <c r="Z956" s="72"/>
      <c r="AA956" s="72"/>
      <c r="AF956" s="72"/>
      <c r="AG956" s="72"/>
      <c r="AH956" s="72"/>
    </row>
    <row r="957" spans="2:34">
      <c r="B957" s="72" t="s">
        <v>1524</v>
      </c>
      <c r="C957" s="72"/>
      <c r="D957" s="72"/>
      <c r="F957" s="72"/>
      <c r="G957" s="72"/>
      <c r="H957" s="72"/>
      <c r="P957" s="72"/>
      <c r="Q957" s="72"/>
      <c r="R957" s="72"/>
      <c r="S957" s="72"/>
      <c r="T957" s="72"/>
      <c r="U957" s="72"/>
      <c r="V957" s="72"/>
      <c r="W957" s="72"/>
      <c r="X957" s="72"/>
      <c r="Y957" s="72"/>
      <c r="Z957" s="72"/>
      <c r="AA957" s="72"/>
      <c r="AF957" s="72"/>
      <c r="AG957" s="72"/>
      <c r="AH957" s="72"/>
    </row>
    <row r="958" spans="2:34">
      <c r="B958" s="72" t="s">
        <v>1523</v>
      </c>
      <c r="C958" s="72"/>
      <c r="D958" s="72"/>
      <c r="F958" s="72"/>
      <c r="G958" s="72"/>
      <c r="H958" s="72"/>
      <c r="P958" s="72"/>
      <c r="Q958" s="72"/>
      <c r="R958" s="72"/>
      <c r="S958" s="72"/>
      <c r="T958" s="72"/>
      <c r="U958" s="72"/>
      <c r="V958" s="72"/>
      <c r="W958" s="72"/>
      <c r="X958" s="72"/>
      <c r="Y958" s="72"/>
      <c r="Z958" s="72"/>
      <c r="AA958" s="72"/>
      <c r="AF958" s="72"/>
      <c r="AG958" s="72"/>
      <c r="AH958" s="72"/>
    </row>
    <row r="959" spans="2:34">
      <c r="B959" s="72" t="s">
        <v>1522</v>
      </c>
      <c r="C959" s="72"/>
      <c r="D959" s="72"/>
      <c r="F959" s="72"/>
      <c r="G959" s="72"/>
      <c r="H959" s="72"/>
      <c r="P959" s="72"/>
      <c r="Q959" s="72"/>
      <c r="R959" s="72"/>
      <c r="S959" s="72"/>
      <c r="T959" s="72"/>
      <c r="U959" s="72"/>
      <c r="V959" s="72"/>
      <c r="W959" s="72"/>
      <c r="X959" s="72"/>
      <c r="Y959" s="72"/>
      <c r="Z959" s="72"/>
      <c r="AA959" s="72"/>
      <c r="AF959" s="72"/>
      <c r="AG959" s="72"/>
      <c r="AH959" s="72"/>
    </row>
    <row r="960" spans="2:34">
      <c r="B960" s="72" t="s">
        <v>1521</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1520</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1519</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1518</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1517</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1516</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1515</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1514</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1513</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1512</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1511</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1510</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1509</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1508</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1507</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1506</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1505</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1504</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1503</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1502</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1501</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1500</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1499</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1498</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1497</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1496</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1495</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1494</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1493</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1492</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1491</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1490</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1489</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1488</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1487</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1486</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1485</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1484</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1483</v>
      </c>
      <c r="C998" s="72"/>
      <c r="D998" s="72"/>
      <c r="F998" s="72"/>
      <c r="G998" s="72"/>
      <c r="H998" s="72"/>
      <c r="P998" s="72"/>
      <c r="Q998" s="72"/>
      <c r="R998" s="72"/>
      <c r="S998" s="72"/>
      <c r="T998" s="72"/>
      <c r="U998" s="72"/>
      <c r="V998" s="72"/>
      <c r="W998" s="72"/>
      <c r="X998" s="72"/>
      <c r="Y998" s="72"/>
      <c r="Z998" s="72"/>
      <c r="AA998" s="72"/>
      <c r="AF998" s="72"/>
      <c r="AG998" s="72"/>
      <c r="AH998" s="72"/>
    </row>
    <row r="999" spans="2:34">
      <c r="B999" s="72" t="s">
        <v>1482</v>
      </c>
      <c r="C999" s="72"/>
      <c r="D999" s="72"/>
      <c r="F999" s="72"/>
      <c r="G999" s="72"/>
      <c r="H999" s="72"/>
      <c r="P999" s="72"/>
      <c r="Q999" s="72"/>
      <c r="R999" s="72"/>
      <c r="S999" s="72"/>
      <c r="T999" s="72"/>
      <c r="U999" s="72"/>
      <c r="V999" s="72"/>
      <c r="W999" s="72"/>
      <c r="X999" s="72"/>
      <c r="Y999" s="72"/>
      <c r="Z999" s="72"/>
      <c r="AA999" s="72"/>
      <c r="AF999" s="72"/>
      <c r="AG999" s="72"/>
      <c r="AH999" s="72"/>
    </row>
    <row r="1000" spans="2:34">
      <c r="B1000" s="72" t="s">
        <v>1481</v>
      </c>
      <c r="C1000" s="72"/>
      <c r="D1000" s="72"/>
      <c r="F1000" s="72"/>
      <c r="G1000" s="72"/>
      <c r="H1000" s="72"/>
      <c r="P1000" s="72"/>
      <c r="Q1000" s="72"/>
      <c r="R1000" s="72"/>
      <c r="S1000" s="72"/>
      <c r="T1000" s="72"/>
      <c r="U1000" s="72"/>
      <c r="V1000" s="72"/>
      <c r="W1000" s="72"/>
      <c r="X1000" s="72"/>
      <c r="Y1000" s="72"/>
      <c r="Z1000" s="72"/>
      <c r="AA1000" s="72"/>
      <c r="AF1000" s="72"/>
      <c r="AG1000" s="72"/>
      <c r="AH1000" s="72"/>
    </row>
    <row r="1001" spans="2:34">
      <c r="B1001" s="72" t="s">
        <v>1480</v>
      </c>
      <c r="C1001" s="72"/>
      <c r="D1001" s="72"/>
      <c r="F1001" s="72"/>
      <c r="G1001" s="72"/>
      <c r="H1001" s="72"/>
      <c r="P1001" s="72"/>
      <c r="Q1001" s="72"/>
      <c r="R1001" s="72"/>
      <c r="S1001" s="72"/>
      <c r="T1001" s="72"/>
      <c r="U1001" s="72"/>
      <c r="V1001" s="72"/>
      <c r="W1001" s="72"/>
      <c r="X1001" s="72"/>
      <c r="Y1001" s="72"/>
      <c r="Z1001" s="72"/>
      <c r="AA1001" s="72"/>
      <c r="AF1001" s="72"/>
      <c r="AG1001" s="72"/>
      <c r="AH1001" s="72"/>
    </row>
    <row r="1002" spans="2:34">
      <c r="B1002" s="72" t="s">
        <v>1479</v>
      </c>
      <c r="C1002" s="72"/>
      <c r="D1002" s="72"/>
      <c r="F1002" s="72"/>
      <c r="G1002" s="72"/>
      <c r="H1002" s="72"/>
      <c r="P1002" s="72"/>
      <c r="Q1002" s="72"/>
      <c r="R1002" s="72"/>
      <c r="S1002" s="72"/>
      <c r="T1002" s="72"/>
      <c r="U1002" s="72"/>
      <c r="V1002" s="72"/>
      <c r="W1002" s="72"/>
      <c r="X1002" s="72"/>
      <c r="Y1002" s="72"/>
      <c r="Z1002" s="72"/>
      <c r="AA1002" s="72"/>
      <c r="AF1002" s="72"/>
      <c r="AG1002" s="72"/>
      <c r="AH1002" s="72"/>
    </row>
    <row r="1003" spans="2:34">
      <c r="B1003" s="72" t="s">
        <v>1478</v>
      </c>
      <c r="C1003" s="72"/>
      <c r="D1003" s="72"/>
      <c r="F1003" s="72"/>
      <c r="G1003" s="72"/>
      <c r="H1003" s="72"/>
      <c r="P1003" s="72"/>
      <c r="Q1003" s="72"/>
      <c r="R1003" s="72"/>
      <c r="S1003" s="72"/>
      <c r="T1003" s="72"/>
      <c r="U1003" s="72"/>
      <c r="V1003" s="72"/>
      <c r="W1003" s="72"/>
      <c r="X1003" s="72"/>
      <c r="Y1003" s="72"/>
      <c r="Z1003" s="72"/>
      <c r="AA1003" s="72"/>
      <c r="AF1003" s="72"/>
      <c r="AG1003" s="72"/>
      <c r="AH1003" s="72"/>
    </row>
    <row r="1004" spans="2:34">
      <c r="B1004" s="72" t="s">
        <v>1477</v>
      </c>
    </row>
    <row r="1005" spans="2:34">
      <c r="B1005" s="72" t="s">
        <v>1476</v>
      </c>
    </row>
    <row r="1006" spans="2:34">
      <c r="B1006" s="72" t="s">
        <v>1475</v>
      </c>
    </row>
    <row r="1007" spans="2:34">
      <c r="B1007" s="72" t="s">
        <v>1474</v>
      </c>
    </row>
    <row r="1008" spans="2:34">
      <c r="B1008" s="72" t="s">
        <v>1473</v>
      </c>
    </row>
    <row r="1009" spans="2:34">
      <c r="B1009" s="72" t="s">
        <v>1472</v>
      </c>
    </row>
    <row r="1010" spans="2:34">
      <c r="B1010" s="72" t="s">
        <v>1471</v>
      </c>
    </row>
    <row r="1011" spans="2:34">
      <c r="B1011" s="72" t="s">
        <v>1470</v>
      </c>
    </row>
    <row r="1012" spans="2:34">
      <c r="B1012" s="72" t="s">
        <v>1469</v>
      </c>
      <c r="AE1012" s="25" t="s">
        <v>4296</v>
      </c>
      <c r="AF1012" s="64"/>
      <c r="AG1012" s="59"/>
      <c r="AH1012" s="59"/>
    </row>
    <row r="1013" spans="2:34">
      <c r="B1013" s="72" t="s">
        <v>1468</v>
      </c>
    </row>
    <row r="1014" spans="2:34">
      <c r="B1014" s="72" t="s">
        <v>1467</v>
      </c>
    </row>
    <row r="1015" spans="2:34">
      <c r="B1015" s="72" t="s">
        <v>1466</v>
      </c>
    </row>
    <row r="1016" spans="2:34">
      <c r="B1016" s="72" t="s">
        <v>1465</v>
      </c>
    </row>
    <row r="1017" spans="2:34">
      <c r="B1017" s="72" t="s">
        <v>1464</v>
      </c>
    </row>
    <row r="1018" spans="2:34">
      <c r="B1018" s="72" t="s">
        <v>1463</v>
      </c>
    </row>
    <row r="1019" spans="2:34">
      <c r="B1019" s="72" t="s">
        <v>1462</v>
      </c>
    </row>
    <row r="1020" spans="2:34">
      <c r="B1020" s="72" t="s">
        <v>1461</v>
      </c>
      <c r="AF1020" s="72"/>
      <c r="AG1020" s="72"/>
      <c r="AH1020" s="72"/>
    </row>
    <row r="1021" spans="2:34">
      <c r="B1021" s="72" t="s">
        <v>1460</v>
      </c>
      <c r="AE1021" s="89"/>
      <c r="AF1021" s="72"/>
      <c r="AG1021" s="72"/>
      <c r="AH1021" s="72"/>
    </row>
    <row r="1022" spans="2:34">
      <c r="B1022" s="72" t="s">
        <v>1459</v>
      </c>
      <c r="AF1022" s="72"/>
      <c r="AG1022" s="72"/>
      <c r="AH1022" s="72"/>
    </row>
    <row r="1023" spans="2:34">
      <c r="B1023" s="72" t="s">
        <v>1458</v>
      </c>
      <c r="AF1023" s="72"/>
      <c r="AG1023" s="72"/>
      <c r="AH1023" s="72"/>
    </row>
    <row r="1024" spans="2:34">
      <c r="B1024" s="72" t="s">
        <v>1457</v>
      </c>
      <c r="AF1024" s="72"/>
      <c r="AG1024" s="72"/>
      <c r="AH1024" s="72"/>
    </row>
    <row r="1025" spans="2:34">
      <c r="B1025" s="72" t="s">
        <v>1456</v>
      </c>
      <c r="AF1025" s="72"/>
      <c r="AG1025" s="72"/>
      <c r="AH1025" s="72"/>
    </row>
    <row r="1026" spans="2:34">
      <c r="B1026" s="72" t="s">
        <v>1455</v>
      </c>
      <c r="AF1026" s="72"/>
      <c r="AG1026" s="72"/>
      <c r="AH1026" s="72"/>
    </row>
    <row r="1027" spans="2:34">
      <c r="B1027" s="72" t="s">
        <v>1454</v>
      </c>
      <c r="AF1027" s="72"/>
      <c r="AG1027" s="72"/>
      <c r="AH1027" s="72"/>
    </row>
    <row r="1028" spans="2:34">
      <c r="B1028" s="72" t="s">
        <v>1453</v>
      </c>
      <c r="AF1028" s="72"/>
      <c r="AG1028" s="72"/>
      <c r="AH1028" s="72"/>
    </row>
    <row r="1029" spans="2:34">
      <c r="B1029" s="72" t="s">
        <v>1452</v>
      </c>
      <c r="AF1029" s="72"/>
      <c r="AG1029" s="72"/>
      <c r="AH1029" s="72"/>
    </row>
    <row r="1030" spans="2:34">
      <c r="B1030" s="72" t="s">
        <v>1451</v>
      </c>
      <c r="AF1030" s="72"/>
      <c r="AG1030" s="72"/>
      <c r="AH1030" s="72"/>
    </row>
    <row r="1031" spans="2:34">
      <c r="B1031" s="72" t="s">
        <v>1450</v>
      </c>
      <c r="C1031" s="73" t="s">
        <v>2138</v>
      </c>
      <c r="AF1031" s="72"/>
      <c r="AG1031" s="72"/>
      <c r="AH1031" s="72"/>
    </row>
    <row r="1032" spans="2:34">
      <c r="B1032" s="72" t="s">
        <v>1449</v>
      </c>
      <c r="AF1032" s="72"/>
      <c r="AG1032" s="72"/>
      <c r="AH1032" s="72"/>
    </row>
    <row r="1033" spans="2:34">
      <c r="B1033" s="72" t="s">
        <v>1448</v>
      </c>
      <c r="AF1033" s="72"/>
      <c r="AG1033" s="72"/>
      <c r="AH1033" s="72"/>
    </row>
    <row r="1034" spans="2:34">
      <c r="B1034" s="72" t="s">
        <v>1447</v>
      </c>
      <c r="AF1034" s="72"/>
      <c r="AG1034" s="72"/>
      <c r="AH1034" s="72"/>
    </row>
    <row r="1035" spans="2:34">
      <c r="B1035" s="72" t="s">
        <v>1446</v>
      </c>
      <c r="AF1035" s="72"/>
      <c r="AG1035" s="72"/>
      <c r="AH1035" s="72"/>
    </row>
    <row r="1036" spans="2:34">
      <c r="B1036" s="72" t="s">
        <v>1445</v>
      </c>
      <c r="C1036" s="72"/>
      <c r="D1036" s="72"/>
      <c r="F1036" s="72"/>
      <c r="G1036" s="72"/>
      <c r="H1036" s="72"/>
      <c r="P1036" s="72"/>
      <c r="Q1036" s="72"/>
      <c r="R1036" s="72"/>
      <c r="S1036" s="72"/>
      <c r="T1036" s="72"/>
      <c r="U1036" s="72"/>
      <c r="V1036" s="72"/>
      <c r="W1036" s="72"/>
      <c r="X1036" s="72"/>
      <c r="Y1036" s="72"/>
      <c r="Z1036" s="72"/>
      <c r="AA1036" s="72"/>
      <c r="AF1036" s="72"/>
      <c r="AG1036" s="72"/>
      <c r="AH1036" s="72"/>
    </row>
    <row r="1037" spans="2:34">
      <c r="B1037" s="72" t="s">
        <v>1444</v>
      </c>
      <c r="C1037" s="72"/>
      <c r="D1037" s="72"/>
      <c r="F1037" s="72"/>
      <c r="G1037" s="72"/>
      <c r="H1037" s="72"/>
      <c r="P1037" s="72"/>
      <c r="Q1037" s="72"/>
      <c r="R1037" s="72"/>
      <c r="S1037" s="72"/>
      <c r="T1037" s="72"/>
      <c r="U1037" s="72"/>
      <c r="V1037" s="72"/>
      <c r="W1037" s="72"/>
      <c r="X1037" s="72"/>
      <c r="Y1037" s="72"/>
      <c r="Z1037" s="72"/>
      <c r="AA1037" s="72"/>
      <c r="AF1037" s="72"/>
      <c r="AG1037" s="72"/>
      <c r="AH1037" s="72"/>
    </row>
    <row r="1038" spans="2:34">
      <c r="B1038" s="72" t="s">
        <v>1443</v>
      </c>
      <c r="C1038" s="72"/>
      <c r="D1038" s="72"/>
      <c r="F1038" s="72"/>
      <c r="G1038" s="72"/>
      <c r="H1038" s="72"/>
      <c r="P1038" s="72"/>
      <c r="Q1038" s="72"/>
      <c r="R1038" s="72"/>
      <c r="S1038" s="72"/>
      <c r="T1038" s="72"/>
      <c r="U1038" s="72"/>
      <c r="V1038" s="72"/>
      <c r="W1038" s="72"/>
      <c r="X1038" s="72"/>
      <c r="Y1038" s="72"/>
      <c r="Z1038" s="72"/>
      <c r="AA1038" s="72"/>
      <c r="AF1038" s="72"/>
      <c r="AG1038" s="72"/>
      <c r="AH1038" s="72"/>
    </row>
    <row r="1039" spans="2:34">
      <c r="B1039" s="72" t="s">
        <v>1442</v>
      </c>
      <c r="C1039" s="72"/>
      <c r="D1039" s="72"/>
      <c r="F1039" s="72"/>
      <c r="G1039" s="72"/>
      <c r="H1039" s="72"/>
      <c r="P1039" s="72"/>
      <c r="Q1039" s="72"/>
      <c r="R1039" s="72"/>
      <c r="S1039" s="72"/>
      <c r="T1039" s="72"/>
      <c r="U1039" s="72"/>
      <c r="V1039" s="72"/>
      <c r="W1039" s="72"/>
      <c r="X1039" s="72"/>
      <c r="Y1039" s="72"/>
      <c r="Z1039" s="72"/>
      <c r="AA1039" s="72"/>
      <c r="AF1039" s="72"/>
      <c r="AG1039" s="72"/>
      <c r="AH1039" s="72"/>
    </row>
    <row r="1040" spans="2:34">
      <c r="B1040" s="72" t="s">
        <v>1441</v>
      </c>
      <c r="C1040" s="72"/>
      <c r="D1040" s="72"/>
      <c r="F1040" s="72"/>
      <c r="G1040" s="72"/>
      <c r="H1040" s="72"/>
      <c r="P1040" s="72"/>
      <c r="Q1040" s="72"/>
      <c r="R1040" s="72"/>
      <c r="S1040" s="72"/>
      <c r="T1040" s="72"/>
      <c r="U1040" s="72"/>
      <c r="V1040" s="72"/>
      <c r="W1040" s="72"/>
      <c r="X1040" s="72"/>
      <c r="Y1040" s="72"/>
      <c r="Z1040" s="72"/>
      <c r="AA1040" s="72"/>
      <c r="AF1040" s="72"/>
      <c r="AG1040" s="72"/>
      <c r="AH1040" s="72"/>
    </row>
    <row r="1041" spans="2:34">
      <c r="B1041" s="72" t="s">
        <v>1440</v>
      </c>
      <c r="C1041" s="72"/>
      <c r="D1041" s="72"/>
      <c r="F1041" s="72"/>
      <c r="G1041" s="72"/>
      <c r="H1041" s="72"/>
      <c r="P1041" s="72"/>
      <c r="Q1041" s="72"/>
      <c r="R1041" s="72"/>
      <c r="S1041" s="72"/>
      <c r="T1041" s="72"/>
      <c r="U1041" s="72"/>
      <c r="V1041" s="72"/>
      <c r="W1041" s="72"/>
      <c r="X1041" s="72"/>
      <c r="Y1041" s="72"/>
      <c r="Z1041" s="72"/>
      <c r="AA1041" s="72"/>
      <c r="AF1041" s="72"/>
      <c r="AG1041" s="72"/>
      <c r="AH1041" s="72"/>
    </row>
    <row r="1042" spans="2:34">
      <c r="B1042" s="72" t="s">
        <v>1439</v>
      </c>
      <c r="C1042" s="72"/>
      <c r="D1042" s="72"/>
      <c r="F1042" s="72"/>
      <c r="G1042" s="72"/>
      <c r="H1042" s="72"/>
      <c r="P1042" s="72"/>
      <c r="Q1042" s="72"/>
      <c r="R1042" s="72"/>
      <c r="S1042" s="72"/>
      <c r="T1042" s="72"/>
      <c r="U1042" s="72"/>
      <c r="V1042" s="72"/>
      <c r="W1042" s="72"/>
      <c r="X1042" s="72"/>
      <c r="Y1042" s="72"/>
      <c r="Z1042" s="72"/>
      <c r="AA1042" s="72"/>
      <c r="AF1042" s="72"/>
      <c r="AG1042" s="72"/>
      <c r="AH1042" s="72"/>
    </row>
    <row r="1043" spans="2:34">
      <c r="B1043" s="72" t="s">
        <v>1438</v>
      </c>
      <c r="C1043" s="72"/>
      <c r="D1043" s="72"/>
      <c r="F1043" s="72"/>
      <c r="G1043" s="72"/>
      <c r="H1043" s="72"/>
      <c r="P1043" s="72"/>
      <c r="Q1043" s="72"/>
      <c r="R1043" s="72"/>
      <c r="S1043" s="72"/>
      <c r="T1043" s="72"/>
      <c r="U1043" s="72"/>
      <c r="V1043" s="72"/>
      <c r="W1043" s="72"/>
      <c r="X1043" s="72"/>
      <c r="Y1043" s="72"/>
      <c r="Z1043" s="72"/>
      <c r="AA1043" s="72"/>
      <c r="AF1043" s="72"/>
      <c r="AG1043" s="72"/>
      <c r="AH1043" s="72"/>
    </row>
    <row r="1044" spans="2:34">
      <c r="B1044" s="72" t="s">
        <v>1437</v>
      </c>
      <c r="C1044" s="72"/>
      <c r="D1044" s="72"/>
      <c r="F1044" s="72"/>
      <c r="G1044" s="72"/>
      <c r="H1044" s="72"/>
      <c r="P1044" s="72"/>
      <c r="Q1044" s="72"/>
      <c r="R1044" s="72"/>
      <c r="S1044" s="72"/>
      <c r="T1044" s="72"/>
      <c r="U1044" s="72"/>
      <c r="V1044" s="72"/>
      <c r="W1044" s="72"/>
      <c r="X1044" s="72"/>
      <c r="Y1044" s="72"/>
      <c r="Z1044" s="72"/>
      <c r="AA1044" s="72"/>
      <c r="AF1044" s="72"/>
      <c r="AG1044" s="72"/>
      <c r="AH1044" s="72"/>
    </row>
    <row r="1045" spans="2:34">
      <c r="B1045" s="72" t="s">
        <v>490</v>
      </c>
      <c r="C1045" s="72"/>
      <c r="D1045" s="72"/>
      <c r="F1045" s="72"/>
      <c r="G1045" s="72"/>
      <c r="H1045" s="72"/>
      <c r="P1045" s="72"/>
      <c r="Q1045" s="72"/>
      <c r="R1045" s="72"/>
      <c r="S1045" s="72"/>
      <c r="T1045" s="72"/>
      <c r="U1045" s="72"/>
      <c r="V1045" s="72"/>
      <c r="W1045" s="72"/>
      <c r="X1045" s="72"/>
      <c r="Y1045" s="72"/>
      <c r="Z1045" s="72"/>
      <c r="AA1045" s="72"/>
      <c r="AF1045" s="72"/>
      <c r="AG1045" s="72"/>
      <c r="AH1045" s="72"/>
    </row>
    <row r="1046" spans="2:34">
      <c r="B1046" s="72" t="s">
        <v>1436</v>
      </c>
      <c r="C1046" s="72"/>
      <c r="D1046" s="72"/>
      <c r="F1046" s="72"/>
      <c r="G1046" s="72"/>
      <c r="H1046" s="72"/>
      <c r="P1046" s="72"/>
      <c r="Q1046" s="72"/>
      <c r="R1046" s="72"/>
      <c r="S1046" s="72"/>
      <c r="T1046" s="72"/>
      <c r="U1046" s="72"/>
      <c r="V1046" s="72"/>
      <c r="W1046" s="72"/>
      <c r="X1046" s="72"/>
      <c r="Y1046" s="72"/>
      <c r="Z1046" s="72"/>
      <c r="AA1046" s="72"/>
      <c r="AF1046" s="72"/>
      <c r="AG1046" s="72"/>
      <c r="AH1046" s="72"/>
    </row>
    <row r="1047" spans="2:34">
      <c r="B1047" s="72" t="s">
        <v>1435</v>
      </c>
      <c r="C1047" s="72"/>
      <c r="D1047" s="72"/>
      <c r="F1047" s="72"/>
      <c r="G1047" s="72"/>
      <c r="H1047" s="72"/>
      <c r="P1047" s="72"/>
      <c r="Q1047" s="72"/>
      <c r="R1047" s="72"/>
      <c r="S1047" s="72"/>
      <c r="T1047" s="72"/>
      <c r="U1047" s="72"/>
      <c r="V1047" s="72"/>
      <c r="W1047" s="72"/>
      <c r="X1047" s="72"/>
      <c r="Y1047" s="72"/>
      <c r="Z1047" s="72"/>
      <c r="AA1047" s="72"/>
      <c r="AF1047" s="72"/>
      <c r="AG1047" s="72"/>
      <c r="AH1047" s="72"/>
    </row>
    <row r="1048" spans="2:34">
      <c r="B1048" s="72" t="s">
        <v>1434</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1433</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1432</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1431</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1430</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1429</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1428</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1427</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1426</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1425</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1424</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1423</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1422</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1421</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1420</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1419</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1418</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1417</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1416</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1415</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1414</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1413</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1412</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1411</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1410</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1409</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1408</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1407</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1406</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1405</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1404</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1403</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1402</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1401</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1400</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1399</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1398</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1397</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1396</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1395</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1394</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1393</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1392</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1391</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1390</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1389</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1388</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1387</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1386</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1385</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1384</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1383</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1382</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1381</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1380</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1379</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1378</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1377</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1376</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1375</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1374</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1373</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1372</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1371</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1370</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1369</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1368</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1367</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1366</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1365</v>
      </c>
      <c r="C1117" s="72"/>
      <c r="D1117" s="72"/>
      <c r="F1117" s="72"/>
      <c r="G1117" s="72"/>
      <c r="H1117" s="72"/>
      <c r="P1117" s="72"/>
      <c r="Q1117" s="72"/>
      <c r="R1117" s="72"/>
      <c r="S1117" s="72"/>
      <c r="T1117" s="72"/>
      <c r="U1117" s="72"/>
      <c r="V1117" s="72"/>
      <c r="W1117" s="72"/>
      <c r="X1117" s="72"/>
      <c r="Y1117" s="72"/>
      <c r="Z1117" s="72"/>
      <c r="AA1117" s="72"/>
      <c r="AF1117" s="72"/>
      <c r="AG1117" s="72"/>
      <c r="AH1117" s="72"/>
    </row>
    <row r="1118" spans="2:34">
      <c r="B1118" s="72" t="s">
        <v>1364</v>
      </c>
      <c r="C1118" s="72"/>
      <c r="D1118" s="72"/>
      <c r="F1118" s="72"/>
      <c r="G1118" s="72"/>
      <c r="H1118" s="72"/>
      <c r="P1118" s="72"/>
      <c r="Q1118" s="72"/>
      <c r="R1118" s="72"/>
      <c r="S1118" s="72"/>
      <c r="T1118" s="72"/>
      <c r="U1118" s="72"/>
      <c r="V1118" s="72"/>
      <c r="W1118" s="72"/>
      <c r="X1118" s="72"/>
      <c r="Y1118" s="72"/>
      <c r="Z1118" s="72"/>
      <c r="AA1118" s="72"/>
      <c r="AE1118" s="25" t="s">
        <v>9732</v>
      </c>
      <c r="AF1118" s="72"/>
      <c r="AG1118" s="72"/>
      <c r="AH1118" s="72"/>
    </row>
    <row r="1119" spans="2:34">
      <c r="B1119" s="72" t="s">
        <v>1363</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1362</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1361</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1360</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1359</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1358</v>
      </c>
      <c r="C1124" s="72"/>
      <c r="D1124" s="72"/>
      <c r="F1124" s="72"/>
      <c r="G1124" s="72"/>
      <c r="H1124" s="72"/>
      <c r="P1124" s="72"/>
      <c r="Q1124" s="72"/>
      <c r="R1124" s="72"/>
      <c r="S1124" s="72"/>
      <c r="T1124" s="72"/>
      <c r="U1124" s="72"/>
      <c r="V1124" s="72"/>
      <c r="W1124" s="72"/>
      <c r="X1124" s="72"/>
      <c r="Y1124" s="72"/>
      <c r="Z1124" s="72"/>
      <c r="AA1124" s="72"/>
      <c r="AF1124" s="72"/>
      <c r="AG1124" s="72"/>
      <c r="AH1124" s="72"/>
    </row>
    <row r="1125" spans="2:34">
      <c r="B1125" s="72" t="s">
        <v>1357</v>
      </c>
      <c r="C1125" s="72"/>
      <c r="D1125" s="72"/>
      <c r="F1125" s="72"/>
      <c r="G1125" s="72"/>
      <c r="H1125" s="72"/>
      <c r="P1125" s="72"/>
      <c r="Q1125" s="72"/>
      <c r="R1125" s="72"/>
      <c r="S1125" s="72"/>
      <c r="T1125" s="72"/>
      <c r="U1125" s="72"/>
      <c r="V1125" s="72"/>
      <c r="W1125" s="72"/>
      <c r="X1125" s="72"/>
      <c r="Y1125" s="72"/>
      <c r="Z1125" s="72"/>
      <c r="AA1125" s="72"/>
      <c r="AF1125" s="72"/>
      <c r="AG1125" s="72"/>
      <c r="AH1125" s="72"/>
    </row>
    <row r="1126" spans="2:34">
      <c r="B1126" s="72" t="s">
        <v>1356</v>
      </c>
      <c r="C1126" s="72"/>
      <c r="D1126" s="72"/>
      <c r="F1126" s="72"/>
      <c r="G1126" s="72"/>
      <c r="H1126" s="72"/>
      <c r="P1126" s="72"/>
      <c r="Q1126" s="72"/>
      <c r="R1126" s="72"/>
      <c r="S1126" s="72"/>
      <c r="T1126" s="72"/>
      <c r="U1126" s="72"/>
      <c r="V1126" s="72"/>
      <c r="W1126" s="72"/>
      <c r="X1126" s="72"/>
      <c r="Y1126" s="72"/>
      <c r="Z1126" s="72"/>
      <c r="AA1126" s="72"/>
      <c r="AF1126" s="72"/>
      <c r="AG1126" s="72"/>
      <c r="AH1126" s="72"/>
    </row>
    <row r="1127" spans="2:34">
      <c r="B1127" s="72" t="s">
        <v>1355</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1354</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1353</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1352</v>
      </c>
      <c r="C1130" s="72"/>
      <c r="D1130" s="72"/>
      <c r="F1130" s="72"/>
      <c r="G1130" s="72"/>
      <c r="H1130" s="72"/>
      <c r="P1130" s="72"/>
      <c r="Q1130" s="72"/>
      <c r="R1130" s="72"/>
      <c r="S1130" s="72"/>
      <c r="T1130" s="72"/>
      <c r="U1130" s="72"/>
      <c r="V1130" s="72"/>
      <c r="W1130" s="72"/>
      <c r="X1130" s="72"/>
      <c r="Y1130" s="72"/>
      <c r="Z1130" s="72"/>
      <c r="AA1130" s="72"/>
      <c r="AF1130" s="72"/>
      <c r="AG1130" s="72"/>
      <c r="AH1130" s="72"/>
    </row>
    <row r="1131" spans="2:34">
      <c r="B1131" s="72" t="s">
        <v>1351</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1350</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1349</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1348</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1347</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1346</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1345</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1344</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1343</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1342</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1341</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1340</v>
      </c>
      <c r="C1142" s="72"/>
      <c r="D1142" s="72"/>
      <c r="F1142" s="72"/>
      <c r="G1142" s="72"/>
      <c r="H1142" s="72"/>
      <c r="P1142" s="72"/>
      <c r="Q1142" s="72"/>
      <c r="R1142" s="72"/>
      <c r="S1142" s="72"/>
      <c r="T1142" s="72"/>
      <c r="U1142" s="72"/>
      <c r="V1142" s="72"/>
      <c r="W1142" s="72"/>
      <c r="X1142" s="72"/>
      <c r="Y1142" s="72"/>
      <c r="Z1142" s="72"/>
      <c r="AA1142" s="72"/>
      <c r="AF1142" s="72"/>
      <c r="AG1142" s="72"/>
      <c r="AH1142" s="72"/>
    </row>
    <row r="1143" spans="2:34">
      <c r="B1143" s="72" t="s">
        <v>1339</v>
      </c>
      <c r="C1143" s="72"/>
      <c r="D1143" s="72"/>
      <c r="F1143" s="72"/>
      <c r="G1143" s="72"/>
      <c r="H1143" s="72"/>
      <c r="P1143" s="72"/>
      <c r="Q1143" s="72"/>
      <c r="R1143" s="72"/>
      <c r="S1143" s="72"/>
      <c r="T1143" s="72"/>
      <c r="U1143" s="72"/>
      <c r="V1143" s="72"/>
      <c r="W1143" s="72"/>
      <c r="X1143" s="72"/>
      <c r="Y1143" s="72"/>
      <c r="Z1143" s="72"/>
      <c r="AA1143" s="72"/>
      <c r="AF1143" s="72"/>
      <c r="AG1143" s="72"/>
      <c r="AH1143" s="72"/>
    </row>
    <row r="1144" spans="2:34">
      <c r="B1144" s="72" t="s">
        <v>1338</v>
      </c>
      <c r="C1144" s="72"/>
      <c r="D1144" s="72"/>
      <c r="F1144" s="72"/>
      <c r="G1144" s="72"/>
      <c r="H1144" s="72"/>
      <c r="P1144" s="72"/>
      <c r="Q1144" s="72"/>
      <c r="R1144" s="72"/>
      <c r="S1144" s="72"/>
      <c r="T1144" s="72"/>
      <c r="U1144" s="72"/>
      <c r="V1144" s="72"/>
      <c r="W1144" s="72"/>
      <c r="X1144" s="72"/>
      <c r="Y1144" s="72"/>
      <c r="Z1144" s="72"/>
      <c r="AA1144" s="72"/>
      <c r="AF1144" s="72"/>
      <c r="AG1144" s="72"/>
      <c r="AH1144" s="72"/>
    </row>
    <row r="1145" spans="2:34">
      <c r="B1145" s="72" t="s">
        <v>1337</v>
      </c>
      <c r="C1145" s="72"/>
      <c r="D1145" s="72"/>
      <c r="F1145" s="72"/>
      <c r="G1145" s="72"/>
      <c r="H1145" s="72"/>
      <c r="P1145" s="72"/>
      <c r="Q1145" s="72"/>
      <c r="R1145" s="72"/>
      <c r="S1145" s="72"/>
      <c r="T1145" s="72"/>
      <c r="U1145" s="72"/>
      <c r="V1145" s="72"/>
      <c r="W1145" s="72"/>
      <c r="X1145" s="72"/>
      <c r="Y1145" s="72"/>
      <c r="Z1145" s="72"/>
      <c r="AA1145" s="72"/>
      <c r="AF1145" s="72"/>
      <c r="AG1145" s="72"/>
      <c r="AH1145" s="72"/>
    </row>
    <row r="1146" spans="2:34">
      <c r="B1146" s="72" t="s">
        <v>1336</v>
      </c>
      <c r="C1146" s="72"/>
      <c r="D1146" s="72"/>
      <c r="F1146" s="72"/>
      <c r="G1146" s="72"/>
      <c r="H1146" s="72"/>
      <c r="P1146" s="72"/>
      <c r="Q1146" s="72"/>
      <c r="R1146" s="72"/>
      <c r="S1146" s="72"/>
      <c r="T1146" s="72"/>
      <c r="U1146" s="72"/>
      <c r="V1146" s="72"/>
      <c r="W1146" s="72"/>
      <c r="X1146" s="72"/>
      <c r="Y1146" s="72"/>
      <c r="Z1146" s="72"/>
      <c r="AA1146" s="72"/>
      <c r="AF1146" s="72"/>
      <c r="AG1146" s="72"/>
      <c r="AH1146" s="72"/>
    </row>
    <row r="1147" spans="2:34">
      <c r="B1147" s="72" t="s">
        <v>1335</v>
      </c>
      <c r="C1147" s="72"/>
      <c r="D1147" s="72"/>
      <c r="F1147" s="72"/>
      <c r="G1147" s="72"/>
      <c r="H1147" s="72"/>
      <c r="P1147" s="72"/>
      <c r="Q1147" s="72"/>
      <c r="R1147" s="72"/>
      <c r="S1147" s="72"/>
      <c r="T1147" s="72"/>
      <c r="U1147" s="72"/>
      <c r="V1147" s="72"/>
      <c r="W1147" s="72"/>
      <c r="X1147" s="72"/>
      <c r="Y1147" s="72"/>
      <c r="Z1147" s="72"/>
      <c r="AA1147" s="72"/>
      <c r="AF1147" s="72"/>
      <c r="AG1147" s="72"/>
      <c r="AH1147" s="72"/>
    </row>
    <row r="1148" spans="2:34">
      <c r="B1148" s="72" t="s">
        <v>1334</v>
      </c>
      <c r="P1148" s="72"/>
      <c r="Q1148" s="72"/>
      <c r="R1148" s="72"/>
      <c r="S1148" s="72"/>
      <c r="T1148" s="72"/>
      <c r="U1148" s="72"/>
      <c r="V1148" s="72"/>
      <c r="W1148" s="72"/>
      <c r="X1148" s="72"/>
      <c r="Y1148" s="72"/>
      <c r="Z1148" s="72"/>
      <c r="AA1148" s="72"/>
      <c r="AF1148" s="72"/>
      <c r="AG1148" s="72"/>
      <c r="AH1148" s="72"/>
    </row>
    <row r="1149" spans="2:34">
      <c r="B1149" s="72" t="s">
        <v>1333</v>
      </c>
      <c r="P1149" s="72"/>
      <c r="Q1149" s="72"/>
      <c r="R1149" s="72"/>
      <c r="S1149" s="72"/>
      <c r="T1149" s="72"/>
      <c r="U1149" s="72"/>
      <c r="V1149" s="72"/>
      <c r="W1149" s="72"/>
      <c r="X1149" s="72"/>
      <c r="Y1149" s="72"/>
      <c r="Z1149" s="72"/>
      <c r="AA1149" s="72"/>
      <c r="AF1149" s="72"/>
      <c r="AG1149" s="72"/>
      <c r="AH1149" s="72"/>
    </row>
    <row r="1150" spans="2:34">
      <c r="B1150" s="72" t="s">
        <v>1332</v>
      </c>
      <c r="P1150" s="72"/>
      <c r="Q1150" s="72"/>
      <c r="R1150" s="72"/>
      <c r="S1150" s="72"/>
      <c r="T1150" s="72"/>
      <c r="U1150" s="72"/>
      <c r="V1150" s="72"/>
      <c r="W1150" s="72"/>
      <c r="X1150" s="72"/>
      <c r="Y1150" s="72"/>
      <c r="Z1150" s="72"/>
      <c r="AA1150" s="72"/>
      <c r="AF1150" s="72"/>
      <c r="AG1150" s="72"/>
      <c r="AH1150" s="72"/>
    </row>
    <row r="1151" spans="2:34">
      <c r="B1151" s="72" t="s">
        <v>1331</v>
      </c>
      <c r="P1151" s="72"/>
      <c r="Q1151" s="72"/>
      <c r="R1151" s="72"/>
      <c r="S1151" s="72"/>
      <c r="T1151" s="72"/>
      <c r="U1151" s="72"/>
      <c r="V1151" s="72"/>
      <c r="W1151" s="72"/>
      <c r="X1151" s="72"/>
      <c r="Y1151" s="72"/>
      <c r="Z1151" s="72"/>
      <c r="AA1151" s="72"/>
      <c r="AF1151" s="72"/>
      <c r="AG1151" s="72"/>
      <c r="AH1151" s="72"/>
    </row>
    <row r="1152" spans="2:34">
      <c r="B1152" s="72" t="s">
        <v>1330</v>
      </c>
      <c r="P1152" s="72"/>
      <c r="Q1152" s="72"/>
      <c r="R1152" s="72"/>
      <c r="S1152" s="72"/>
      <c r="T1152" s="72"/>
      <c r="U1152" s="72"/>
      <c r="V1152" s="72"/>
      <c r="W1152" s="72"/>
      <c r="X1152" s="72"/>
      <c r="Y1152" s="72"/>
      <c r="Z1152" s="72"/>
      <c r="AA1152" s="72"/>
      <c r="AF1152" s="72"/>
      <c r="AG1152" s="72"/>
      <c r="AH1152" s="72"/>
    </row>
    <row r="1153" spans="2:34">
      <c r="B1153" s="72" t="s">
        <v>1329</v>
      </c>
      <c r="K1153" s="72" t="s">
        <v>3331</v>
      </c>
      <c r="L1153" s="72" t="s">
        <v>3331</v>
      </c>
      <c r="P1153" s="72"/>
      <c r="Q1153" s="72"/>
      <c r="R1153" s="72"/>
      <c r="S1153" s="72"/>
      <c r="T1153" s="72"/>
      <c r="U1153" s="72"/>
      <c r="V1153" s="72"/>
      <c r="W1153" s="72"/>
      <c r="X1153" s="72"/>
      <c r="Y1153" s="72"/>
      <c r="Z1153" s="72"/>
      <c r="AA1153" s="72"/>
      <c r="AF1153" s="72"/>
      <c r="AG1153" s="72"/>
      <c r="AH1153" s="72"/>
    </row>
    <row r="1154" spans="2:34">
      <c r="B1154" s="72" t="s">
        <v>1328</v>
      </c>
      <c r="P1154" s="72"/>
      <c r="Q1154" s="72"/>
      <c r="R1154" s="72"/>
      <c r="S1154" s="72"/>
      <c r="T1154" s="72"/>
      <c r="U1154" s="72"/>
      <c r="V1154" s="72"/>
      <c r="W1154" s="72"/>
      <c r="X1154" s="72"/>
      <c r="Y1154" s="72"/>
      <c r="Z1154" s="72"/>
      <c r="AA1154" s="72"/>
      <c r="AF1154" s="72"/>
      <c r="AG1154" s="72"/>
      <c r="AH1154" s="72"/>
    </row>
    <row r="1155" spans="2:34">
      <c r="B1155" s="72" t="s">
        <v>1327</v>
      </c>
      <c r="P1155" s="72"/>
      <c r="Q1155" s="72"/>
      <c r="R1155" s="72"/>
      <c r="S1155" s="72"/>
      <c r="T1155" s="72"/>
      <c r="U1155" s="72"/>
      <c r="V1155" s="72"/>
      <c r="W1155" s="72"/>
      <c r="X1155" s="72"/>
      <c r="Y1155" s="72"/>
      <c r="Z1155" s="72"/>
      <c r="AA1155" s="72"/>
      <c r="AF1155" s="72"/>
      <c r="AG1155" s="72"/>
      <c r="AH1155" s="72"/>
    </row>
    <row r="1156" spans="2:34">
      <c r="B1156" s="72" t="s">
        <v>1326</v>
      </c>
      <c r="P1156" s="72"/>
      <c r="Q1156" s="72"/>
      <c r="R1156" s="72"/>
      <c r="S1156" s="72"/>
      <c r="T1156" s="72"/>
      <c r="U1156" s="72"/>
      <c r="V1156" s="72"/>
      <c r="W1156" s="72"/>
      <c r="X1156" s="72"/>
      <c r="Y1156" s="72"/>
      <c r="Z1156" s="72"/>
      <c r="AA1156" s="72"/>
      <c r="AF1156" s="72"/>
      <c r="AG1156" s="72"/>
      <c r="AH1156" s="72"/>
    </row>
    <row r="1157" spans="2:34">
      <c r="B1157" s="72" t="s">
        <v>1325</v>
      </c>
      <c r="P1157" s="72"/>
      <c r="Q1157" s="72"/>
      <c r="R1157" s="72"/>
      <c r="S1157" s="72"/>
      <c r="T1157" s="72"/>
      <c r="U1157" s="72"/>
      <c r="V1157" s="72"/>
      <c r="W1157" s="72"/>
      <c r="X1157" s="72"/>
      <c r="Y1157" s="72"/>
      <c r="Z1157" s="72"/>
      <c r="AA1157" s="72"/>
      <c r="AF1157" s="72"/>
      <c r="AG1157" s="72"/>
      <c r="AH1157" s="72"/>
    </row>
    <row r="1158" spans="2:34">
      <c r="B1158" s="72" t="s">
        <v>1324</v>
      </c>
      <c r="P1158" s="72"/>
      <c r="Q1158" s="72"/>
      <c r="R1158" s="72"/>
      <c r="S1158" s="72"/>
      <c r="T1158" s="72"/>
      <c r="U1158" s="72"/>
      <c r="V1158" s="72"/>
      <c r="W1158" s="72"/>
      <c r="X1158" s="72"/>
      <c r="Y1158" s="72"/>
      <c r="Z1158" s="72"/>
      <c r="AA1158" s="72"/>
      <c r="AF1158" s="72"/>
      <c r="AG1158" s="72"/>
      <c r="AH1158" s="72"/>
    </row>
    <row r="1159" spans="2:34">
      <c r="B1159" s="72" t="s">
        <v>1323</v>
      </c>
      <c r="P1159" s="72"/>
      <c r="Q1159" s="72"/>
      <c r="R1159" s="72"/>
      <c r="S1159" s="72"/>
      <c r="T1159" s="72"/>
      <c r="U1159" s="72"/>
      <c r="V1159" s="72"/>
      <c r="W1159" s="72"/>
      <c r="X1159" s="72"/>
      <c r="Y1159" s="72"/>
      <c r="Z1159" s="72"/>
      <c r="AA1159" s="72"/>
      <c r="AF1159" s="72"/>
      <c r="AG1159" s="72"/>
      <c r="AH1159" s="72"/>
    </row>
    <row r="1160" spans="2:34">
      <c r="B1160" s="72" t="s">
        <v>1322</v>
      </c>
      <c r="P1160" s="72"/>
      <c r="Q1160" s="72"/>
      <c r="R1160" s="72"/>
      <c r="S1160" s="72"/>
      <c r="T1160" s="72"/>
      <c r="U1160" s="72"/>
      <c r="V1160" s="72"/>
      <c r="W1160" s="72"/>
      <c r="X1160" s="72"/>
      <c r="Y1160" s="72"/>
      <c r="Z1160" s="72"/>
      <c r="AA1160" s="72"/>
      <c r="AF1160" s="72"/>
      <c r="AG1160" s="72"/>
      <c r="AH1160" s="72"/>
    </row>
    <row r="1161" spans="2:34">
      <c r="B1161" s="72" t="s">
        <v>1321</v>
      </c>
      <c r="P1161" s="72"/>
      <c r="Q1161" s="72"/>
      <c r="R1161" s="72"/>
      <c r="S1161" s="72"/>
      <c r="T1161" s="72"/>
      <c r="U1161" s="72"/>
      <c r="V1161" s="72"/>
      <c r="W1161" s="72"/>
      <c r="X1161" s="72"/>
      <c r="Y1161" s="72"/>
      <c r="Z1161" s="72"/>
      <c r="AA1161" s="72"/>
      <c r="AF1161" s="72"/>
      <c r="AG1161" s="72"/>
      <c r="AH1161" s="72"/>
    </row>
    <row r="1162" spans="2:34">
      <c r="B1162" s="72" t="s">
        <v>1320</v>
      </c>
      <c r="P1162" s="72"/>
      <c r="Q1162" s="72"/>
      <c r="R1162" s="72"/>
      <c r="S1162" s="72"/>
      <c r="T1162" s="72"/>
      <c r="U1162" s="72"/>
      <c r="V1162" s="72"/>
      <c r="W1162" s="72"/>
      <c r="X1162" s="72"/>
      <c r="Y1162" s="72"/>
      <c r="Z1162" s="72"/>
      <c r="AA1162" s="72"/>
      <c r="AF1162" s="72"/>
      <c r="AG1162" s="72"/>
      <c r="AH1162" s="72"/>
    </row>
    <row r="1163" spans="2:34">
      <c r="B1163" s="72" t="s">
        <v>1319</v>
      </c>
      <c r="P1163" s="72"/>
      <c r="Q1163" s="72"/>
      <c r="R1163" s="72"/>
      <c r="S1163" s="72"/>
      <c r="T1163" s="72"/>
      <c r="U1163" s="72"/>
      <c r="V1163" s="72"/>
      <c r="W1163" s="72"/>
      <c r="X1163" s="72"/>
      <c r="Y1163" s="72"/>
      <c r="Z1163" s="72"/>
      <c r="AA1163" s="72"/>
      <c r="AF1163" s="72"/>
      <c r="AG1163" s="72"/>
      <c r="AH1163" s="72"/>
    </row>
    <row r="1164" spans="2:34">
      <c r="B1164" s="72" t="s">
        <v>1318</v>
      </c>
      <c r="C1164" s="72"/>
      <c r="D1164" s="72"/>
      <c r="F1164" s="72"/>
      <c r="G1164" s="72"/>
      <c r="H1164" s="72"/>
      <c r="P1164" s="72"/>
      <c r="Q1164" s="72"/>
      <c r="R1164" s="72"/>
      <c r="S1164" s="72"/>
      <c r="T1164" s="72"/>
      <c r="U1164" s="72"/>
      <c r="V1164" s="72"/>
      <c r="W1164" s="72"/>
      <c r="X1164" s="72"/>
      <c r="Y1164" s="72"/>
      <c r="Z1164" s="72"/>
      <c r="AA1164" s="72"/>
      <c r="AF1164" s="72"/>
      <c r="AG1164" s="72"/>
      <c r="AH1164" s="72"/>
    </row>
    <row r="1165" spans="2:34">
      <c r="B1165" s="72" t="s">
        <v>1317</v>
      </c>
      <c r="C1165" s="72"/>
      <c r="D1165" s="72"/>
      <c r="F1165" s="72"/>
      <c r="G1165" s="72"/>
      <c r="H1165" s="72"/>
      <c r="P1165" s="72"/>
      <c r="Q1165" s="72"/>
      <c r="R1165" s="72"/>
      <c r="S1165" s="72"/>
      <c r="T1165" s="72"/>
      <c r="U1165" s="72"/>
      <c r="V1165" s="72"/>
      <c r="W1165" s="72"/>
      <c r="X1165" s="72"/>
      <c r="Y1165" s="72"/>
      <c r="Z1165" s="72"/>
      <c r="AA1165" s="72"/>
      <c r="AF1165" s="72"/>
      <c r="AG1165" s="72"/>
      <c r="AH1165" s="72"/>
    </row>
    <row r="1166" spans="2:34">
      <c r="B1166" s="72" t="s">
        <v>1316</v>
      </c>
      <c r="C1166" s="72"/>
      <c r="D1166" s="72"/>
      <c r="F1166" s="72"/>
      <c r="G1166" s="72"/>
      <c r="H1166" s="72"/>
      <c r="P1166" s="72"/>
      <c r="Q1166" s="72"/>
      <c r="R1166" s="72"/>
      <c r="S1166" s="72"/>
      <c r="T1166" s="72"/>
      <c r="U1166" s="72"/>
      <c r="V1166" s="72"/>
      <c r="W1166" s="72"/>
      <c r="X1166" s="72"/>
      <c r="Y1166" s="72"/>
      <c r="Z1166" s="72"/>
      <c r="AA1166" s="72"/>
      <c r="AF1166" s="72"/>
      <c r="AG1166" s="72"/>
      <c r="AH1166" s="72"/>
    </row>
    <row r="1167" spans="2:34">
      <c r="B1167" s="72" t="s">
        <v>1315</v>
      </c>
      <c r="C1167" s="72"/>
      <c r="D1167" s="72"/>
      <c r="F1167" s="72"/>
      <c r="G1167" s="72"/>
      <c r="H1167" s="72"/>
      <c r="P1167" s="72"/>
      <c r="Q1167" s="72"/>
      <c r="R1167" s="72"/>
      <c r="S1167" s="72"/>
      <c r="T1167" s="72"/>
      <c r="U1167" s="72"/>
      <c r="V1167" s="72"/>
      <c r="W1167" s="72"/>
      <c r="X1167" s="72"/>
      <c r="Y1167" s="72"/>
      <c r="Z1167" s="72"/>
      <c r="AA1167" s="72"/>
      <c r="AF1167" s="72"/>
      <c r="AG1167" s="72"/>
      <c r="AH1167" s="72"/>
    </row>
    <row r="1168" spans="2:34">
      <c r="B1168" s="72" t="s">
        <v>1314</v>
      </c>
      <c r="C1168" s="72"/>
      <c r="D1168" s="72"/>
      <c r="F1168" s="72"/>
      <c r="G1168" s="72"/>
      <c r="H1168" s="72"/>
      <c r="P1168" s="72"/>
      <c r="Q1168" s="72"/>
      <c r="R1168" s="72"/>
      <c r="S1168" s="72"/>
      <c r="T1168" s="72"/>
      <c r="U1168" s="72"/>
      <c r="V1168" s="72"/>
      <c r="W1168" s="72"/>
      <c r="X1168" s="72"/>
      <c r="Y1168" s="72"/>
      <c r="Z1168" s="72"/>
      <c r="AA1168" s="72"/>
      <c r="AF1168" s="72"/>
      <c r="AG1168" s="72"/>
      <c r="AH1168" s="72"/>
    </row>
    <row r="1169" spans="2:34">
      <c r="B1169" s="72" t="s">
        <v>1313</v>
      </c>
      <c r="C1169" s="72"/>
      <c r="D1169" s="72"/>
      <c r="F1169" s="72"/>
      <c r="G1169" s="72"/>
      <c r="H1169" s="72"/>
      <c r="P1169" s="72"/>
      <c r="Q1169" s="72"/>
      <c r="R1169" s="72"/>
      <c r="S1169" s="72"/>
      <c r="T1169" s="72"/>
      <c r="U1169" s="72"/>
      <c r="V1169" s="72"/>
      <c r="W1169" s="72"/>
      <c r="X1169" s="72"/>
      <c r="Y1169" s="72"/>
      <c r="Z1169" s="72"/>
      <c r="AA1169" s="72"/>
      <c r="AF1169" s="72"/>
      <c r="AG1169" s="72"/>
      <c r="AH1169" s="72"/>
    </row>
    <row r="1170" spans="2:34">
      <c r="B1170" s="72" t="s">
        <v>1312</v>
      </c>
      <c r="C1170" s="72"/>
      <c r="D1170" s="72"/>
      <c r="F1170" s="72"/>
      <c r="G1170" s="72"/>
      <c r="H1170" s="72"/>
      <c r="P1170" s="72"/>
      <c r="Q1170" s="72"/>
      <c r="R1170" s="72"/>
      <c r="S1170" s="72"/>
      <c r="T1170" s="72"/>
      <c r="U1170" s="72"/>
      <c r="V1170" s="72"/>
      <c r="W1170" s="72"/>
      <c r="X1170" s="72"/>
      <c r="Y1170" s="72"/>
      <c r="Z1170" s="72"/>
      <c r="AA1170" s="72"/>
      <c r="AF1170" s="72"/>
      <c r="AG1170" s="72"/>
      <c r="AH1170" s="72"/>
    </row>
    <row r="1171" spans="2:34">
      <c r="B1171" s="72" t="s">
        <v>1311</v>
      </c>
      <c r="C1171" s="72"/>
      <c r="D1171" s="72"/>
      <c r="F1171" s="72"/>
      <c r="G1171" s="72"/>
      <c r="H1171" s="72"/>
      <c r="P1171" s="72"/>
      <c r="Q1171" s="72"/>
      <c r="R1171" s="72"/>
      <c r="S1171" s="72"/>
      <c r="T1171" s="72"/>
      <c r="U1171" s="72"/>
      <c r="V1171" s="72"/>
      <c r="W1171" s="72"/>
      <c r="X1171" s="72"/>
      <c r="Y1171" s="72"/>
      <c r="Z1171" s="72"/>
      <c r="AA1171" s="72"/>
      <c r="AF1171" s="72"/>
      <c r="AG1171" s="72"/>
      <c r="AH1171" s="72"/>
    </row>
    <row r="1172" spans="2:34">
      <c r="B1172" s="72" t="s">
        <v>1310</v>
      </c>
      <c r="C1172" s="72"/>
      <c r="D1172" s="72"/>
      <c r="F1172" s="72"/>
      <c r="G1172" s="72"/>
      <c r="H1172" s="72"/>
      <c r="P1172" s="72"/>
      <c r="Q1172" s="72"/>
      <c r="R1172" s="72"/>
      <c r="S1172" s="72"/>
      <c r="T1172" s="72"/>
      <c r="U1172" s="72"/>
      <c r="V1172" s="72"/>
      <c r="W1172" s="72"/>
      <c r="X1172" s="72"/>
      <c r="Y1172" s="72"/>
      <c r="Z1172" s="72"/>
      <c r="AA1172" s="72"/>
      <c r="AF1172" s="72"/>
      <c r="AG1172" s="72"/>
      <c r="AH1172" s="72"/>
    </row>
    <row r="1173" spans="2:34">
      <c r="B1173" s="72" t="s">
        <v>1309</v>
      </c>
      <c r="C1173" s="72"/>
      <c r="D1173" s="72"/>
      <c r="F1173" s="72"/>
      <c r="G1173" s="72"/>
      <c r="H1173" s="72"/>
      <c r="P1173" s="72"/>
      <c r="Q1173" s="72"/>
      <c r="R1173" s="72"/>
      <c r="S1173" s="72"/>
      <c r="T1173" s="72"/>
      <c r="U1173" s="72"/>
      <c r="V1173" s="72"/>
      <c r="W1173" s="72"/>
      <c r="X1173" s="72"/>
      <c r="Y1173" s="72"/>
      <c r="Z1173" s="72"/>
      <c r="AA1173" s="72"/>
      <c r="AF1173" s="72"/>
      <c r="AG1173" s="72"/>
      <c r="AH1173" s="72"/>
    </row>
    <row r="1174" spans="2:34">
      <c r="B1174" s="72" t="s">
        <v>1308</v>
      </c>
      <c r="C1174" s="72"/>
      <c r="D1174" s="72"/>
      <c r="F1174" s="72"/>
      <c r="G1174" s="72"/>
      <c r="H1174" s="72"/>
      <c r="P1174" s="72"/>
      <c r="Q1174" s="72"/>
      <c r="R1174" s="72"/>
      <c r="S1174" s="72"/>
      <c r="T1174" s="72"/>
      <c r="U1174" s="72"/>
      <c r="V1174" s="72"/>
      <c r="W1174" s="72"/>
      <c r="X1174" s="72"/>
      <c r="Y1174" s="72"/>
      <c r="Z1174" s="72"/>
      <c r="AA1174" s="72"/>
      <c r="AF1174" s="72"/>
      <c r="AG1174" s="72"/>
      <c r="AH1174" s="72"/>
    </row>
    <row r="1175" spans="2:34">
      <c r="B1175" s="72" t="s">
        <v>1307</v>
      </c>
      <c r="C1175" s="72"/>
      <c r="D1175" s="72"/>
      <c r="F1175" s="72"/>
      <c r="G1175" s="72"/>
      <c r="H1175" s="72"/>
      <c r="P1175" s="72"/>
      <c r="Q1175" s="72"/>
      <c r="R1175" s="72"/>
      <c r="S1175" s="72"/>
      <c r="T1175" s="72"/>
      <c r="U1175" s="72"/>
      <c r="V1175" s="72"/>
      <c r="W1175" s="72"/>
      <c r="X1175" s="72"/>
      <c r="Y1175" s="72"/>
      <c r="Z1175" s="72"/>
      <c r="AA1175" s="72"/>
      <c r="AF1175" s="72"/>
      <c r="AG1175" s="72"/>
      <c r="AH1175" s="72"/>
    </row>
    <row r="1176" spans="2:34">
      <c r="B1176" s="72" t="s">
        <v>1306</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1305</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1304</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4295</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1303</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1302</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1301</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1300</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1299</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1298</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1297</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1296</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1295</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1294</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1293</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1292</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1291</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1290</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1289</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1288</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1287</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1286</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1285</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1284</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1283</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1282</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1281</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1280</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1279</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1278</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1277</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1276</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1275</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1274</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1273</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1272</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1271</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1270</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1269</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1268</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1267</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1266</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1265</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1264</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1263</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1262</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1261</v>
      </c>
      <c r="C1222" s="72"/>
      <c r="D1222" s="72"/>
      <c r="F1222" s="72"/>
      <c r="G1222" s="72"/>
      <c r="H1222" s="72"/>
      <c r="P1222" s="72"/>
      <c r="Q1222" s="72"/>
      <c r="R1222" s="72"/>
      <c r="S1222" s="72"/>
      <c r="T1222" s="72"/>
      <c r="U1222" s="72"/>
      <c r="V1222" s="72"/>
      <c r="W1222" s="72"/>
      <c r="X1222" s="72"/>
      <c r="Y1222" s="72"/>
      <c r="Z1222" s="72"/>
      <c r="AA1222" s="72"/>
      <c r="AF1222" s="72"/>
      <c r="AG1222" s="72"/>
      <c r="AH1222" s="72"/>
    </row>
    <row r="1223" spans="2:34">
      <c r="B1223" s="72" t="s">
        <v>1260</v>
      </c>
      <c r="C1223" s="72"/>
      <c r="D1223" s="72"/>
      <c r="F1223" s="72"/>
      <c r="G1223" s="72"/>
      <c r="H1223" s="72"/>
      <c r="P1223" s="72"/>
      <c r="Q1223" s="72"/>
      <c r="R1223" s="72"/>
      <c r="S1223" s="72"/>
      <c r="T1223" s="72"/>
      <c r="U1223" s="72"/>
      <c r="V1223" s="72"/>
      <c r="W1223" s="72"/>
      <c r="X1223" s="72"/>
      <c r="Y1223" s="72"/>
      <c r="Z1223" s="72"/>
      <c r="AA1223" s="72"/>
      <c r="AF1223" s="72"/>
      <c r="AG1223" s="72"/>
      <c r="AH1223" s="72"/>
    </row>
    <row r="1224" spans="2:34">
      <c r="B1224" s="72" t="s">
        <v>1259</v>
      </c>
      <c r="C1224" s="72"/>
      <c r="D1224" s="72"/>
      <c r="F1224" s="72"/>
      <c r="G1224" s="72"/>
      <c r="H1224" s="72"/>
      <c r="P1224" s="72"/>
      <c r="Q1224" s="72"/>
      <c r="R1224" s="72"/>
      <c r="S1224" s="72"/>
      <c r="T1224" s="72"/>
      <c r="U1224" s="72"/>
      <c r="V1224" s="72"/>
      <c r="W1224" s="72"/>
      <c r="X1224" s="72"/>
      <c r="Y1224" s="72"/>
      <c r="Z1224" s="72"/>
      <c r="AA1224" s="72"/>
      <c r="AF1224" s="72"/>
      <c r="AG1224" s="72"/>
      <c r="AH1224" s="72"/>
    </row>
    <row r="1225" spans="2:34">
      <c r="B1225" s="72" t="s">
        <v>1258</v>
      </c>
      <c r="C1225" s="72"/>
      <c r="D1225" s="72"/>
      <c r="F1225" s="72"/>
      <c r="G1225" s="72"/>
      <c r="H1225" s="72"/>
      <c r="P1225" s="72"/>
      <c r="Q1225" s="72"/>
      <c r="R1225" s="72"/>
      <c r="S1225" s="72"/>
      <c r="T1225" s="72"/>
      <c r="U1225" s="72"/>
      <c r="V1225" s="72"/>
      <c r="W1225" s="72"/>
      <c r="X1225" s="72"/>
      <c r="Y1225" s="72"/>
      <c r="Z1225" s="72"/>
      <c r="AA1225" s="72"/>
      <c r="AF1225" s="72"/>
      <c r="AG1225" s="72"/>
      <c r="AH1225" s="72"/>
    </row>
    <row r="1226" spans="2:34">
      <c r="B1226" s="72" t="s">
        <v>1257</v>
      </c>
      <c r="C1226" s="72"/>
      <c r="D1226" s="72"/>
      <c r="F1226" s="72"/>
      <c r="G1226" s="72"/>
      <c r="H1226" s="72"/>
      <c r="P1226" s="72"/>
      <c r="Q1226" s="72"/>
      <c r="R1226" s="72"/>
      <c r="S1226" s="72"/>
      <c r="T1226" s="72"/>
      <c r="U1226" s="72"/>
      <c r="V1226" s="72"/>
      <c r="W1226" s="72"/>
      <c r="X1226" s="72"/>
      <c r="Y1226" s="72"/>
      <c r="Z1226" s="72"/>
      <c r="AA1226" s="72"/>
      <c r="AF1226" s="72"/>
      <c r="AG1226" s="72"/>
      <c r="AH1226" s="72"/>
    </row>
    <row r="1227" spans="2:34">
      <c r="B1227" s="72" t="s">
        <v>1256</v>
      </c>
      <c r="C1227" s="72"/>
      <c r="D1227" s="72"/>
      <c r="F1227" s="72"/>
      <c r="G1227" s="72"/>
      <c r="H1227" s="72"/>
      <c r="P1227" s="72"/>
      <c r="Q1227" s="72"/>
      <c r="R1227" s="72"/>
      <c r="S1227" s="72"/>
      <c r="T1227" s="72"/>
      <c r="U1227" s="72"/>
      <c r="V1227" s="72"/>
      <c r="W1227" s="72"/>
      <c r="X1227" s="72"/>
      <c r="Y1227" s="72"/>
      <c r="Z1227" s="72"/>
      <c r="AA1227" s="72"/>
      <c r="AF1227" s="72"/>
      <c r="AG1227" s="72"/>
      <c r="AH1227" s="72"/>
    </row>
    <row r="1228" spans="2:34">
      <c r="B1228" s="72" t="s">
        <v>1255</v>
      </c>
    </row>
    <row r="1229" spans="2:34">
      <c r="B1229" s="72" t="s">
        <v>1254</v>
      </c>
    </row>
    <row r="1230" spans="2:34">
      <c r="B1230" s="72" t="s">
        <v>1253</v>
      </c>
    </row>
    <row r="1231" spans="2:34">
      <c r="B1231" s="72" t="s">
        <v>1252</v>
      </c>
    </row>
    <row r="1232" spans="2:34">
      <c r="B1232" s="72" t="s">
        <v>1251</v>
      </c>
    </row>
    <row r="1233" spans="2:34">
      <c r="B1233" s="72" t="s">
        <v>4306</v>
      </c>
    </row>
    <row r="1234" spans="2:34">
      <c r="B1234" s="72" t="s">
        <v>1250</v>
      </c>
    </row>
    <row r="1235" spans="2:34">
      <c r="B1235" s="72" t="s">
        <v>1249</v>
      </c>
    </row>
    <row r="1236" spans="2:34">
      <c r="B1236" s="72" t="s">
        <v>1248</v>
      </c>
    </row>
    <row r="1237" spans="2:34">
      <c r="B1237" s="72" t="s">
        <v>1247</v>
      </c>
    </row>
    <row r="1238" spans="2:34">
      <c r="B1238" s="72" t="s">
        <v>4307</v>
      </c>
    </row>
    <row r="1239" spans="2:34">
      <c r="B1239" s="72" t="s">
        <v>1246</v>
      </c>
    </row>
    <row r="1240" spans="2:34">
      <c r="B1240" s="72" t="s">
        <v>1245</v>
      </c>
    </row>
    <row r="1241" spans="2:34">
      <c r="B1241" s="72" t="s">
        <v>1244</v>
      </c>
      <c r="AF1241" s="63">
        <v>0.149258</v>
      </c>
      <c r="AG1241" s="68">
        <v>0.11944444444444445</v>
      </c>
      <c r="AH1241" s="68"/>
    </row>
    <row r="1242" spans="2:34">
      <c r="B1242" s="72" t="s">
        <v>1243</v>
      </c>
    </row>
    <row r="1243" spans="2:34">
      <c r="B1243" s="72" t="s">
        <v>1242</v>
      </c>
    </row>
    <row r="1244" spans="2:34">
      <c r="B1244" s="72" t="s">
        <v>1241</v>
      </c>
      <c r="C1244" s="72"/>
      <c r="D1244" s="72"/>
      <c r="F1244" s="72"/>
      <c r="G1244" s="72"/>
      <c r="H1244" s="72"/>
      <c r="P1244" s="72"/>
      <c r="Q1244" s="72"/>
      <c r="R1244" s="72"/>
      <c r="S1244" s="72"/>
      <c r="T1244" s="72"/>
      <c r="U1244" s="72"/>
      <c r="V1244" s="72"/>
      <c r="W1244" s="72"/>
      <c r="X1244" s="72"/>
      <c r="Y1244" s="72"/>
      <c r="Z1244" s="72"/>
      <c r="AA1244" s="72"/>
      <c r="AF1244" s="72"/>
      <c r="AG1244" s="72"/>
      <c r="AH1244" s="72"/>
    </row>
    <row r="1245" spans="2:34">
      <c r="B1245" s="72" t="s">
        <v>1240</v>
      </c>
      <c r="C1245" s="72"/>
      <c r="D1245" s="72"/>
      <c r="F1245" s="72"/>
      <c r="G1245" s="72"/>
      <c r="H1245" s="72"/>
      <c r="P1245" s="72"/>
      <c r="Q1245" s="72"/>
      <c r="R1245" s="72"/>
      <c r="S1245" s="72"/>
      <c r="T1245" s="72"/>
      <c r="U1245" s="72"/>
      <c r="V1245" s="72"/>
      <c r="W1245" s="72"/>
      <c r="X1245" s="72"/>
      <c r="Y1245" s="72"/>
      <c r="Z1245" s="72"/>
      <c r="AA1245" s="72"/>
      <c r="AF1245" s="72"/>
      <c r="AG1245" s="72"/>
      <c r="AH1245" s="72"/>
    </row>
    <row r="1246" spans="2:34">
      <c r="B1246" s="72" t="s">
        <v>1239</v>
      </c>
      <c r="C1246" s="72"/>
      <c r="D1246" s="72"/>
      <c r="F1246" s="72"/>
      <c r="G1246" s="72"/>
      <c r="H1246" s="72"/>
      <c r="P1246" s="72"/>
      <c r="Q1246" s="72"/>
      <c r="R1246" s="72"/>
      <c r="S1246" s="72"/>
      <c r="T1246" s="72"/>
      <c r="U1246" s="72"/>
      <c r="V1246" s="72"/>
      <c r="W1246" s="72"/>
      <c r="X1246" s="72"/>
      <c r="Y1246" s="72"/>
      <c r="Z1246" s="72"/>
      <c r="AA1246" s="72"/>
      <c r="AF1246" s="72"/>
      <c r="AG1246" s="72"/>
      <c r="AH1246" s="72"/>
    </row>
    <row r="1247" spans="2:34">
      <c r="B1247" s="72" t="s">
        <v>1238</v>
      </c>
      <c r="C1247" s="72"/>
      <c r="D1247" s="72"/>
      <c r="F1247" s="72"/>
      <c r="G1247" s="72"/>
      <c r="H1247" s="72"/>
      <c r="P1247" s="72"/>
      <c r="Q1247" s="72"/>
      <c r="R1247" s="72"/>
      <c r="S1247" s="72"/>
      <c r="T1247" s="72"/>
      <c r="U1247" s="72"/>
      <c r="V1247" s="72"/>
      <c r="W1247" s="72"/>
      <c r="X1247" s="72"/>
      <c r="Y1247" s="72"/>
      <c r="Z1247" s="72"/>
      <c r="AA1247" s="72"/>
      <c r="AF1247" s="72"/>
      <c r="AG1247" s="72"/>
      <c r="AH1247" s="72"/>
    </row>
    <row r="1248" spans="2:34">
      <c r="B1248" s="72" t="s">
        <v>1237</v>
      </c>
      <c r="C1248" s="72"/>
      <c r="D1248" s="72"/>
      <c r="F1248" s="72"/>
      <c r="G1248" s="72"/>
      <c r="H1248" s="72"/>
      <c r="P1248" s="72"/>
      <c r="Q1248" s="72"/>
      <c r="R1248" s="72"/>
      <c r="S1248" s="72"/>
      <c r="T1248" s="72"/>
      <c r="U1248" s="72"/>
      <c r="V1248" s="72"/>
      <c r="W1248" s="72"/>
      <c r="X1248" s="72"/>
      <c r="Y1248" s="72"/>
      <c r="Z1248" s="72"/>
      <c r="AA1248" s="72"/>
      <c r="AF1248" s="72"/>
      <c r="AG1248" s="72"/>
      <c r="AH1248" s="72"/>
    </row>
    <row r="1249" spans="2:34">
      <c r="B1249" s="72" t="s">
        <v>1236</v>
      </c>
      <c r="C1249" s="72"/>
      <c r="D1249" s="72"/>
      <c r="F1249" s="72"/>
      <c r="G1249" s="72"/>
      <c r="H1249" s="72"/>
      <c r="P1249" s="72"/>
      <c r="Q1249" s="72"/>
      <c r="R1249" s="72"/>
      <c r="S1249" s="72"/>
      <c r="T1249" s="72"/>
      <c r="U1249" s="72"/>
      <c r="V1249" s="72"/>
      <c r="W1249" s="72"/>
      <c r="X1249" s="72"/>
      <c r="Y1249" s="72"/>
      <c r="Z1249" s="72"/>
      <c r="AA1249" s="72"/>
      <c r="AF1249" s="72"/>
      <c r="AG1249" s="72"/>
      <c r="AH1249" s="72"/>
    </row>
    <row r="1250" spans="2:34">
      <c r="B1250" s="72" t="s">
        <v>1235</v>
      </c>
      <c r="C1250" s="72"/>
      <c r="D1250" s="72"/>
      <c r="F1250" s="72"/>
      <c r="G1250" s="72"/>
      <c r="H1250" s="72"/>
      <c r="P1250" s="72"/>
      <c r="Q1250" s="72"/>
      <c r="R1250" s="72"/>
      <c r="S1250" s="72"/>
      <c r="T1250" s="72"/>
      <c r="U1250" s="72"/>
      <c r="V1250" s="72"/>
      <c r="W1250" s="72"/>
      <c r="X1250" s="72"/>
      <c r="Y1250" s="72"/>
      <c r="Z1250" s="72"/>
      <c r="AA1250" s="72"/>
      <c r="AF1250" s="72"/>
      <c r="AG1250" s="72"/>
      <c r="AH1250" s="72"/>
    </row>
    <row r="1251" spans="2:34">
      <c r="B1251" s="72" t="s">
        <v>1234</v>
      </c>
      <c r="C1251" s="72"/>
      <c r="D1251" s="72"/>
      <c r="F1251" s="72"/>
      <c r="G1251" s="72"/>
      <c r="H1251" s="72"/>
      <c r="P1251" s="72"/>
      <c r="Q1251" s="72"/>
      <c r="R1251" s="72"/>
      <c r="S1251" s="72"/>
      <c r="T1251" s="72"/>
      <c r="U1251" s="72"/>
      <c r="V1251" s="72"/>
      <c r="W1251" s="72"/>
      <c r="X1251" s="72"/>
      <c r="Y1251" s="72"/>
      <c r="Z1251" s="72"/>
      <c r="AA1251" s="72"/>
      <c r="AF1251" s="72"/>
      <c r="AG1251" s="72"/>
      <c r="AH1251" s="72"/>
    </row>
    <row r="1252" spans="2:34">
      <c r="B1252" s="72" t="s">
        <v>1233</v>
      </c>
      <c r="C1252" s="72"/>
      <c r="D1252" s="72"/>
      <c r="F1252" s="72"/>
      <c r="G1252" s="72"/>
      <c r="H1252" s="72"/>
      <c r="P1252" s="72"/>
      <c r="Q1252" s="72"/>
      <c r="R1252" s="72"/>
      <c r="S1252" s="72"/>
      <c r="T1252" s="72"/>
      <c r="U1252" s="72"/>
      <c r="V1252" s="72"/>
      <c r="W1252" s="72"/>
      <c r="X1252" s="72"/>
      <c r="Y1252" s="72"/>
      <c r="Z1252" s="72"/>
      <c r="AA1252" s="72"/>
      <c r="AF1252" s="72"/>
      <c r="AG1252" s="72"/>
      <c r="AH1252" s="72"/>
    </row>
    <row r="1253" spans="2:34">
      <c r="B1253" s="72" t="s">
        <v>1232</v>
      </c>
      <c r="C1253" s="72"/>
      <c r="D1253" s="72"/>
      <c r="F1253" s="72"/>
      <c r="G1253" s="72"/>
      <c r="H1253" s="72"/>
      <c r="P1253" s="72"/>
      <c r="Q1253" s="72"/>
      <c r="R1253" s="72"/>
      <c r="S1253" s="72"/>
      <c r="T1253" s="72"/>
      <c r="U1253" s="72"/>
      <c r="V1253" s="72"/>
      <c r="W1253" s="72"/>
      <c r="X1253" s="72"/>
      <c r="Y1253" s="72"/>
      <c r="Z1253" s="72"/>
      <c r="AA1253" s="72"/>
      <c r="AF1253" s="72"/>
      <c r="AG1253" s="72"/>
      <c r="AH1253" s="72"/>
    </row>
    <row r="1254" spans="2:34">
      <c r="B1254" s="72" t="s">
        <v>1231</v>
      </c>
      <c r="C1254" s="72"/>
      <c r="D1254" s="72"/>
      <c r="F1254" s="72"/>
      <c r="G1254" s="72"/>
      <c r="H1254" s="72"/>
      <c r="P1254" s="72"/>
      <c r="Q1254" s="72"/>
      <c r="R1254" s="72"/>
      <c r="S1254" s="72"/>
      <c r="T1254" s="72"/>
      <c r="U1254" s="72"/>
      <c r="V1254" s="72"/>
      <c r="W1254" s="72"/>
      <c r="X1254" s="72"/>
      <c r="Y1254" s="72"/>
      <c r="Z1254" s="72"/>
      <c r="AA1254" s="72"/>
      <c r="AF1254" s="72"/>
      <c r="AG1254" s="72"/>
      <c r="AH1254" s="72"/>
    </row>
    <row r="1255" spans="2:34">
      <c r="B1255" s="72" t="s">
        <v>1230</v>
      </c>
      <c r="C1255" s="72"/>
      <c r="D1255" s="72"/>
      <c r="F1255" s="72"/>
      <c r="G1255" s="72"/>
      <c r="H1255" s="72"/>
      <c r="P1255" s="72"/>
      <c r="Q1255" s="72"/>
      <c r="R1255" s="72"/>
      <c r="S1255" s="72"/>
      <c r="T1255" s="72"/>
      <c r="U1255" s="72"/>
      <c r="V1255" s="72"/>
      <c r="W1255" s="72"/>
      <c r="X1255" s="72"/>
      <c r="Y1255" s="72"/>
      <c r="Z1255" s="72"/>
      <c r="AA1255" s="72"/>
      <c r="AF1255" s="72"/>
      <c r="AG1255" s="72"/>
      <c r="AH1255" s="72"/>
    </row>
    <row r="1256" spans="2:34">
      <c r="B1256" s="72" t="s">
        <v>1229</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1228</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1227</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1226</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1225</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1224</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1223</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1222</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1221</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4">
      <c r="B1265" s="72" t="s">
        <v>1220</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4">
      <c r="B1266" s="72" t="s">
        <v>1219</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4">
      <c r="B1267" s="72" t="s">
        <v>1218</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4">
      <c r="B1268" s="72" t="s">
        <v>1217</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4">
      <c r="B1269" s="72" t="s">
        <v>1216</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4">
      <c r="B1270" s="72" t="s">
        <v>1215</v>
      </c>
      <c r="C1270" s="72"/>
      <c r="D1270" s="72"/>
      <c r="F1270" s="72"/>
      <c r="G1270" s="72"/>
      <c r="H1270" s="72"/>
      <c r="P1270" s="72"/>
      <c r="Q1270" s="72"/>
      <c r="R1270" s="72"/>
      <c r="S1270" s="72"/>
      <c r="T1270" s="72"/>
      <c r="U1270" s="72"/>
      <c r="V1270" s="72"/>
      <c r="W1270" s="72"/>
      <c r="X1270" s="72"/>
      <c r="Y1270" s="72"/>
      <c r="Z1270" s="72"/>
      <c r="AA1270" s="72"/>
      <c r="AF1270" s="72"/>
      <c r="AG1270" s="72"/>
      <c r="AH1270" s="72"/>
    </row>
    <row r="1271" spans="2:34">
      <c r="B1271" s="72" t="s">
        <v>1214</v>
      </c>
      <c r="C1271" s="72"/>
      <c r="D1271" s="72"/>
      <c r="F1271" s="72"/>
      <c r="G1271" s="72"/>
      <c r="H1271" s="72"/>
      <c r="P1271" s="72"/>
      <c r="Q1271" s="72"/>
      <c r="R1271" s="72"/>
      <c r="S1271" s="72"/>
      <c r="T1271" s="72"/>
      <c r="U1271" s="72"/>
      <c r="V1271" s="72"/>
      <c r="W1271" s="72"/>
      <c r="X1271" s="72"/>
      <c r="Y1271" s="72"/>
      <c r="Z1271" s="72"/>
      <c r="AA1271" s="72"/>
      <c r="AF1271" s="72"/>
      <c r="AG1271" s="72"/>
      <c r="AH1271" s="72"/>
    </row>
    <row r="1272" spans="2:34">
      <c r="B1272" s="72" t="s">
        <v>1213</v>
      </c>
      <c r="C1272" s="72"/>
      <c r="D1272" s="72"/>
      <c r="F1272" s="72"/>
      <c r="G1272" s="72"/>
      <c r="H1272" s="72"/>
      <c r="P1272" s="72"/>
      <c r="Q1272" s="72"/>
      <c r="R1272" s="72"/>
      <c r="S1272" s="72"/>
      <c r="T1272" s="72"/>
      <c r="U1272" s="72"/>
      <c r="V1272" s="72"/>
      <c r="W1272" s="72"/>
      <c r="X1272" s="72"/>
      <c r="Y1272" s="72"/>
      <c r="Z1272" s="72"/>
      <c r="AA1272" s="72"/>
      <c r="AF1272" s="72"/>
      <c r="AG1272" s="72"/>
      <c r="AH1272" s="72"/>
    </row>
    <row r="1273" spans="2:34">
      <c r="B1273" s="72" t="s">
        <v>1212</v>
      </c>
      <c r="C1273" s="72"/>
      <c r="D1273" s="72"/>
      <c r="F1273" s="72"/>
      <c r="G1273" s="72"/>
      <c r="H1273" s="72"/>
      <c r="P1273" s="72"/>
      <c r="Q1273" s="72"/>
      <c r="R1273" s="72"/>
      <c r="S1273" s="72"/>
      <c r="T1273" s="72"/>
      <c r="U1273" s="72"/>
      <c r="V1273" s="72"/>
      <c r="W1273" s="72"/>
      <c r="X1273" s="72"/>
      <c r="Y1273" s="72"/>
      <c r="Z1273" s="72"/>
      <c r="AA1273" s="72"/>
      <c r="AF1273" s="72"/>
      <c r="AG1273" s="72"/>
      <c r="AH1273" s="72"/>
    </row>
    <row r="1274" spans="2:34">
      <c r="B1274" s="72" t="s">
        <v>1211</v>
      </c>
      <c r="C1274" s="72"/>
      <c r="D1274" s="72"/>
      <c r="F1274" s="72"/>
      <c r="G1274" s="72"/>
      <c r="H1274" s="72"/>
      <c r="P1274" s="72"/>
      <c r="Q1274" s="72"/>
      <c r="R1274" s="72"/>
      <c r="S1274" s="72"/>
      <c r="T1274" s="72"/>
      <c r="U1274" s="72"/>
      <c r="V1274" s="72"/>
      <c r="W1274" s="72"/>
      <c r="X1274" s="72"/>
      <c r="Y1274" s="72"/>
      <c r="Z1274" s="72"/>
      <c r="AA1274" s="72"/>
      <c r="AF1274" s="72"/>
      <c r="AG1274" s="72"/>
      <c r="AH1274" s="72"/>
    </row>
    <row r="1275" spans="2:34">
      <c r="B1275" s="72" t="s">
        <v>1210</v>
      </c>
      <c r="C1275" s="72"/>
      <c r="D1275" s="72"/>
      <c r="F1275" s="72"/>
      <c r="G1275" s="72"/>
      <c r="H1275" s="72"/>
      <c r="P1275" s="72"/>
      <c r="Q1275" s="72"/>
      <c r="R1275" s="72"/>
      <c r="S1275" s="72"/>
      <c r="T1275" s="72"/>
      <c r="U1275" s="72"/>
      <c r="V1275" s="72"/>
      <c r="W1275" s="72"/>
      <c r="X1275" s="72"/>
      <c r="Y1275" s="72"/>
      <c r="Z1275" s="72"/>
      <c r="AA1275" s="72"/>
      <c r="AF1275" s="72"/>
      <c r="AG1275" s="72"/>
      <c r="AH1275" s="72"/>
    </row>
    <row r="1276" spans="2:34">
      <c r="B1276" s="72" t="s">
        <v>1209</v>
      </c>
    </row>
    <row r="1277" spans="2:34">
      <c r="B1277" s="72" t="s">
        <v>1208</v>
      </c>
    </row>
    <row r="1278" spans="2:34">
      <c r="B1278" s="72" t="s">
        <v>1207</v>
      </c>
    </row>
    <row r="1279" spans="2:34">
      <c r="B1279" s="72" t="s">
        <v>1206</v>
      </c>
    </row>
    <row r="1280" spans="2:34">
      <c r="B1280" s="72" t="s">
        <v>1205</v>
      </c>
    </row>
    <row r="1281" spans="2:36">
      <c r="B1281" s="72" t="s">
        <v>161</v>
      </c>
    </row>
    <row r="1282" spans="2:36">
      <c r="B1282" s="72" t="s">
        <v>1204</v>
      </c>
      <c r="AJ1282" s="89"/>
    </row>
    <row r="1283" spans="2:36">
      <c r="B1283" s="72" t="s">
        <v>1203</v>
      </c>
    </row>
    <row r="1284" spans="2:36">
      <c r="B1284" s="72" t="s">
        <v>1202</v>
      </c>
    </row>
    <row r="1285" spans="2:36">
      <c r="B1285" s="72" t="s">
        <v>1201</v>
      </c>
    </row>
    <row r="1286" spans="2:36">
      <c r="B1286" s="72" t="s">
        <v>1200</v>
      </c>
    </row>
    <row r="1287" spans="2:36">
      <c r="B1287" s="72" t="s">
        <v>1199</v>
      </c>
    </row>
    <row r="1288" spans="2:36">
      <c r="B1288" s="72" t="s">
        <v>1198</v>
      </c>
    </row>
    <row r="1289" spans="2:36">
      <c r="B1289" s="72" t="s">
        <v>1197</v>
      </c>
    </row>
    <row r="1290" spans="2:36">
      <c r="B1290" s="72" t="s">
        <v>1196</v>
      </c>
    </row>
    <row r="1291" spans="2:36">
      <c r="B1291" s="72" t="s">
        <v>1195</v>
      </c>
    </row>
    <row r="1292" spans="2:36">
      <c r="B1292" s="72" t="s">
        <v>1194</v>
      </c>
      <c r="C1292" s="72"/>
      <c r="D1292" s="72"/>
      <c r="F1292" s="72"/>
      <c r="G1292" s="72"/>
      <c r="H1292" s="72"/>
      <c r="P1292" s="72"/>
      <c r="Q1292" s="72"/>
      <c r="R1292" s="72"/>
      <c r="S1292" s="72"/>
      <c r="T1292" s="72"/>
      <c r="U1292" s="72"/>
      <c r="V1292" s="72"/>
      <c r="W1292" s="72"/>
      <c r="X1292" s="72"/>
      <c r="Y1292" s="72"/>
      <c r="Z1292" s="72"/>
      <c r="AA1292" s="72"/>
      <c r="AF1292" s="72"/>
      <c r="AG1292" s="72"/>
      <c r="AH1292" s="72"/>
    </row>
    <row r="1293" spans="2:36">
      <c r="B1293" s="72" t="s">
        <v>1193</v>
      </c>
      <c r="C1293" s="72"/>
      <c r="D1293" s="72"/>
      <c r="F1293" s="72"/>
      <c r="G1293" s="72"/>
      <c r="H1293" s="72"/>
      <c r="P1293" s="72"/>
      <c r="Q1293" s="72"/>
      <c r="R1293" s="72"/>
      <c r="S1293" s="72"/>
      <c r="T1293" s="72"/>
      <c r="U1293" s="72"/>
      <c r="V1293" s="72"/>
      <c r="W1293" s="72"/>
      <c r="X1293" s="72"/>
      <c r="Y1293" s="72"/>
      <c r="Z1293" s="72"/>
      <c r="AA1293" s="72"/>
      <c r="AF1293" s="72"/>
      <c r="AG1293" s="72"/>
      <c r="AH1293" s="72"/>
    </row>
    <row r="1294" spans="2:36">
      <c r="B1294" s="72" t="s">
        <v>1192</v>
      </c>
      <c r="C1294" s="72"/>
      <c r="D1294" s="72"/>
      <c r="F1294" s="72"/>
      <c r="G1294" s="72"/>
      <c r="H1294" s="72"/>
      <c r="P1294" s="72"/>
      <c r="Q1294" s="72"/>
      <c r="R1294" s="72"/>
      <c r="S1294" s="72"/>
      <c r="T1294" s="72"/>
      <c r="U1294" s="72"/>
      <c r="V1294" s="72"/>
      <c r="W1294" s="72"/>
      <c r="X1294" s="72"/>
      <c r="Y1294" s="72"/>
      <c r="Z1294" s="72"/>
      <c r="AA1294" s="72"/>
      <c r="AF1294" s="72"/>
      <c r="AG1294" s="72"/>
      <c r="AH1294" s="72"/>
    </row>
    <row r="1295" spans="2:36">
      <c r="B1295" s="72" t="s">
        <v>1191</v>
      </c>
      <c r="C1295" s="72"/>
      <c r="D1295" s="72"/>
      <c r="F1295" s="72"/>
      <c r="G1295" s="72"/>
      <c r="H1295" s="72"/>
      <c r="P1295" s="72"/>
      <c r="Q1295" s="72"/>
      <c r="R1295" s="72"/>
      <c r="S1295" s="72"/>
      <c r="T1295" s="72"/>
      <c r="U1295" s="72"/>
      <c r="V1295" s="72"/>
      <c r="W1295" s="72"/>
      <c r="X1295" s="72"/>
      <c r="Y1295" s="72"/>
      <c r="Z1295" s="72"/>
      <c r="AA1295" s="72"/>
      <c r="AF1295" s="72"/>
      <c r="AG1295" s="72"/>
      <c r="AH1295" s="72"/>
    </row>
    <row r="1296" spans="2:36">
      <c r="B1296" s="72" t="s">
        <v>1190</v>
      </c>
      <c r="C1296" s="72"/>
      <c r="D1296" s="72"/>
      <c r="F1296" s="72"/>
      <c r="G1296" s="72"/>
      <c r="H1296" s="72"/>
      <c r="P1296" s="72"/>
      <c r="Q1296" s="72"/>
      <c r="R1296" s="72"/>
      <c r="S1296" s="72"/>
      <c r="T1296" s="72"/>
      <c r="U1296" s="72"/>
      <c r="V1296" s="72"/>
      <c r="W1296" s="72"/>
      <c r="X1296" s="72"/>
      <c r="Y1296" s="72"/>
      <c r="Z1296" s="72"/>
      <c r="AA1296" s="72"/>
      <c r="AF1296" s="72"/>
      <c r="AG1296" s="72"/>
      <c r="AH1296" s="72"/>
    </row>
    <row r="1297" spans="2:34">
      <c r="B1297" s="72" t="s">
        <v>1189</v>
      </c>
      <c r="C1297" s="72"/>
      <c r="D1297" s="72"/>
      <c r="F1297" s="72"/>
      <c r="G1297" s="72"/>
      <c r="H1297" s="72"/>
      <c r="P1297" s="72"/>
      <c r="Q1297" s="72"/>
      <c r="R1297" s="72"/>
      <c r="S1297" s="72"/>
      <c r="T1297" s="72"/>
      <c r="U1297" s="72"/>
      <c r="V1297" s="72"/>
      <c r="W1297" s="72"/>
      <c r="X1297" s="72"/>
      <c r="Y1297" s="72"/>
      <c r="Z1297" s="72"/>
      <c r="AA1297" s="72"/>
      <c r="AF1297" s="72"/>
      <c r="AG1297" s="72"/>
      <c r="AH1297" s="72"/>
    </row>
    <row r="1298" spans="2:34">
      <c r="B1298" s="72" t="s">
        <v>1188</v>
      </c>
      <c r="C1298" s="72"/>
      <c r="D1298" s="72"/>
      <c r="F1298" s="72"/>
      <c r="G1298" s="72"/>
      <c r="H1298" s="72"/>
      <c r="P1298" s="72"/>
      <c r="Q1298" s="72"/>
      <c r="R1298" s="72"/>
      <c r="S1298" s="72"/>
      <c r="T1298" s="72"/>
      <c r="U1298" s="72"/>
      <c r="V1298" s="72"/>
      <c r="W1298" s="72"/>
      <c r="X1298" s="72"/>
      <c r="Y1298" s="72"/>
      <c r="Z1298" s="72"/>
      <c r="AA1298" s="72"/>
      <c r="AF1298" s="72"/>
      <c r="AG1298" s="72"/>
      <c r="AH1298" s="72"/>
    </row>
    <row r="1299" spans="2:34">
      <c r="B1299" s="72" t="s">
        <v>1187</v>
      </c>
      <c r="C1299" s="72"/>
      <c r="D1299" s="72"/>
      <c r="F1299" s="72"/>
      <c r="G1299" s="72"/>
      <c r="H1299" s="72"/>
      <c r="P1299" s="72"/>
      <c r="Q1299" s="72"/>
      <c r="R1299" s="72"/>
      <c r="S1299" s="72"/>
      <c r="T1299" s="72"/>
      <c r="U1299" s="72"/>
      <c r="V1299" s="72"/>
      <c r="W1299" s="72"/>
      <c r="X1299" s="72"/>
      <c r="Y1299" s="72"/>
      <c r="Z1299" s="72"/>
      <c r="AA1299" s="72"/>
      <c r="AF1299" s="72"/>
      <c r="AG1299" s="72"/>
      <c r="AH1299" s="72"/>
    </row>
    <row r="1300" spans="2:34">
      <c r="B1300" s="72" t="s">
        <v>1186</v>
      </c>
      <c r="C1300" s="72"/>
      <c r="D1300" s="72"/>
      <c r="F1300" s="72"/>
      <c r="G1300" s="72"/>
      <c r="H1300" s="72"/>
      <c r="P1300" s="72"/>
      <c r="Q1300" s="72"/>
      <c r="R1300" s="72"/>
      <c r="S1300" s="72"/>
      <c r="T1300" s="72"/>
      <c r="U1300" s="72"/>
      <c r="V1300" s="72"/>
      <c r="W1300" s="72"/>
      <c r="X1300" s="72"/>
      <c r="Y1300" s="72"/>
      <c r="Z1300" s="72"/>
      <c r="AA1300" s="72"/>
      <c r="AF1300" s="72"/>
      <c r="AG1300" s="72"/>
      <c r="AH1300" s="72"/>
    </row>
    <row r="1301" spans="2:34">
      <c r="B1301" s="72" t="s">
        <v>1185</v>
      </c>
      <c r="C1301" s="72"/>
      <c r="D1301" s="72"/>
      <c r="F1301" s="72"/>
      <c r="G1301" s="72"/>
      <c r="H1301" s="72"/>
      <c r="P1301" s="72"/>
      <c r="Q1301" s="72"/>
      <c r="R1301" s="72"/>
      <c r="S1301" s="72"/>
      <c r="T1301" s="72"/>
      <c r="U1301" s="72"/>
      <c r="V1301" s="72"/>
      <c r="W1301" s="72"/>
      <c r="X1301" s="72"/>
      <c r="Y1301" s="72"/>
      <c r="Z1301" s="72"/>
      <c r="AA1301" s="72"/>
      <c r="AF1301" s="72"/>
      <c r="AG1301" s="72"/>
      <c r="AH1301" s="72"/>
    </row>
    <row r="1302" spans="2:34">
      <c r="B1302" s="72" t="s">
        <v>1184</v>
      </c>
      <c r="C1302" s="72"/>
      <c r="D1302" s="72"/>
      <c r="F1302" s="72"/>
      <c r="G1302" s="72"/>
      <c r="H1302" s="72"/>
      <c r="P1302" s="72"/>
      <c r="Q1302" s="72"/>
      <c r="R1302" s="72"/>
      <c r="S1302" s="72"/>
      <c r="T1302" s="72"/>
      <c r="U1302" s="72"/>
      <c r="V1302" s="72"/>
      <c r="W1302" s="72"/>
      <c r="X1302" s="72"/>
      <c r="Y1302" s="72"/>
      <c r="Z1302" s="72"/>
      <c r="AA1302" s="72"/>
      <c r="AF1302" s="72"/>
      <c r="AG1302" s="72"/>
      <c r="AH1302" s="72"/>
    </row>
    <row r="1303" spans="2:34">
      <c r="B1303" s="72" t="s">
        <v>1183</v>
      </c>
      <c r="C1303" s="72"/>
      <c r="D1303" s="72"/>
      <c r="F1303" s="72"/>
      <c r="G1303" s="72"/>
      <c r="H1303" s="72"/>
      <c r="P1303" s="72"/>
      <c r="Q1303" s="72"/>
      <c r="R1303" s="72"/>
      <c r="S1303" s="72"/>
      <c r="T1303" s="72"/>
      <c r="U1303" s="72"/>
      <c r="V1303" s="72"/>
      <c r="W1303" s="72"/>
      <c r="X1303" s="72"/>
      <c r="Y1303" s="72"/>
      <c r="Z1303" s="72"/>
      <c r="AA1303" s="72"/>
      <c r="AF1303" s="72"/>
      <c r="AG1303" s="72"/>
      <c r="AH1303" s="72"/>
    </row>
    <row r="1304" spans="2:34">
      <c r="B1304" s="72" t="s">
        <v>1182</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1181</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1180</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1179</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1178</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1177</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1176</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72" t="s">
        <v>1175</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1174</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72" t="s">
        <v>1173</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1172</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1171</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1170</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1169</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72" t="s">
        <v>1168</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238" t="s">
        <v>7508</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1167</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1166</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4272</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4276</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4278</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72" t="s">
        <v>4279</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72" t="s">
        <v>4280</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72" t="s">
        <v>4281</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4282</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4283</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4284</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72" t="s">
        <v>4285</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4287</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4288</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4289</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4290</v>
      </c>
      <c r="C1335" s="72"/>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4291</v>
      </c>
      <c r="C1336" s="72"/>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4292</v>
      </c>
      <c r="C1337" s="72"/>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4293</v>
      </c>
      <c r="C1338" s="72"/>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4298</v>
      </c>
      <c r="C1339" s="72"/>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4299</v>
      </c>
      <c r="C1340" s="72"/>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4300</v>
      </c>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4301</v>
      </c>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1947</v>
      </c>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4302</v>
      </c>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4303</v>
      </c>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4304</v>
      </c>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4305</v>
      </c>
      <c r="C1347" s="73" t="s">
        <v>2138</v>
      </c>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4309</v>
      </c>
      <c r="C1348" s="73" t="s">
        <v>4310</v>
      </c>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4312</v>
      </c>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4313</v>
      </c>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4314</v>
      </c>
      <c r="D1351" s="72"/>
      <c r="F1351" s="72"/>
      <c r="G1351" s="72"/>
      <c r="H1351" s="72"/>
      <c r="P1351" s="72"/>
      <c r="Q1351" s="72"/>
      <c r="R1351" s="72"/>
      <c r="S1351" s="72"/>
      <c r="T1351" s="72"/>
      <c r="U1351" s="72"/>
      <c r="V1351" s="72"/>
      <c r="W1351" s="72"/>
      <c r="X1351" s="72"/>
      <c r="Y1351" s="72"/>
      <c r="Z1351" s="72"/>
      <c r="AA1351" s="72"/>
      <c r="AF1351" s="72"/>
      <c r="AG1351" s="72"/>
      <c r="AH1351" s="72"/>
    </row>
    <row r="1352" spans="2:34">
      <c r="B1352" s="72" t="s">
        <v>4315</v>
      </c>
      <c r="D1352" s="72"/>
      <c r="F1352" s="72"/>
      <c r="G1352" s="72"/>
      <c r="H1352" s="72"/>
      <c r="P1352" s="72"/>
      <c r="Q1352" s="72"/>
      <c r="R1352" s="72"/>
      <c r="S1352" s="72"/>
      <c r="T1352" s="72"/>
      <c r="U1352" s="72"/>
      <c r="V1352" s="72"/>
      <c r="W1352" s="72"/>
      <c r="X1352" s="72"/>
      <c r="Y1352" s="72"/>
      <c r="Z1352" s="72"/>
      <c r="AA1352" s="72"/>
      <c r="AF1352" s="72"/>
      <c r="AG1352" s="72"/>
      <c r="AH1352" s="72"/>
    </row>
    <row r="1353" spans="2:34">
      <c r="B1353" s="72" t="s">
        <v>4317</v>
      </c>
      <c r="D1353" s="72"/>
      <c r="F1353" s="72"/>
      <c r="G1353" s="72"/>
      <c r="H1353" s="72"/>
      <c r="P1353" s="72"/>
      <c r="Q1353" s="72"/>
      <c r="R1353" s="72"/>
      <c r="S1353" s="72"/>
      <c r="T1353" s="72"/>
      <c r="U1353" s="72"/>
      <c r="V1353" s="72"/>
      <c r="W1353" s="72"/>
      <c r="X1353" s="72"/>
      <c r="Y1353" s="72"/>
      <c r="Z1353" s="72"/>
      <c r="AA1353" s="72"/>
      <c r="AF1353" s="72"/>
      <c r="AG1353" s="72"/>
      <c r="AH1353" s="72"/>
    </row>
    <row r="1354" spans="2:34">
      <c r="B1354" s="72" t="s">
        <v>4318</v>
      </c>
      <c r="D1354" s="72"/>
      <c r="F1354" s="72"/>
      <c r="G1354" s="72"/>
      <c r="H1354" s="72"/>
      <c r="P1354" s="72"/>
      <c r="Q1354" s="72"/>
      <c r="R1354" s="72"/>
      <c r="S1354" s="72"/>
      <c r="T1354" s="72"/>
      <c r="U1354" s="72"/>
      <c r="V1354" s="72"/>
      <c r="W1354" s="72"/>
      <c r="X1354" s="72"/>
      <c r="Y1354" s="72"/>
      <c r="Z1354" s="72"/>
      <c r="AA1354" s="72"/>
      <c r="AF1354" s="72"/>
      <c r="AG1354" s="72"/>
      <c r="AH1354" s="72"/>
    </row>
    <row r="1355" spans="2:34">
      <c r="B1355" s="72" t="s">
        <v>4355</v>
      </c>
      <c r="D1355" s="72"/>
      <c r="F1355" s="72"/>
      <c r="G1355" s="72"/>
      <c r="H1355" s="72"/>
      <c r="P1355" s="72"/>
      <c r="Q1355" s="72"/>
      <c r="R1355" s="72"/>
      <c r="S1355" s="72"/>
      <c r="T1355" s="72"/>
      <c r="U1355" s="72"/>
      <c r="V1355" s="72"/>
      <c r="W1355" s="72"/>
      <c r="X1355" s="72"/>
      <c r="Y1355" s="72"/>
      <c r="Z1355" s="72"/>
      <c r="AA1355" s="72"/>
      <c r="AF1355" s="72"/>
      <c r="AG1355" s="72"/>
      <c r="AH1355" s="72"/>
    </row>
    <row r="1356" spans="2:34">
      <c r="B1356" s="72" t="s">
        <v>4383</v>
      </c>
      <c r="D1356" s="72"/>
      <c r="F1356" s="72"/>
      <c r="G1356" s="72"/>
      <c r="H1356" s="72"/>
      <c r="P1356" s="72"/>
      <c r="Q1356" s="72"/>
      <c r="R1356" s="72"/>
      <c r="S1356" s="72"/>
      <c r="T1356" s="72"/>
      <c r="U1356" s="72"/>
      <c r="V1356" s="72"/>
      <c r="W1356" s="72"/>
      <c r="X1356" s="72"/>
      <c r="Y1356" s="72"/>
      <c r="Z1356" s="72"/>
      <c r="AA1356" s="72"/>
      <c r="AF1356" s="72"/>
      <c r="AG1356" s="72"/>
      <c r="AH1356" s="72"/>
    </row>
    <row r="1357" spans="2:34">
      <c r="B1357" s="72" t="s">
        <v>4384</v>
      </c>
    </row>
    <row r="1358" spans="2:34">
      <c r="B1358" s="72" t="s">
        <v>4386</v>
      </c>
    </row>
    <row r="1359" spans="2:34">
      <c r="B1359" s="72" t="s">
        <v>4463</v>
      </c>
      <c r="J1359" s="72" t="s">
        <v>4465</v>
      </c>
      <c r="M1359" s="72">
        <v>2020</v>
      </c>
      <c r="AB1359" s="72" t="s">
        <v>2048</v>
      </c>
      <c r="AE1359" s="25" t="s">
        <v>4464</v>
      </c>
      <c r="AF1359" s="64"/>
      <c r="AG1359" s="59"/>
      <c r="AH1359" s="59"/>
    </row>
    <row r="1360" spans="2:34">
      <c r="B1360" s="72" t="s">
        <v>4838</v>
      </c>
    </row>
    <row r="1361" spans="2:34">
      <c r="B1361" s="72" t="s">
        <v>4880</v>
      </c>
    </row>
    <row r="1362" spans="2:34">
      <c r="B1362" s="72" t="s">
        <v>4975</v>
      </c>
    </row>
    <row r="1363" spans="2:34">
      <c r="B1363" s="72" t="s">
        <v>5009</v>
      </c>
    </row>
    <row r="1364" spans="2:34">
      <c r="B1364" s="72" t="s">
        <v>5011</v>
      </c>
    </row>
    <row r="1365" spans="2:34">
      <c r="B1365" s="72" t="s">
        <v>5064</v>
      </c>
    </row>
    <row r="1366" spans="2:34">
      <c r="B1366" s="72" t="s">
        <v>5065</v>
      </c>
    </row>
    <row r="1367" spans="2:34">
      <c r="B1367" s="72" t="s">
        <v>5077</v>
      </c>
    </row>
    <row r="1368" spans="2:34">
      <c r="B1368" s="72" t="s">
        <v>5089</v>
      </c>
    </row>
    <row r="1369" spans="2:34">
      <c r="B1369" s="72" t="s">
        <v>5091</v>
      </c>
    </row>
    <row r="1370" spans="2:34">
      <c r="B1370" s="72" t="s">
        <v>5092</v>
      </c>
    </row>
    <row r="1371" spans="2:34">
      <c r="B1371" s="72" t="s">
        <v>5111</v>
      </c>
    </row>
    <row r="1372" spans="2:34">
      <c r="B1372" s="72" t="s">
        <v>5112</v>
      </c>
    </row>
    <row r="1373" spans="2:34">
      <c r="B1373" s="72" t="s">
        <v>5114</v>
      </c>
      <c r="C1373" s="72"/>
      <c r="D1373" s="72"/>
      <c r="F1373" s="72"/>
      <c r="G1373" s="72"/>
      <c r="H1373" s="72"/>
      <c r="P1373" s="72"/>
      <c r="Q1373" s="72"/>
      <c r="R1373" s="72"/>
      <c r="S1373" s="72"/>
      <c r="T1373" s="72"/>
      <c r="U1373" s="72"/>
      <c r="V1373" s="72"/>
      <c r="W1373" s="72"/>
      <c r="X1373" s="72"/>
      <c r="Y1373" s="72"/>
      <c r="Z1373" s="72"/>
      <c r="AA1373" s="72"/>
      <c r="AF1373" s="72"/>
      <c r="AG1373" s="72"/>
      <c r="AH1373" s="72"/>
    </row>
    <row r="1374" spans="2:34">
      <c r="B1374" s="72" t="s">
        <v>5120</v>
      </c>
      <c r="C1374" s="72"/>
      <c r="D1374" s="72"/>
      <c r="F1374" s="72"/>
      <c r="G1374" s="72"/>
      <c r="H1374" s="72"/>
      <c r="P1374" s="72"/>
      <c r="Q1374" s="72"/>
      <c r="R1374" s="72"/>
      <c r="S1374" s="72"/>
      <c r="T1374" s="72"/>
      <c r="U1374" s="72"/>
      <c r="V1374" s="72"/>
      <c r="W1374" s="72"/>
      <c r="X1374" s="72"/>
      <c r="Y1374" s="72"/>
      <c r="Z1374" s="72"/>
      <c r="AA1374" s="72"/>
      <c r="AF1374" s="72"/>
      <c r="AG1374" s="72"/>
      <c r="AH1374" s="72"/>
    </row>
    <row r="1375" spans="2:34">
      <c r="B1375" s="72" t="s">
        <v>5121</v>
      </c>
      <c r="C1375" s="72"/>
      <c r="D1375" s="72"/>
      <c r="F1375" s="72"/>
      <c r="G1375" s="72"/>
      <c r="H1375" s="72"/>
      <c r="P1375" s="72"/>
      <c r="Q1375" s="72"/>
      <c r="R1375" s="72"/>
      <c r="S1375" s="72"/>
      <c r="T1375" s="72"/>
      <c r="U1375" s="72"/>
      <c r="V1375" s="72"/>
      <c r="W1375" s="72"/>
      <c r="X1375" s="72"/>
      <c r="Y1375" s="72"/>
      <c r="Z1375" s="72"/>
      <c r="AA1375" s="72"/>
      <c r="AF1375" s="72"/>
      <c r="AG1375" s="72"/>
      <c r="AH1375" s="72"/>
    </row>
    <row r="1376" spans="2:34">
      <c r="B1376" s="72" t="s">
        <v>5126</v>
      </c>
      <c r="C1376" s="72"/>
      <c r="D1376" s="72"/>
      <c r="F1376" s="72"/>
      <c r="G1376" s="72"/>
      <c r="H1376" s="72"/>
      <c r="P1376" s="72"/>
      <c r="Q1376" s="72"/>
      <c r="R1376" s="72"/>
      <c r="S1376" s="72"/>
      <c r="T1376" s="72"/>
      <c r="U1376" s="72"/>
      <c r="V1376" s="72"/>
      <c r="W1376" s="72"/>
      <c r="X1376" s="72"/>
      <c r="Y1376" s="72"/>
      <c r="Z1376" s="72"/>
      <c r="AA1376" s="72"/>
      <c r="AF1376" s="72"/>
      <c r="AG1376" s="72"/>
      <c r="AH1376" s="72"/>
    </row>
    <row r="1377" spans="2:34">
      <c r="B1377" s="72" t="s">
        <v>5127</v>
      </c>
      <c r="C1377" s="72"/>
      <c r="D1377" s="72"/>
      <c r="F1377" s="72"/>
      <c r="G1377" s="72"/>
      <c r="H1377" s="72"/>
      <c r="P1377" s="72"/>
      <c r="Q1377" s="72"/>
      <c r="R1377" s="72"/>
      <c r="S1377" s="72"/>
      <c r="T1377" s="72"/>
      <c r="U1377" s="72"/>
      <c r="V1377" s="72"/>
      <c r="W1377" s="72"/>
      <c r="X1377" s="72"/>
      <c r="Y1377" s="72"/>
      <c r="Z1377" s="72"/>
      <c r="AA1377" s="72"/>
      <c r="AF1377" s="72"/>
      <c r="AG1377" s="72"/>
      <c r="AH1377" s="72"/>
    </row>
    <row r="1378" spans="2:34">
      <c r="B1378" s="72" t="s">
        <v>5128</v>
      </c>
      <c r="C1378" s="72"/>
      <c r="D1378" s="72"/>
      <c r="F1378" s="72"/>
      <c r="G1378" s="72"/>
      <c r="H1378" s="72"/>
      <c r="P1378" s="72"/>
      <c r="Q1378" s="72"/>
      <c r="R1378" s="72"/>
      <c r="S1378" s="72"/>
      <c r="T1378" s="72"/>
      <c r="U1378" s="72"/>
      <c r="V1378" s="72"/>
      <c r="W1378" s="72"/>
      <c r="X1378" s="72"/>
      <c r="Y1378" s="72"/>
      <c r="Z1378" s="72"/>
      <c r="AA1378" s="72"/>
      <c r="AF1378" s="72"/>
      <c r="AG1378" s="72"/>
      <c r="AH1378" s="72"/>
    </row>
    <row r="1379" spans="2:34">
      <c r="B1379" s="72" t="s">
        <v>5129</v>
      </c>
      <c r="C1379" s="72"/>
      <c r="D1379" s="72"/>
      <c r="F1379" s="72"/>
      <c r="G1379" s="72"/>
      <c r="H1379" s="72"/>
      <c r="P1379" s="72"/>
      <c r="Q1379" s="72"/>
      <c r="R1379" s="72"/>
      <c r="S1379" s="72"/>
      <c r="T1379" s="72"/>
      <c r="U1379" s="72"/>
      <c r="V1379" s="72"/>
      <c r="W1379" s="72"/>
      <c r="X1379" s="72"/>
      <c r="Y1379" s="72"/>
      <c r="Z1379" s="72"/>
      <c r="AA1379" s="72"/>
      <c r="AF1379" s="72"/>
      <c r="AG1379" s="72"/>
      <c r="AH1379" s="72"/>
    </row>
    <row r="1380" spans="2:34">
      <c r="B1380" s="72" t="s">
        <v>5132</v>
      </c>
      <c r="C1380" s="72"/>
      <c r="D1380" s="72"/>
      <c r="F1380" s="72"/>
      <c r="G1380" s="72"/>
      <c r="H1380" s="72"/>
      <c r="P1380" s="72"/>
      <c r="Q1380" s="72"/>
      <c r="R1380" s="72"/>
      <c r="S1380" s="72"/>
      <c r="T1380" s="72"/>
      <c r="U1380" s="72"/>
      <c r="V1380" s="72"/>
      <c r="W1380" s="72"/>
      <c r="X1380" s="72"/>
      <c r="Y1380" s="72"/>
      <c r="Z1380" s="72"/>
      <c r="AA1380" s="72"/>
      <c r="AF1380" s="72"/>
      <c r="AG1380" s="72"/>
      <c r="AH1380" s="72"/>
    </row>
    <row r="1381" spans="2:34">
      <c r="B1381" s="72" t="s">
        <v>5144</v>
      </c>
      <c r="C1381" s="72"/>
      <c r="D1381" s="72"/>
      <c r="F1381" s="72"/>
      <c r="G1381" s="72"/>
      <c r="H1381" s="72"/>
      <c r="P1381" s="72"/>
      <c r="Q1381" s="72"/>
      <c r="R1381" s="72"/>
      <c r="S1381" s="72"/>
      <c r="T1381" s="72"/>
      <c r="U1381" s="72"/>
      <c r="V1381" s="72"/>
      <c r="W1381" s="72"/>
      <c r="X1381" s="72"/>
      <c r="Y1381" s="72"/>
      <c r="Z1381" s="72"/>
      <c r="AA1381" s="72"/>
      <c r="AF1381" s="72"/>
      <c r="AG1381" s="72"/>
      <c r="AH1381" s="72"/>
    </row>
    <row r="1382" spans="2:34">
      <c r="B1382" s="72" t="s">
        <v>5159</v>
      </c>
      <c r="C1382" s="72"/>
      <c r="D1382" s="72"/>
      <c r="F1382" s="72"/>
      <c r="G1382" s="72"/>
      <c r="H1382" s="72"/>
      <c r="P1382" s="72"/>
      <c r="Q1382" s="72"/>
      <c r="R1382" s="72"/>
      <c r="S1382" s="72"/>
      <c r="T1382" s="72"/>
      <c r="U1382" s="72"/>
      <c r="V1382" s="72"/>
      <c r="W1382" s="72"/>
      <c r="X1382" s="72"/>
      <c r="Y1382" s="72"/>
      <c r="Z1382" s="72"/>
      <c r="AA1382" s="72"/>
      <c r="AF1382" s="72"/>
      <c r="AG1382" s="72"/>
      <c r="AH1382" s="72"/>
    </row>
    <row r="1383" spans="2:34">
      <c r="B1383" s="72" t="s">
        <v>5163</v>
      </c>
      <c r="C1383" s="72"/>
      <c r="D1383" s="72"/>
      <c r="F1383" s="72"/>
      <c r="G1383" s="72"/>
      <c r="H1383" s="72"/>
      <c r="P1383" s="72"/>
      <c r="Q1383" s="72"/>
      <c r="R1383" s="72"/>
      <c r="S1383" s="72"/>
      <c r="T1383" s="72"/>
      <c r="U1383" s="72"/>
      <c r="V1383" s="72"/>
      <c r="W1383" s="72"/>
      <c r="X1383" s="72"/>
      <c r="Y1383" s="72"/>
      <c r="Z1383" s="72"/>
      <c r="AA1383" s="72"/>
      <c r="AF1383" s="72"/>
      <c r="AG1383" s="72"/>
      <c r="AH1383" s="72"/>
    </row>
    <row r="1384" spans="2:34">
      <c r="B1384" s="72" t="s">
        <v>5164</v>
      </c>
      <c r="C1384" s="72"/>
      <c r="D1384" s="72"/>
      <c r="F1384" s="72"/>
      <c r="G1384" s="72"/>
      <c r="H1384" s="72"/>
      <c r="P1384" s="72"/>
      <c r="Q1384" s="72"/>
      <c r="R1384" s="72"/>
      <c r="S1384" s="72"/>
      <c r="T1384" s="72"/>
      <c r="U1384" s="72"/>
      <c r="V1384" s="72"/>
      <c r="W1384" s="72"/>
      <c r="X1384" s="72"/>
      <c r="Y1384" s="72"/>
      <c r="Z1384" s="72"/>
      <c r="AA1384" s="72"/>
      <c r="AF1384" s="72"/>
      <c r="AG1384" s="72"/>
      <c r="AH1384" s="72"/>
    </row>
    <row r="1385" spans="2:34">
      <c r="B1385" s="72" t="s">
        <v>5165</v>
      </c>
      <c r="C1385" s="72"/>
      <c r="D1385" s="72"/>
      <c r="F1385" s="72"/>
      <c r="G1385" s="72"/>
      <c r="H1385" s="72"/>
      <c r="P1385" s="72"/>
      <c r="Q1385" s="72"/>
      <c r="R1385" s="72"/>
      <c r="S1385" s="72"/>
      <c r="T1385" s="72"/>
      <c r="U1385" s="72"/>
      <c r="V1385" s="72"/>
      <c r="W1385" s="72"/>
      <c r="X1385" s="72"/>
      <c r="Y1385" s="72"/>
      <c r="Z1385" s="72"/>
      <c r="AA1385" s="72"/>
      <c r="AF1385" s="72"/>
      <c r="AG1385" s="72"/>
      <c r="AH1385" s="72"/>
    </row>
    <row r="1386" spans="2:34">
      <c r="B1386" s="72" t="s">
        <v>5166</v>
      </c>
      <c r="C1386" s="72"/>
      <c r="D1386" s="72"/>
      <c r="F1386" s="72"/>
      <c r="G1386" s="72"/>
      <c r="H1386" s="72"/>
      <c r="P1386" s="72"/>
      <c r="Q1386" s="72"/>
      <c r="R1386" s="72"/>
      <c r="S1386" s="72"/>
      <c r="T1386" s="72"/>
      <c r="U1386" s="72"/>
      <c r="V1386" s="72"/>
      <c r="W1386" s="72"/>
      <c r="X1386" s="72"/>
      <c r="Y1386" s="72"/>
      <c r="Z1386" s="72"/>
      <c r="AA1386" s="72"/>
      <c r="AF1386" s="72"/>
      <c r="AG1386" s="72"/>
      <c r="AH1386" s="72"/>
    </row>
    <row r="1387" spans="2:34">
      <c r="B1387" s="72" t="s">
        <v>5167</v>
      </c>
      <c r="C1387" s="72"/>
      <c r="D1387" s="72"/>
      <c r="F1387" s="72"/>
      <c r="G1387" s="72"/>
      <c r="H1387" s="72"/>
      <c r="P1387" s="72"/>
      <c r="Q1387" s="72"/>
      <c r="R1387" s="72"/>
      <c r="S1387" s="72"/>
      <c r="T1387" s="72"/>
      <c r="U1387" s="72"/>
      <c r="V1387" s="72"/>
      <c r="W1387" s="72"/>
      <c r="X1387" s="72"/>
      <c r="Y1387" s="72"/>
      <c r="Z1387" s="72"/>
      <c r="AA1387" s="72"/>
      <c r="AF1387" s="72"/>
      <c r="AG1387" s="72"/>
      <c r="AH1387" s="72"/>
    </row>
    <row r="1388" spans="2:34">
      <c r="B1388" s="72" t="s">
        <v>5168</v>
      </c>
      <c r="C1388" s="72"/>
      <c r="D1388" s="72"/>
      <c r="F1388" s="72"/>
      <c r="G1388" s="72"/>
      <c r="H1388" s="72"/>
      <c r="P1388" s="72"/>
      <c r="Q1388" s="72"/>
      <c r="R1388" s="72"/>
      <c r="S1388" s="72"/>
      <c r="T1388" s="72"/>
      <c r="U1388" s="72"/>
      <c r="V1388" s="72"/>
      <c r="W1388" s="72"/>
      <c r="X1388" s="72"/>
      <c r="Y1388" s="72"/>
      <c r="Z1388" s="72"/>
      <c r="AA1388" s="72"/>
      <c r="AF1388" s="72"/>
      <c r="AG1388" s="72"/>
      <c r="AH1388" s="72"/>
    </row>
    <row r="1389" spans="2:34">
      <c r="B1389" s="72" t="s">
        <v>5169</v>
      </c>
      <c r="AF1389" s="72"/>
      <c r="AG1389" s="72"/>
      <c r="AH1389" s="72"/>
    </row>
    <row r="1390" spans="2:34">
      <c r="B1390" s="72" t="s">
        <v>5170</v>
      </c>
      <c r="AF1390" s="72"/>
      <c r="AG1390" s="72"/>
      <c r="AH1390" s="72"/>
    </row>
    <row r="1391" spans="2:34">
      <c r="B1391" s="72" t="s">
        <v>5173</v>
      </c>
      <c r="AF1391" s="72"/>
      <c r="AG1391" s="72"/>
      <c r="AH1391" s="72"/>
    </row>
    <row r="1392" spans="2:34">
      <c r="B1392" s="72" t="s">
        <v>5214</v>
      </c>
      <c r="AF1392" s="72"/>
      <c r="AG1392" s="72"/>
      <c r="AH1392" s="72"/>
    </row>
    <row r="1393" spans="2:34">
      <c r="B1393" s="91" t="s">
        <v>5228</v>
      </c>
      <c r="AF1393" s="72"/>
      <c r="AG1393" s="72"/>
      <c r="AH1393" s="72"/>
    </row>
    <row r="1394" spans="2:34">
      <c r="B1394" s="91" t="s">
        <v>5289</v>
      </c>
      <c r="AF1394" s="72"/>
      <c r="AG1394" s="72"/>
      <c r="AH1394" s="72"/>
    </row>
    <row r="1395" spans="2:34">
      <c r="B1395" s="91" t="s">
        <v>5402</v>
      </c>
      <c r="AF1395" s="72"/>
      <c r="AG1395" s="72"/>
      <c r="AH1395" s="72"/>
    </row>
    <row r="1396" spans="2:34">
      <c r="B1396" s="91" t="s">
        <v>5441</v>
      </c>
      <c r="C1396" s="96" t="s">
        <v>1691</v>
      </c>
      <c r="F1396" s="74">
        <v>6.6</v>
      </c>
      <c r="J1396" s="91" t="s">
        <v>5443</v>
      </c>
      <c r="M1396" s="72">
        <v>2022</v>
      </c>
      <c r="AB1396" s="91" t="s">
        <v>2152</v>
      </c>
      <c r="AC1396" s="91"/>
      <c r="AD1396" s="91"/>
      <c r="AE1396" s="91" t="s">
        <v>5442</v>
      </c>
      <c r="AF1396" s="72"/>
      <c r="AG1396" s="72"/>
      <c r="AH1396" s="72"/>
    </row>
    <row r="1397" spans="2:34">
      <c r="B1397" s="91" t="s">
        <v>5444</v>
      </c>
      <c r="AB1397" s="91" t="s">
        <v>2048</v>
      </c>
      <c r="AC1397" s="91"/>
      <c r="AD1397" s="91"/>
      <c r="AE1397" s="91" t="s">
        <v>5445</v>
      </c>
      <c r="AF1397" s="72"/>
      <c r="AG1397" s="72"/>
      <c r="AH1397" s="72"/>
    </row>
    <row r="1398" spans="2:34">
      <c r="B1398" s="91" t="s">
        <v>5446</v>
      </c>
      <c r="C1398" s="96" t="s">
        <v>1691</v>
      </c>
      <c r="J1398" s="91" t="s">
        <v>5447</v>
      </c>
      <c r="M1398" s="72">
        <v>2021</v>
      </c>
      <c r="AB1398" s="91" t="s">
        <v>2055</v>
      </c>
      <c r="AC1398" s="91"/>
      <c r="AD1398" s="91"/>
      <c r="AE1398" s="91" t="s">
        <v>5448</v>
      </c>
      <c r="AF1398" s="72"/>
      <c r="AG1398" s="72"/>
      <c r="AH1398" s="72"/>
    </row>
    <row r="1399" spans="2:34">
      <c r="B1399" s="91" t="s">
        <v>5641</v>
      </c>
      <c r="AF1399" s="72"/>
      <c r="AG1399" s="72"/>
      <c r="AH1399" s="72"/>
    </row>
    <row r="1400" spans="2:34">
      <c r="B1400" s="91" t="s">
        <v>5784</v>
      </c>
      <c r="AF1400" s="72"/>
      <c r="AG1400" s="72"/>
      <c r="AH1400" s="72"/>
    </row>
    <row r="1401" spans="2:34">
      <c r="B1401" s="91" t="s">
        <v>5891</v>
      </c>
      <c r="AF1401" s="72"/>
      <c r="AG1401" s="72"/>
      <c r="AH1401" s="72"/>
    </row>
    <row r="1402" spans="2:34">
      <c r="B1402" s="106" t="s">
        <v>6018</v>
      </c>
      <c r="I1402" s="106" t="s">
        <v>6019</v>
      </c>
      <c r="AF1402" s="72"/>
      <c r="AG1402" s="72"/>
      <c r="AH1402" s="72"/>
    </row>
    <row r="1403" spans="2:34">
      <c r="B1403" s="134" t="s">
        <v>6151</v>
      </c>
      <c r="AF1403" s="72"/>
      <c r="AG1403" s="72"/>
      <c r="AH1403" s="72"/>
    </row>
    <row r="1404" spans="2:34">
      <c r="B1404" s="134" t="s">
        <v>6197</v>
      </c>
      <c r="AF1404" s="72"/>
      <c r="AG1404" s="72"/>
      <c r="AH1404" s="72"/>
    </row>
    <row r="1405" spans="2:34">
      <c r="B1405" s="134" t="s">
        <v>6200</v>
      </c>
      <c r="P1405" s="72"/>
      <c r="Q1405" s="72"/>
      <c r="R1405" s="72"/>
      <c r="S1405" s="72"/>
      <c r="T1405" s="72"/>
      <c r="U1405" s="72"/>
      <c r="V1405" s="72"/>
      <c r="W1405" s="72"/>
      <c r="X1405" s="72"/>
      <c r="Y1405" s="72"/>
      <c r="Z1405" s="72"/>
      <c r="AA1405" s="72"/>
      <c r="AF1405" s="72"/>
      <c r="AG1405" s="72"/>
      <c r="AH1405" s="72"/>
    </row>
    <row r="1406" spans="2:34">
      <c r="B1406" s="134" t="s">
        <v>6227</v>
      </c>
      <c r="I1406" s="134" t="s">
        <v>6228</v>
      </c>
      <c r="P1406" s="72"/>
      <c r="Q1406" s="72"/>
      <c r="R1406" s="72"/>
      <c r="S1406" s="72"/>
      <c r="T1406" s="72"/>
      <c r="U1406" s="72"/>
      <c r="V1406" s="72"/>
      <c r="W1406" s="72"/>
      <c r="X1406" s="72"/>
      <c r="Y1406" s="72"/>
      <c r="Z1406" s="72"/>
      <c r="AA1406" s="72"/>
      <c r="AF1406" s="72"/>
      <c r="AG1406" s="72"/>
      <c r="AH1406" s="72"/>
    </row>
    <row r="1407" spans="2:34">
      <c r="B1407" s="134" t="s">
        <v>6289</v>
      </c>
      <c r="P1407" s="72"/>
      <c r="Q1407" s="72"/>
      <c r="R1407" s="72"/>
      <c r="S1407" s="72"/>
      <c r="T1407" s="72"/>
      <c r="U1407" s="72"/>
      <c r="V1407" s="72"/>
      <c r="W1407" s="72"/>
      <c r="X1407" s="72"/>
      <c r="Y1407" s="72"/>
      <c r="Z1407" s="72"/>
      <c r="AA1407" s="72"/>
      <c r="AF1407" s="72"/>
      <c r="AG1407" s="72"/>
      <c r="AH1407" s="72"/>
    </row>
    <row r="1408" spans="2:34">
      <c r="B1408" s="134" t="s">
        <v>6312</v>
      </c>
      <c r="I1408" s="134" t="s">
        <v>6313</v>
      </c>
      <c r="P1408" s="72"/>
      <c r="Q1408" s="72"/>
      <c r="R1408" s="72"/>
      <c r="S1408" s="72"/>
      <c r="T1408" s="72"/>
      <c r="U1408" s="72"/>
      <c r="V1408" s="72"/>
      <c r="W1408" s="72"/>
      <c r="X1408" s="72"/>
      <c r="Y1408" s="72"/>
      <c r="Z1408" s="72"/>
      <c r="AA1408" s="72"/>
      <c r="AF1408" s="72"/>
      <c r="AG1408" s="72"/>
      <c r="AH1408" s="72"/>
    </row>
    <row r="1409" spans="2:34">
      <c r="B1409" s="152" t="s">
        <v>6354</v>
      </c>
      <c r="P1409" s="72"/>
      <c r="Q1409" s="72"/>
      <c r="R1409" s="72"/>
      <c r="S1409" s="72"/>
      <c r="T1409" s="72"/>
      <c r="U1409" s="72"/>
      <c r="V1409" s="72"/>
      <c r="W1409" s="72"/>
      <c r="X1409" s="72"/>
      <c r="Y1409" s="72"/>
      <c r="Z1409" s="72"/>
      <c r="AA1409" s="72"/>
      <c r="AF1409" s="72"/>
      <c r="AG1409" s="72"/>
      <c r="AH1409" s="72"/>
    </row>
    <row r="1410" spans="2:34">
      <c r="B1410" s="152" t="s">
        <v>6355</v>
      </c>
      <c r="P1410" s="72"/>
      <c r="Q1410" s="72"/>
      <c r="R1410" s="72"/>
      <c r="S1410" s="72"/>
      <c r="T1410" s="72"/>
      <c r="U1410" s="72"/>
      <c r="V1410" s="72"/>
      <c r="W1410" s="72"/>
      <c r="X1410" s="72"/>
      <c r="Y1410" s="72"/>
      <c r="Z1410" s="72"/>
      <c r="AA1410" s="72"/>
      <c r="AF1410" s="72"/>
      <c r="AG1410" s="72"/>
      <c r="AH1410" s="72"/>
    </row>
    <row r="1411" spans="2:34">
      <c r="B1411" s="152" t="s">
        <v>6357</v>
      </c>
      <c r="P1411" s="72"/>
      <c r="Q1411" s="72"/>
      <c r="R1411" s="72"/>
      <c r="S1411" s="72"/>
      <c r="T1411" s="72"/>
      <c r="U1411" s="72"/>
      <c r="V1411" s="72"/>
      <c r="W1411" s="72"/>
      <c r="X1411" s="72"/>
      <c r="Y1411" s="72"/>
      <c r="Z1411" s="72"/>
      <c r="AA1411" s="72"/>
      <c r="AF1411" s="72"/>
      <c r="AG1411" s="72"/>
      <c r="AH1411" s="72"/>
    </row>
    <row r="1412" spans="2:34">
      <c r="B1412" s="152" t="s">
        <v>6517</v>
      </c>
      <c r="P1412" s="72"/>
      <c r="Q1412" s="72"/>
      <c r="R1412" s="72"/>
      <c r="S1412" s="72"/>
      <c r="T1412" s="72"/>
      <c r="U1412" s="72"/>
      <c r="V1412" s="72"/>
      <c r="W1412" s="72"/>
      <c r="X1412" s="72"/>
      <c r="Y1412" s="72"/>
      <c r="Z1412" s="72"/>
      <c r="AA1412" s="72"/>
      <c r="AF1412" s="72"/>
      <c r="AG1412" s="72"/>
      <c r="AH1412" s="72"/>
    </row>
    <row r="1413" spans="2:34">
      <c r="B1413" s="152" t="s">
        <v>6552</v>
      </c>
      <c r="P1413" s="72"/>
      <c r="Q1413" s="72"/>
      <c r="R1413" s="72"/>
      <c r="S1413" s="72"/>
      <c r="T1413" s="72"/>
      <c r="U1413" s="72"/>
      <c r="V1413" s="72"/>
      <c r="W1413" s="72"/>
      <c r="X1413" s="72"/>
      <c r="Y1413" s="72"/>
      <c r="Z1413" s="72"/>
      <c r="AA1413" s="72"/>
      <c r="AF1413" s="72"/>
      <c r="AG1413" s="72"/>
      <c r="AH1413" s="72"/>
    </row>
    <row r="1414" spans="2:34">
      <c r="B1414" s="152" t="s">
        <v>6584</v>
      </c>
      <c r="I1414" s="152" t="s">
        <v>6585</v>
      </c>
      <c r="P1414" s="72"/>
      <c r="Q1414" s="72"/>
      <c r="R1414" s="72"/>
      <c r="S1414" s="72"/>
      <c r="T1414" s="72"/>
      <c r="U1414" s="72"/>
      <c r="V1414" s="72"/>
      <c r="W1414" s="72"/>
      <c r="X1414" s="72"/>
      <c r="Y1414" s="72"/>
      <c r="Z1414" s="72"/>
      <c r="AA1414" s="72"/>
      <c r="AF1414" s="72"/>
      <c r="AG1414" s="72"/>
      <c r="AH1414" s="72"/>
    </row>
    <row r="1415" spans="2:34">
      <c r="B1415" s="152" t="s">
        <v>6587</v>
      </c>
      <c r="P1415" s="72"/>
      <c r="Q1415" s="72"/>
      <c r="R1415" s="72"/>
      <c r="S1415" s="72"/>
      <c r="T1415" s="72"/>
      <c r="U1415" s="72"/>
      <c r="V1415" s="72"/>
      <c r="W1415" s="72"/>
      <c r="X1415" s="72"/>
      <c r="Y1415" s="72"/>
      <c r="Z1415" s="72"/>
      <c r="AA1415" s="72"/>
      <c r="AF1415" s="72"/>
      <c r="AG1415" s="72"/>
      <c r="AH1415" s="72"/>
    </row>
    <row r="1416" spans="2:34">
      <c r="B1416" s="176" t="s">
        <v>6678</v>
      </c>
      <c r="P1416" s="72"/>
      <c r="Q1416" s="72"/>
      <c r="R1416" s="72"/>
      <c r="S1416" s="72"/>
      <c r="T1416" s="72"/>
      <c r="U1416" s="72"/>
      <c r="V1416" s="72"/>
      <c r="W1416" s="72"/>
      <c r="X1416" s="72"/>
      <c r="Y1416" s="72"/>
      <c r="Z1416" s="72"/>
      <c r="AA1416" s="72"/>
      <c r="AF1416" s="72"/>
      <c r="AG1416" s="72"/>
      <c r="AH1416" s="72"/>
    </row>
    <row r="1417" spans="2:34">
      <c r="B1417" s="176" t="s">
        <v>6703</v>
      </c>
      <c r="P1417" s="72"/>
      <c r="Q1417" s="72"/>
      <c r="R1417" s="72"/>
      <c r="S1417" s="72"/>
      <c r="T1417" s="72"/>
      <c r="U1417" s="72"/>
      <c r="V1417" s="72"/>
      <c r="W1417" s="72"/>
      <c r="X1417" s="72"/>
      <c r="Y1417" s="72"/>
      <c r="Z1417" s="72"/>
      <c r="AA1417" s="72"/>
      <c r="AF1417" s="72"/>
      <c r="AG1417" s="72"/>
      <c r="AH1417" s="72"/>
    </row>
    <row r="1418" spans="2:34">
      <c r="B1418" s="176" t="s">
        <v>6704</v>
      </c>
      <c r="P1418" s="72"/>
      <c r="Q1418" s="72"/>
      <c r="R1418" s="72"/>
      <c r="S1418" s="72"/>
      <c r="T1418" s="72"/>
      <c r="U1418" s="72"/>
      <c r="V1418" s="72"/>
      <c r="W1418" s="72"/>
      <c r="X1418" s="72"/>
      <c r="Y1418" s="72"/>
      <c r="Z1418" s="72"/>
      <c r="AA1418" s="72"/>
      <c r="AF1418" s="72"/>
      <c r="AG1418" s="72"/>
      <c r="AH1418" s="72"/>
    </row>
    <row r="1419" spans="2:34">
      <c r="B1419" s="176" t="s">
        <v>6713</v>
      </c>
      <c r="P1419" s="72"/>
      <c r="Q1419" s="72"/>
      <c r="R1419" s="72"/>
      <c r="S1419" s="72"/>
      <c r="T1419" s="72"/>
      <c r="U1419" s="72"/>
      <c r="V1419" s="72"/>
      <c r="W1419" s="72"/>
      <c r="X1419" s="72"/>
      <c r="Y1419" s="72"/>
      <c r="Z1419" s="72"/>
      <c r="AA1419" s="72"/>
      <c r="AF1419" s="72"/>
      <c r="AG1419" s="72"/>
      <c r="AH1419" s="72"/>
    </row>
    <row r="1420" spans="2:34">
      <c r="B1420" s="176" t="s">
        <v>6746</v>
      </c>
      <c r="P1420" s="72"/>
      <c r="Q1420" s="72"/>
      <c r="R1420" s="72"/>
      <c r="S1420" s="72"/>
      <c r="T1420" s="72"/>
      <c r="U1420" s="72"/>
      <c r="V1420" s="72"/>
      <c r="W1420" s="72"/>
      <c r="X1420" s="72"/>
      <c r="Y1420" s="72"/>
      <c r="Z1420" s="72"/>
      <c r="AA1420" s="72"/>
      <c r="AF1420" s="72"/>
      <c r="AG1420" s="72"/>
      <c r="AH1420" s="72"/>
    </row>
    <row r="1421" spans="2:34">
      <c r="B1421" s="176" t="s">
        <v>6748</v>
      </c>
      <c r="C1421" s="72"/>
      <c r="D1421" s="72"/>
      <c r="F1421" s="72"/>
      <c r="G1421" s="72"/>
      <c r="H1421" s="72"/>
      <c r="P1421" s="72"/>
      <c r="Q1421" s="72"/>
      <c r="R1421" s="72"/>
      <c r="S1421" s="72"/>
      <c r="T1421" s="72"/>
      <c r="U1421" s="72"/>
      <c r="V1421" s="72"/>
      <c r="W1421" s="72"/>
      <c r="X1421" s="72"/>
      <c r="Y1421" s="72"/>
      <c r="Z1421" s="72"/>
      <c r="AA1421" s="72"/>
      <c r="AF1421" s="72"/>
      <c r="AG1421" s="72"/>
      <c r="AH1421" s="72"/>
    </row>
    <row r="1422" spans="2:34">
      <c r="B1422" s="176" t="s">
        <v>6754</v>
      </c>
      <c r="C1422" s="72"/>
      <c r="D1422" s="72"/>
      <c r="F1422" s="72"/>
      <c r="G1422" s="72"/>
      <c r="H1422" s="72"/>
      <c r="P1422" s="72"/>
      <c r="Q1422" s="72"/>
      <c r="R1422" s="72"/>
      <c r="S1422" s="72"/>
      <c r="T1422" s="72"/>
      <c r="U1422" s="72"/>
      <c r="V1422" s="72"/>
      <c r="W1422" s="72"/>
      <c r="X1422" s="72"/>
      <c r="Y1422" s="72"/>
      <c r="Z1422" s="72"/>
      <c r="AA1422" s="72"/>
      <c r="AF1422" s="72"/>
      <c r="AG1422" s="72"/>
      <c r="AH1422" s="72"/>
    </row>
    <row r="1423" spans="2:34">
      <c r="B1423" s="176" t="s">
        <v>6755</v>
      </c>
      <c r="C1423" s="72"/>
      <c r="D1423" s="72"/>
      <c r="F1423" s="72"/>
      <c r="G1423" s="72"/>
      <c r="H1423" s="72"/>
      <c r="P1423" s="72"/>
      <c r="Q1423" s="72"/>
      <c r="R1423" s="72"/>
      <c r="S1423" s="72"/>
      <c r="T1423" s="72"/>
      <c r="U1423" s="72"/>
      <c r="V1423" s="72"/>
      <c r="W1423" s="72"/>
      <c r="X1423" s="72"/>
      <c r="Y1423" s="72"/>
      <c r="Z1423" s="72"/>
      <c r="AA1423" s="72"/>
      <c r="AF1423" s="72"/>
      <c r="AG1423" s="72"/>
      <c r="AH1423" s="72"/>
    </row>
    <row r="1424" spans="2:34">
      <c r="B1424" s="176" t="s">
        <v>7029</v>
      </c>
      <c r="C1424" s="72"/>
      <c r="D1424" s="72"/>
      <c r="F1424" s="72"/>
      <c r="G1424" s="72"/>
      <c r="H1424" s="72"/>
      <c r="P1424" s="72"/>
      <c r="Q1424" s="72"/>
      <c r="R1424" s="72"/>
      <c r="S1424" s="72"/>
      <c r="T1424" s="72"/>
      <c r="U1424" s="72"/>
      <c r="V1424" s="72"/>
      <c r="W1424" s="72"/>
      <c r="X1424" s="72"/>
      <c r="Y1424" s="72"/>
      <c r="Z1424" s="72"/>
      <c r="AA1424" s="72"/>
      <c r="AF1424" s="72"/>
      <c r="AG1424" s="72"/>
      <c r="AH1424" s="72"/>
    </row>
    <row r="1425" spans="2:34">
      <c r="B1425" s="176" t="s">
        <v>7059</v>
      </c>
      <c r="C1425" s="72"/>
      <c r="D1425" s="72"/>
      <c r="F1425" s="72"/>
      <c r="G1425" s="72"/>
      <c r="H1425" s="72"/>
      <c r="P1425" s="72"/>
      <c r="Q1425" s="72"/>
      <c r="R1425" s="72"/>
      <c r="S1425" s="72"/>
      <c r="T1425" s="72"/>
      <c r="U1425" s="72"/>
      <c r="V1425" s="72"/>
      <c r="W1425" s="72"/>
      <c r="X1425" s="72"/>
      <c r="Y1425" s="72"/>
      <c r="Z1425" s="72"/>
      <c r="AA1425" s="72"/>
      <c r="AF1425" s="72"/>
      <c r="AG1425" s="72"/>
      <c r="AH1425" s="72"/>
    </row>
    <row r="1426" spans="2:34">
      <c r="B1426" s="176" t="s">
        <v>7060</v>
      </c>
      <c r="C1426" s="72"/>
      <c r="D1426" s="72"/>
      <c r="F1426" s="72"/>
      <c r="G1426" s="72"/>
      <c r="H1426" s="72"/>
      <c r="P1426" s="72"/>
      <c r="Q1426" s="72"/>
      <c r="R1426" s="72"/>
      <c r="S1426" s="72"/>
      <c r="T1426" s="72"/>
      <c r="U1426" s="72"/>
      <c r="V1426" s="72"/>
      <c r="W1426" s="72"/>
      <c r="X1426" s="72"/>
      <c r="Y1426" s="72"/>
      <c r="Z1426" s="72"/>
      <c r="AA1426" s="72"/>
      <c r="AF1426" s="72"/>
      <c r="AG1426" s="72"/>
      <c r="AH1426" s="72"/>
    </row>
    <row r="1427" spans="2:34">
      <c r="B1427" s="72" t="s">
        <v>7277</v>
      </c>
    </row>
    <row r="1428" spans="2:34">
      <c r="B1428" s="72" t="s">
        <v>7278</v>
      </c>
    </row>
    <row r="1429" spans="2:34">
      <c r="B1429" s="72" t="s">
        <v>7279</v>
      </c>
    </row>
    <row r="1430" spans="2:34">
      <c r="B1430" s="238" t="s">
        <v>7365</v>
      </c>
    </row>
    <row r="1431" spans="2:34">
      <c r="B1431" s="238" t="s">
        <v>7388</v>
      </c>
      <c r="I1431" s="238" t="s">
        <v>7389</v>
      </c>
      <c r="AE1431" s="238" t="s">
        <v>7390</v>
      </c>
    </row>
    <row r="1432" spans="2:34">
      <c r="B1432" s="238" t="s">
        <v>7393</v>
      </c>
    </row>
    <row r="1433" spans="2:34">
      <c r="B1433" s="238" t="s">
        <v>7394</v>
      </c>
    </row>
    <row r="1434" spans="2:34">
      <c r="B1434" s="238" t="s">
        <v>7404</v>
      </c>
    </row>
    <row r="1435" spans="2:34">
      <c r="B1435" s="238" t="s">
        <v>7405</v>
      </c>
    </row>
    <row r="1436" spans="2:34">
      <c r="B1436" s="238" t="s">
        <v>7406</v>
      </c>
    </row>
    <row r="1437" spans="2:34">
      <c r="B1437" s="238" t="s">
        <v>7435</v>
      </c>
    </row>
    <row r="1438" spans="2:34">
      <c r="B1438" s="238" t="s">
        <v>7502</v>
      </c>
    </row>
    <row r="1439" spans="2:34">
      <c r="B1439" s="238" t="s">
        <v>7503</v>
      </c>
    </row>
    <row r="1440" spans="2:34">
      <c r="B1440" s="238" t="s">
        <v>7504</v>
      </c>
    </row>
    <row r="1441" spans="2:9">
      <c r="B1441" s="238" t="s">
        <v>7505</v>
      </c>
    </row>
    <row r="1442" spans="2:9">
      <c r="B1442" s="238" t="s">
        <v>7506</v>
      </c>
    </row>
    <row r="1443" spans="2:9">
      <c r="B1443" s="238" t="s">
        <v>7507</v>
      </c>
    </row>
    <row r="1444" spans="2:9">
      <c r="B1444" s="238" t="s">
        <v>7509</v>
      </c>
    </row>
    <row r="1445" spans="2:9">
      <c r="B1445" s="238" t="s">
        <v>7510</v>
      </c>
    </row>
    <row r="1446" spans="2:9">
      <c r="B1446" s="238" t="s">
        <v>7511</v>
      </c>
    </row>
    <row r="1447" spans="2:9">
      <c r="B1447" s="238" t="s">
        <v>7517</v>
      </c>
    </row>
    <row r="1448" spans="2:9">
      <c r="B1448" s="238" t="s">
        <v>7520</v>
      </c>
    </row>
    <row r="1449" spans="2:9">
      <c r="B1449" s="238" t="s">
        <v>7521</v>
      </c>
    </row>
    <row r="1450" spans="2:9">
      <c r="B1450" s="238" t="s">
        <v>7522</v>
      </c>
    </row>
    <row r="1451" spans="2:9">
      <c r="B1451" s="238" t="s">
        <v>7639</v>
      </c>
      <c r="I1451" s="238" t="s">
        <v>7579</v>
      </c>
    </row>
    <row r="1452" spans="2:9">
      <c r="B1452" s="238" t="s">
        <v>7661</v>
      </c>
    </row>
    <row r="1453" spans="2:9">
      <c r="B1453" s="238" t="s">
        <v>7662</v>
      </c>
    </row>
    <row r="1454" spans="2:9">
      <c r="B1454" s="264" t="s">
        <v>7884</v>
      </c>
      <c r="I1454" s="264" t="s">
        <v>7885</v>
      </c>
    </row>
    <row r="1455" spans="2:9">
      <c r="B1455" s="264" t="s">
        <v>7944</v>
      </c>
    </row>
    <row r="1456" spans="2:9">
      <c r="B1456" s="264" t="s">
        <v>7945</v>
      </c>
    </row>
    <row r="1457" spans="2:31">
      <c r="B1457" s="274" t="s">
        <v>8033</v>
      </c>
    </row>
    <row r="1458" spans="2:31">
      <c r="B1458" s="274" t="s">
        <v>8888</v>
      </c>
    </row>
    <row r="1459" spans="2:31">
      <c r="B1459" s="274" t="s">
        <v>8889</v>
      </c>
    </row>
    <row r="1460" spans="2:31">
      <c r="B1460" s="274" t="s">
        <v>8917</v>
      </c>
    </row>
    <row r="1461" spans="2:31">
      <c r="B1461" s="274" t="s">
        <v>8924</v>
      </c>
    </row>
    <row r="1462" spans="2:31">
      <c r="B1462" s="274" t="s">
        <v>8931</v>
      </c>
    </row>
    <row r="1463" spans="2:31">
      <c r="B1463" s="274" t="s">
        <v>9077</v>
      </c>
    </row>
    <row r="1464" spans="2:31">
      <c r="B1464" s="274" t="s">
        <v>9078</v>
      </c>
    </row>
    <row r="1465" spans="2:31">
      <c r="B1465" s="274" t="s">
        <v>9079</v>
      </c>
    </row>
    <row r="1466" spans="2:31">
      <c r="B1466" s="385" t="s">
        <v>9546</v>
      </c>
      <c r="AE1466" s="25" t="s">
        <v>9547</v>
      </c>
    </row>
    <row r="1467" spans="2:31">
      <c r="B1467" s="385" t="s">
        <v>9549</v>
      </c>
      <c r="AE1467" s="25" t="s">
        <v>9550</v>
      </c>
    </row>
    <row r="1468" spans="2:31">
      <c r="B1468" s="396" t="s">
        <v>9720</v>
      </c>
    </row>
    <row r="1469" spans="2:31">
      <c r="B1469" s="396" t="s">
        <v>9735</v>
      </c>
    </row>
    <row r="1470" spans="2:31">
      <c r="B1470" s="396" t="s">
        <v>9773</v>
      </c>
      <c r="AE1470" s="396" t="s">
        <v>9774</v>
      </c>
    </row>
    <row r="1471" spans="2:31">
      <c r="B1471" s="396" t="s">
        <v>9776</v>
      </c>
      <c r="AE1471" s="396" t="s">
        <v>9775</v>
      </c>
    </row>
    <row r="1472" spans="2:31">
      <c r="B1472" s="396" t="s">
        <v>9777</v>
      </c>
      <c r="AE1472" s="396" t="s">
        <v>9778</v>
      </c>
    </row>
    <row r="1473" spans="2:31">
      <c r="B1473" s="396" t="s">
        <v>8234</v>
      </c>
      <c r="AE1473" s="396" t="s">
        <v>9779</v>
      </c>
    </row>
    <row r="1474" spans="2:31">
      <c r="B1474" s="396" t="s">
        <v>9800</v>
      </c>
      <c r="AE1474" s="396" t="s">
        <v>9801</v>
      </c>
    </row>
    <row r="1475" spans="2:31">
      <c r="B1475" s="396" t="s">
        <v>9802</v>
      </c>
      <c r="AE1475" s="396" t="s">
        <v>9803</v>
      </c>
    </row>
  </sheetData>
  <autoFilter ref="A2:AG374" xr:uid="{1D086FBF-54A7-D645-B852-D7C36F7A3282}"/>
  <sortState xmlns:xlrd2="http://schemas.microsoft.com/office/spreadsheetml/2017/richdata2" ref="A5:AI555">
    <sortCondition descending="1" ref="AF5:AF555"/>
  </sortState>
  <hyperlinks>
    <hyperlink ref="A1" location="Main!A1" display="Main" xr:uid="{7DC47930-6FDD-2A40-A215-ADB7D7D212D9}"/>
    <hyperlink ref="N56" r:id="rId1" xr:uid="{37B348D1-62FB-CB42-8FDE-DB2286F85AF4}"/>
    <hyperlink ref="N428" r:id="rId2" xr:uid="{63A7BC90-DBBE-514D-9915-3C6B5CB87487}"/>
    <hyperlink ref="AN5" r:id="rId3" location="gid=503924035" xr:uid="{EB939790-927D-6F49-9F17-5978E943E6F0}"/>
    <hyperlink ref="AN3" r:id="rId4" xr:uid="{72758097-3595-0D4C-8A1A-A922DD9B3ACA}"/>
    <hyperlink ref="AE344" r:id="rId5" xr:uid="{ED4C4901-26B0-DD47-8A57-E9851FDE4E45}"/>
    <hyperlink ref="AE368" r:id="rId6" xr:uid="{2DAB4514-E808-DB40-9A64-A8C67F3ECD93}"/>
    <hyperlink ref="AE136" r:id="rId7" xr:uid="{AB3930FA-F679-A344-BA29-64D2D2FEC47E}"/>
    <hyperlink ref="AE127" r:id="rId8" xr:uid="{6CE92E7C-8B8B-A342-AB1F-A673F4460D55}"/>
    <hyperlink ref="AE342" r:id="rId9" xr:uid="{E179990D-B264-E64C-8A3F-16A0D4E9B53C}"/>
    <hyperlink ref="AE80" r:id="rId10" xr:uid="{8C90E27D-4F9D-5D4E-8EA0-BE3C7413319F}"/>
    <hyperlink ref="AE345" r:id="rId11" xr:uid="{B959BFB5-FA17-4049-9F1C-D181B14C9BAC}"/>
    <hyperlink ref="AE22" r:id="rId12" xr:uid="{D3F3CAAC-B165-8641-B49B-D1D231AC1BB5}"/>
    <hyperlink ref="AE26" r:id="rId13" xr:uid="{0D93FA7F-DF31-464B-B7DB-6643E2D277F9}"/>
    <hyperlink ref="AE33" r:id="rId14" xr:uid="{764D5E85-2FA7-3F4A-847E-36641C8801B6}"/>
    <hyperlink ref="AE30" r:id="rId15" xr:uid="{920F94BA-DE8E-5146-98C8-1B194655CBEE}"/>
    <hyperlink ref="AE48" r:id="rId16" xr:uid="{E93BB48A-3B55-A94A-BF1D-F1DB95DB5FE8}"/>
    <hyperlink ref="AE35" r:id="rId17" xr:uid="{031CC666-5E7E-9B40-9CDA-8EDFDCC1E307}"/>
    <hyperlink ref="AE88" r:id="rId18" xr:uid="{72FD1EF1-B4ED-0941-9B52-50EE94060A4E}"/>
    <hyperlink ref="AE21" r:id="rId19" xr:uid="{5ED8BADD-3E21-1647-B238-2661DB750F6A}"/>
    <hyperlink ref="AE32" r:id="rId20" xr:uid="{BFBA0651-87AB-954B-9475-1E4DBB347C42}"/>
    <hyperlink ref="AE409" r:id="rId21" xr:uid="{A8B20ECF-8056-E242-9021-7197D22C0B38}"/>
    <hyperlink ref="AE390" r:id="rId22" xr:uid="{2D8D9379-6E23-AD4C-A876-0968872143E5}"/>
    <hyperlink ref="AE402" r:id="rId23" xr:uid="{022F52CA-9B2E-1044-A61A-10BCCE89F5FA}"/>
    <hyperlink ref="AE396" r:id="rId24" xr:uid="{C6B6BF51-25A9-D149-ADD8-8643DC8033F2}"/>
    <hyperlink ref="AE451" r:id="rId25" xr:uid="{58B96F6A-4A47-594B-AA9F-64985A0568AD}"/>
    <hyperlink ref="AE87" r:id="rId26" xr:uid="{F6F3BAEB-0D08-9A41-AA5D-8FC4FAEE90C4}"/>
    <hyperlink ref="AE184" r:id="rId27" xr:uid="{AF414F64-2DC8-B34A-A112-4B02EDC8CC31}"/>
    <hyperlink ref="AE399" r:id="rId28" xr:uid="{1443711D-B9DB-714F-ADE4-0E99FF7F5888}"/>
    <hyperlink ref="AE34" r:id="rId29" xr:uid="{0E1B45F4-A047-DC46-BBEA-367B4042C6F5}"/>
    <hyperlink ref="AE447" r:id="rId30" xr:uid="{95F915AF-5880-204B-94D3-5AE3004DEF67}"/>
    <hyperlink ref="AE171" r:id="rId31" xr:uid="{720ED47E-6D0B-9D46-A96E-D501FDBC5DEC}"/>
    <hyperlink ref="AE179" r:id="rId32" xr:uid="{7B645E94-5A15-6D40-AC9E-C5EDCCE27A44}"/>
    <hyperlink ref="AE208" r:id="rId33" xr:uid="{06A5BC78-FA4C-1D4F-AB34-ADA02902E774}"/>
    <hyperlink ref="AE18" r:id="rId34" xr:uid="{F13C139A-0782-844D-B0AD-57F47BFEC853}"/>
    <hyperlink ref="AE369" r:id="rId35" xr:uid="{78942238-C074-2F4E-993D-1790D1BAB63C}"/>
    <hyperlink ref="AE133" r:id="rId36" xr:uid="{171EBBA1-AB06-4341-B724-8DD665D29B80}"/>
    <hyperlink ref="AE13" r:id="rId37" xr:uid="{EBFFA5AE-9580-C441-8CBA-814F45F518A6}"/>
    <hyperlink ref="AE403" r:id="rId38" xr:uid="{0C119BC3-D578-2941-AE8A-3F57B9639DE1}"/>
    <hyperlink ref="AE51" r:id="rId39" xr:uid="{6BF6AEA6-6D03-6B4E-83CE-101A2D8F2EAD}"/>
    <hyperlink ref="AE28" r:id="rId40" xr:uid="{C1FD3CDF-9167-074F-AF1C-4ABFE7C01B56}"/>
    <hyperlink ref="AE77" r:id="rId41" xr:uid="{E81664D1-DEF0-324B-B3FE-7F80B17C89A0}"/>
    <hyperlink ref="AE53" r:id="rId42" xr:uid="{18983DD3-B944-F34D-BD3E-3547A0838F94}"/>
    <hyperlink ref="AE24" r:id="rId43" xr:uid="{4390AFC5-4DA5-5B4F-80CE-6A61C4C29D2F}"/>
    <hyperlink ref="AE50" r:id="rId44" xr:uid="{9C818224-4DC6-D34D-9304-6F79AAEA9CDB}"/>
    <hyperlink ref="AE74" r:id="rId45" xr:uid="{72EBC7D9-5D60-C944-8533-1D90793FF099}"/>
    <hyperlink ref="AE397" r:id="rId46" xr:uid="{4E63B0C1-3987-4D40-9857-B61C3A4446FD}"/>
    <hyperlink ref="AE39" r:id="rId47" xr:uid="{8B81CD89-B13C-E246-A976-CBFA55B11F26}"/>
    <hyperlink ref="AE83" r:id="rId48" xr:uid="{E698049E-CA87-2440-A514-617669A5F2DE}"/>
    <hyperlink ref="AE394" r:id="rId49" xr:uid="{EF08B206-7BC2-B347-B3C3-099A76A6C98B}"/>
    <hyperlink ref="AE137" r:id="rId50" xr:uid="{57F72F8F-C3C2-2340-BB94-064E315D07EA}"/>
    <hyperlink ref="AE81" r:id="rId51" xr:uid="{4FE35350-6B01-CE4D-9AA6-C9547D5251C7}"/>
    <hyperlink ref="AE44" r:id="rId52" xr:uid="{822DE1CE-F100-6140-A115-CC1D7D91EB06}"/>
    <hyperlink ref="AE49" r:id="rId53" xr:uid="{5C527B46-95F8-3949-A59B-0C85E4B8FD01}"/>
    <hyperlink ref="AE36" r:id="rId54" xr:uid="{786DD53F-75EA-C54E-8222-9C3C805CDED3}"/>
    <hyperlink ref="AE407" r:id="rId55" xr:uid="{CC40D851-813C-B745-BB91-B1FBA1A75411}"/>
    <hyperlink ref="AE379" r:id="rId56" xr:uid="{718F0717-0D80-D749-AFAC-503136FD614D}"/>
    <hyperlink ref="AE43" r:id="rId57" xr:uid="{3B3A7990-C704-2F48-8F13-639726F48493}"/>
    <hyperlink ref="AE55" r:id="rId58" xr:uid="{8D834950-57B6-1C42-9BD8-9A11223A1EE7}"/>
    <hyperlink ref="AE387" r:id="rId59" xr:uid="{6DEE1342-B5DE-8A4A-9202-3E064FA3552E}"/>
    <hyperlink ref="AE374" r:id="rId60" xr:uid="{0F558832-98B6-A04D-9F3E-A9DD31237A57}"/>
    <hyperlink ref="AE86" r:id="rId61" xr:uid="{8432CAA1-9EA3-3445-B38D-B2C1FB98CAFF}"/>
    <hyperlink ref="AE31" r:id="rId62" xr:uid="{D822643C-567F-9B4F-A9B7-4AA9131C4992}"/>
    <hyperlink ref="AE20" r:id="rId63" xr:uid="{8AEC09E9-BAFC-1747-A44C-E3AC8638062E}"/>
    <hyperlink ref="AE103" r:id="rId64" xr:uid="{C049C314-E5E6-124D-986D-B4ABAA8971A5}"/>
    <hyperlink ref="AE92" r:id="rId65" xr:uid="{41E3F6C5-FE57-7F4C-ABC1-0A929B321F55}"/>
    <hyperlink ref="AE82" r:id="rId66" xr:uid="{EF76843A-20C1-0C40-A724-B82D6732F343}"/>
    <hyperlink ref="AE421" r:id="rId67" xr:uid="{2F3CAC6A-88CD-4446-B4C7-33F81E485CD2}"/>
    <hyperlink ref="AE372" r:id="rId68" xr:uid="{B2CA3E12-3DD8-8042-A982-B5CC5EFFFF91}"/>
    <hyperlink ref="AE93" r:id="rId69" xr:uid="{6C539E22-DAF2-5E4E-9D5C-1E03772465DA}"/>
    <hyperlink ref="AE406" r:id="rId70" xr:uid="{87C25159-B1AC-BF46-9340-62733348B7E0}"/>
    <hyperlink ref="AE94" r:id="rId71" xr:uid="{34C39878-848E-C14A-9B44-00A8BABEE64D}"/>
    <hyperlink ref="AE46" r:id="rId72" xr:uid="{232D0BD7-F897-F845-A366-566DFA7F934D}"/>
    <hyperlink ref="AE114" r:id="rId73" xr:uid="{595EAB48-8F0F-8F40-B4AD-C1440DC5AE74}"/>
    <hyperlink ref="AE113" r:id="rId74" xr:uid="{EED3C4C4-851A-D742-99D1-B00136F25814}"/>
    <hyperlink ref="AE115" r:id="rId75" xr:uid="{25F55270-8D06-1C44-997C-0EFA27FDDE7D}"/>
    <hyperlink ref="AE112" r:id="rId76" xr:uid="{7D172C89-55BA-C74E-9FB6-1B577B13328F}"/>
    <hyperlink ref="AE78" r:id="rId77" xr:uid="{F6B807EF-5B29-A94F-90FB-FBA22E01FFE3}"/>
    <hyperlink ref="AE96" r:id="rId78" xr:uid="{DF04C472-E93F-8D49-883D-3A3083FCFA55}"/>
    <hyperlink ref="AE116" r:id="rId79" xr:uid="{F10A53D6-C97B-5D41-A44E-3A64FC7FC182}"/>
    <hyperlink ref="AE120" r:id="rId80" xr:uid="{C64CEDF1-FA29-CD40-AB6A-A14C8C0914DB}"/>
    <hyperlink ref="AE417" r:id="rId81" xr:uid="{FC157F44-7D10-0D47-9AFE-34FD994F50EF}"/>
    <hyperlink ref="AE129" r:id="rId82" xr:uid="{A71DBD10-F8F8-464A-8ECA-E2701F4707CB}"/>
    <hyperlink ref="AE128" r:id="rId83" xr:uid="{C081AFBB-180A-1245-9F9B-8E5A28D427C8}"/>
    <hyperlink ref="AE254" r:id="rId84" xr:uid="{F3A98648-33B7-224A-A09D-D75043161E67}"/>
    <hyperlink ref="AE146" r:id="rId85" xr:uid="{7D2B6361-8F02-5444-93D0-988B992D86D2}"/>
    <hyperlink ref="AE7" r:id="rId86" xr:uid="{A59A742F-38AD-7047-86D5-6E5D926656E6}"/>
    <hyperlink ref="AE4" r:id="rId87" xr:uid="{CBEC7E01-9F9D-3240-981E-121F02ECC7C0}"/>
    <hyperlink ref="AE8" r:id="rId88" xr:uid="{2413E0E7-66FC-DB43-8E2C-9A0FB2856189}"/>
    <hyperlink ref="AE5" r:id="rId89" xr:uid="{73594C4D-1F19-174B-8EDF-B7B59FE45F56}"/>
    <hyperlink ref="AE3" r:id="rId90" xr:uid="{B35AA33E-6440-8E41-AA74-8887F76170E8}"/>
    <hyperlink ref="AE223" r:id="rId91" xr:uid="{E6BDCB95-87C5-194B-86DD-A6D87ABB61A7}"/>
    <hyperlink ref="AE1012" r:id="rId92" xr:uid="{66BC287C-4E47-2144-AD96-65C577525380}"/>
    <hyperlink ref="AE118" r:id="rId93" xr:uid="{FFF327F4-5C55-A349-AFE2-746952199BBE}"/>
    <hyperlink ref="AE6" r:id="rId94" xr:uid="{4263060B-2033-724A-8D13-455A838F3C0C}"/>
    <hyperlink ref="AE11" r:id="rId95" xr:uid="{D7214A73-B44A-644A-8C81-49C743571541}"/>
    <hyperlink ref="AE12" r:id="rId96" xr:uid="{35BB026E-6743-FE4B-B130-FCE5E9D4AFFD}"/>
    <hyperlink ref="AE16" r:id="rId97" xr:uid="{752CA68D-EF0B-FC49-8B6B-4276B4AC78C5}"/>
    <hyperlink ref="AE14" r:id="rId98" xr:uid="{CE5D58C7-F1C9-F64C-876B-C55C50A18A7D}"/>
    <hyperlink ref="AE19" r:id="rId99" xr:uid="{B6AEBDB8-0696-5F45-BC3E-310DFDF06ED0}"/>
    <hyperlink ref="AE23" r:id="rId100" xr:uid="{88DD3D1B-9840-6341-B1AD-DD0D5176365F}"/>
    <hyperlink ref="AE91" r:id="rId101" xr:uid="{2B2237B7-71A7-2748-B616-CD86EE1251A4}"/>
    <hyperlink ref="AE15" r:id="rId102" xr:uid="{F2075492-7E7A-8B49-9F40-57E8B37CD4D4}"/>
    <hyperlink ref="AE27" r:id="rId103" xr:uid="{054990A6-8D35-D14D-B18E-5D87ACDE132A}"/>
    <hyperlink ref="AE29" r:id="rId104" xr:uid="{21FDF57F-F07F-094B-A2E4-BED4F719F594}"/>
    <hyperlink ref="AE64" r:id="rId105" xr:uid="{AC762AC4-0727-1B4F-B144-DF9EB3F24517}"/>
    <hyperlink ref="AE37" r:id="rId106" xr:uid="{8888E035-8F99-5941-8628-08B4C8962CDB}"/>
    <hyperlink ref="AE40" r:id="rId107" xr:uid="{AD5B981B-F2A5-2145-AC1F-9DDCEB0F8CE2}"/>
    <hyperlink ref="AE38" r:id="rId108" xr:uid="{8216AD65-7A39-F64F-8848-092966213C2C}"/>
    <hyperlink ref="AE257" r:id="rId109" xr:uid="{44EEF2A2-0D97-2340-A353-E6DBC2DA382F}"/>
    <hyperlink ref="AE61" r:id="rId110" xr:uid="{7BE63379-BF9A-7E4B-97DB-FF614886D4FB}"/>
    <hyperlink ref="AE1359" r:id="rId111" xr:uid="{1FE48E92-AC62-274A-893A-145FF5FC4532}"/>
    <hyperlink ref="AE132" r:id="rId112" xr:uid="{8FB42B19-1A8D-F542-9437-186FE8BB6134}"/>
    <hyperlink ref="AE351" r:id="rId113" xr:uid="{FCCC7729-ED5B-3F4E-B1A2-05F6FE381007}"/>
    <hyperlink ref="AE41" r:id="rId114" xr:uid="{990F5320-3B93-42FE-AEFB-F794669BA45D}"/>
    <hyperlink ref="AE346" r:id="rId115" xr:uid="{398B524B-2EF1-45B9-9353-FE15AE719578}"/>
    <hyperlink ref="AE202" r:id="rId116" xr:uid="{3F3503C6-B8FC-493A-B233-C0E80C6B5087}"/>
    <hyperlink ref="AE206" r:id="rId117" xr:uid="{80492207-9DF0-431B-8AC9-0208FAA1BA95}"/>
    <hyperlink ref="AE204" r:id="rId118" xr:uid="{94CCCCD8-53B7-4D82-8980-E75B4AE8658E}"/>
    <hyperlink ref="AE200" r:id="rId119" xr:uid="{8210ED98-C3BC-42F6-B4EB-E990B7F5030E}"/>
    <hyperlink ref="AE199" r:id="rId120" xr:uid="{E1F2E0C9-A428-42BD-BE2F-B6DD4ACD965D}"/>
    <hyperlink ref="AE201" r:id="rId121" xr:uid="{AA82B750-7F33-46A3-8EF1-BAD4E381845A}"/>
    <hyperlink ref="AE205" r:id="rId122" xr:uid="{3DD79ED6-6824-4B66-9AB0-0747EF1570A2}"/>
    <hyperlink ref="AE203" r:id="rId123" xr:uid="{ED72A748-76CA-4959-860E-545788AEC490}"/>
    <hyperlink ref="AE321" r:id="rId124" xr:uid="{2A46D5BC-D2D0-4E9C-9570-2A1AA378909B}"/>
    <hyperlink ref="AE52" r:id="rId125" xr:uid="{0AEAEEA3-1DDA-4713-B310-071B945BF382}"/>
    <hyperlink ref="AE54" r:id="rId126" xr:uid="{F0FE1A7E-AA13-4454-99FA-92546ADBA951}"/>
    <hyperlink ref="AE60" r:id="rId127" xr:uid="{D02EFA09-480E-4E2F-B8E1-C66D33A63C52}"/>
    <hyperlink ref="AE47" r:id="rId128" xr:uid="{E46090F7-8E78-3B4D-B33D-208D8E84BAD6}"/>
    <hyperlink ref="AE62" r:id="rId129" xr:uid="{0A45D2DB-AD10-6743-AA52-F683ADC2807F}"/>
    <hyperlink ref="AE58" r:id="rId130" xr:uid="{287DAC41-74ED-3145-8D6F-AB83DFBB1512}"/>
    <hyperlink ref="AE66" r:id="rId131" xr:uid="{44E30C16-AB80-924A-99D7-9F94F5BD679E}"/>
    <hyperlink ref="AE65" r:id="rId132" xr:uid="{5CF07AED-8491-DE46-A728-2C23F0746031}"/>
    <hyperlink ref="AE73" r:id="rId133" xr:uid="{E0F07144-562B-624B-9953-EBE464AC3725}"/>
    <hyperlink ref="AE70" r:id="rId134" xr:uid="{1527D306-FF1E-3B4D-A06C-6CCE0B837D94}"/>
    <hyperlink ref="AE69" r:id="rId135" xr:uid="{35813410-337F-ED49-9DA5-CBD5D54E5A38}"/>
    <hyperlink ref="AE72" r:id="rId136" xr:uid="{CAB7B190-B358-1A4D-86E6-11A52D535E37}"/>
    <hyperlink ref="AE67" r:id="rId137" xr:uid="{83B8ED7C-26C5-1C4F-AC48-ACEA8B14B965}"/>
    <hyperlink ref="AE215" r:id="rId138" xr:uid="{41C8697D-3284-7F41-8941-BCE95A6D657E}"/>
    <hyperlink ref="AE63" r:id="rId139" xr:uid="{36179F68-B149-6C43-880C-D6DBD071E5E2}"/>
    <hyperlink ref="AE71" r:id="rId140" xr:uid="{9E91F0B4-85AC-DA4F-895B-A2BC8437ACA7}"/>
    <hyperlink ref="AE68" r:id="rId141" xr:uid="{22E1505F-29F7-3A4E-9845-12BDCFBE0C17}"/>
    <hyperlink ref="AE79" r:id="rId142" xr:uid="{503BD61A-567B-1E43-ADC2-6777C017A7CD}"/>
    <hyperlink ref="AE159" r:id="rId143" xr:uid="{00726223-8E26-284E-A769-3F8547042B33}"/>
    <hyperlink ref="AE85" r:id="rId144" xr:uid="{C440704F-6D38-B24A-B860-8800297D28C4}"/>
    <hyperlink ref="AE84" r:id="rId145" xr:uid="{26EE7D3C-38A7-9545-AD98-540CEE640343}"/>
    <hyperlink ref="AE56" r:id="rId146" xr:uid="{69CD3547-9B40-074E-9FB0-7B615CC6E7B8}"/>
    <hyperlink ref="AE89" r:id="rId147" xr:uid="{7C5C3E2F-7780-DE47-A7E4-444ED1AF9A8B}"/>
    <hyperlink ref="AE98" r:id="rId148" xr:uid="{03FE0D2F-F61E-5B4D-B197-FAAE35634B9A}"/>
    <hyperlink ref="AE99" r:id="rId149" xr:uid="{BF971618-A986-104A-BC23-6C3BA9C0B36D}"/>
    <hyperlink ref="AE102" r:id="rId150" xr:uid="{223727F9-C07D-3D4D-B021-C05C36DED526}"/>
    <hyperlink ref="AE90" r:id="rId151" xr:uid="{219A0428-5EC9-9344-BCB4-FDF7372029A0}"/>
    <hyperlink ref="AE100" r:id="rId152" xr:uid="{CD9EF797-F18D-7649-8CF0-D54C545AB75C}"/>
    <hyperlink ref="AE101" r:id="rId153" xr:uid="{2F70E2FB-12D5-D549-8305-6824D2E50448}"/>
    <hyperlink ref="AE97" r:id="rId154" xr:uid="{2E67CCF7-494D-894E-8236-8BD17BFE71EA}"/>
    <hyperlink ref="AE95" r:id="rId155" xr:uid="{404EAABD-FC74-2147-A95F-BD65E4E07E71}"/>
    <hyperlink ref="AE105" r:id="rId156" xr:uid="{796D9E0D-EF83-074B-80EA-7F7A566BBD0C}"/>
    <hyperlink ref="AE104" r:id="rId157" xr:uid="{AFC648B0-0244-9B48-B12F-0B898AEEFA19}"/>
    <hyperlink ref="AE107" r:id="rId158" xr:uid="{AA7FD59A-D95D-5248-8AB6-F9524301B028}"/>
    <hyperlink ref="AE111" r:id="rId159" xr:uid="{92CDA0B7-604C-E045-B8CB-8BABBE89F2EE}"/>
    <hyperlink ref="AE110" r:id="rId160" xr:uid="{822C5D50-DBFA-5D49-AB79-B292DC7F93D1}"/>
    <hyperlink ref="AE117" r:id="rId161" xr:uid="{F56C0C8B-9B2A-6346-A98D-1FE4DA5C251A}"/>
    <hyperlink ref="AE123" r:id="rId162" xr:uid="{64056387-0ADF-6642-B168-15E124BD2D55}"/>
    <hyperlink ref="AE119" r:id="rId163" xr:uid="{04BBB9EC-4AAC-0943-B479-8A3876728243}"/>
    <hyperlink ref="AE122" r:id="rId164" xr:uid="{4D296595-F92A-6C44-A43F-558089F50506}"/>
    <hyperlink ref="AE124" r:id="rId165" xr:uid="{3581FDD4-ABDC-2943-AADD-0752CD3EB218}"/>
    <hyperlink ref="AE125" r:id="rId166" xr:uid="{95705588-C65B-6940-B637-780ECF494B91}"/>
    <hyperlink ref="AE135" r:id="rId167" xr:uid="{7D3E777C-622C-2744-B80B-27DC780661DD}"/>
    <hyperlink ref="AE126" r:id="rId168" xr:uid="{CD9364D2-4793-9341-9EF0-CC3483BDAD70}"/>
    <hyperlink ref="AE134" r:id="rId169" xr:uid="{AEEC97F4-4A4C-0847-ABFF-7C532AD78935}"/>
    <hyperlink ref="AE138" r:id="rId170" xr:uid="{2FD0DC1B-E796-4345-BEE8-D14CC6F5CFF2}"/>
    <hyperlink ref="AE130" r:id="rId171" xr:uid="{F2A69100-160F-2F4B-8F38-C4F1C1EADC4E}"/>
    <hyperlink ref="AE170" r:id="rId172" xr:uid="{9FACA1BB-7F21-544E-9B33-3FE13E3E4FD9}"/>
    <hyperlink ref="AE131" r:id="rId173" xr:uid="{C2CE7640-A6C6-6143-8D90-89F0FC47E93B}"/>
    <hyperlink ref="AE76" r:id="rId174" xr:uid="{189165D7-24F6-E74A-886C-08338AE6EED7}"/>
    <hyperlink ref="AE141" r:id="rId175" xr:uid="{FC5EEB0D-36F1-4241-B7E8-CF9AA3FABC7F}"/>
    <hyperlink ref="AE145" r:id="rId176" xr:uid="{D8D5AD6A-D021-7A44-9696-B49D5C8C028D}"/>
    <hyperlink ref="AE140" r:id="rId177" xr:uid="{A85E971E-1BEF-2843-80C2-8D7C45FC7072}"/>
    <hyperlink ref="AE148" r:id="rId178" xr:uid="{AB845885-3F0E-4148-A81C-198356FF0A4A}"/>
    <hyperlink ref="AE143" r:id="rId179" xr:uid="{1CA8DED2-44B4-A647-AF37-4FA139F70198}"/>
    <hyperlink ref="AE144" r:id="rId180" xr:uid="{CD01578E-B5F4-D844-8CE7-4FDE6910B80D}"/>
    <hyperlink ref="AE139" r:id="rId181" xr:uid="{9FAFF344-E781-7245-B996-1B1302CD28BC}"/>
    <hyperlink ref="AE108" r:id="rId182" xr:uid="{EDEAD548-8B9D-AB47-9AE1-53164F58CC1E}"/>
    <hyperlink ref="AE151" r:id="rId183" xr:uid="{C1462C4F-9289-6242-B7E8-21D217F7911C}"/>
    <hyperlink ref="AE142" r:id="rId184" xr:uid="{F80B3C12-3FFF-C945-99BB-C596BFF957AD}"/>
    <hyperlink ref="AE150" r:id="rId185" xr:uid="{FE972754-0E6E-854B-B0C0-70C72FE34827}"/>
    <hyperlink ref="AE149" r:id="rId186" xr:uid="{02B49A03-4DCA-8F47-9667-A7C3E132B5D1}"/>
    <hyperlink ref="AE152" r:id="rId187" xr:uid="{179D7B5C-E319-0F4C-B610-7C8883F22AAD}"/>
    <hyperlink ref="AE153" r:id="rId188" xr:uid="{94FC1DC2-3C2F-9C4A-B0FA-7C6059C8C77A}"/>
    <hyperlink ref="AE192" r:id="rId189" xr:uid="{47686162-7D56-DA46-B1D8-626585D8762F}"/>
    <hyperlink ref="AE163" r:id="rId190" xr:uid="{93BE207F-A76D-7045-A175-B4FA6D509849}"/>
    <hyperlink ref="AE160" r:id="rId191" xr:uid="{5A3D8CFA-FE3D-9640-8978-3C3C7C73BC35}"/>
    <hyperlink ref="AE186" r:id="rId192" xr:uid="{81A0CF52-2E72-BF45-930C-F428B6C53DFE}"/>
    <hyperlink ref="AE165" r:id="rId193" xr:uid="{0D704F84-17D6-1041-818C-F3B155B318F6}"/>
    <hyperlink ref="AE172" r:id="rId194" xr:uid="{FEE85570-2183-D140-A941-2EA309E048AF}"/>
    <hyperlink ref="AE173" r:id="rId195" xr:uid="{849EBCBE-1E6B-A148-B10B-04C74C75E93C}"/>
    <hyperlink ref="AE155" r:id="rId196" xr:uid="{D2DF8E8C-C408-0C41-BAEC-50FB7E038728}"/>
    <hyperlink ref="AE161" r:id="rId197" xr:uid="{B88943CC-5F3C-FE48-B652-DE2F3B1E584A}"/>
    <hyperlink ref="AE168" r:id="rId198" xr:uid="{3D5A9B18-CD60-F746-8E5B-13FFD613636F}"/>
    <hyperlink ref="AE198" r:id="rId199" xr:uid="{389DFFD7-FB4D-6043-9782-E76E6C1D0F9C}"/>
    <hyperlink ref="AE187" r:id="rId200" xr:uid="{3E4C2378-E2BC-8B4D-B14E-D6B8B19583CF}"/>
    <hyperlink ref="AE167" r:id="rId201" xr:uid="{465E564D-CA8B-7646-BD18-7D80BF9083F3}"/>
    <hyperlink ref="AE42" r:id="rId202" xr:uid="{4FFC79B8-43A3-F74B-988A-C198CCDF051B}"/>
    <hyperlink ref="AE154" r:id="rId203" xr:uid="{F6FC6F0F-BC0F-1945-9673-8BF2326966F4}"/>
    <hyperlink ref="AE174" r:id="rId204" xr:uid="{3044799F-AFA0-6541-AC03-39C4067AF3A7}"/>
    <hyperlink ref="AE164" r:id="rId205" xr:uid="{7A7C1715-EFE7-DC45-80A6-13C06C8CF8AB}"/>
    <hyperlink ref="AE191" r:id="rId206" xr:uid="{E2A94A5E-090A-7745-8227-DDE9B55DC0DB}"/>
    <hyperlink ref="AE162" r:id="rId207" xr:uid="{40A9F733-A6F0-794F-A0AA-71CFA22C7937}"/>
    <hyperlink ref="AE175" r:id="rId208" xr:uid="{5FF881BA-77A5-7646-99CD-77CEFCDB2C5E}"/>
    <hyperlink ref="AE158" r:id="rId209" xr:uid="{8DE1E36E-C230-5E44-BC8B-0064B23E8FA9}"/>
    <hyperlink ref="AE320" r:id="rId210" xr:uid="{DF3626E1-ACB5-B641-8D51-9FD727656B56}"/>
    <hyperlink ref="AE325" r:id="rId211" xr:uid="{05482C5A-7E9E-A04A-8B22-568613912ACC}"/>
    <hyperlink ref="AE339" r:id="rId212" xr:uid="{78A84723-46EC-0344-9897-7DD8CE22AF88}"/>
    <hyperlink ref="AE190" r:id="rId213" xr:uid="{A7005CF4-69AC-2B4D-99A7-37F6148A563A}"/>
    <hyperlink ref="AE181" r:id="rId214" xr:uid="{3D938CEA-38CE-AA40-B0BF-C8F9154BD1B6}"/>
    <hyperlink ref="AE166" r:id="rId215" xr:uid="{C1E46E5A-12EC-2148-928B-63837E4882B7}"/>
    <hyperlink ref="AE176" r:id="rId216" xr:uid="{5502C466-408F-EC46-8627-2098010E205C}"/>
    <hyperlink ref="AE180" r:id="rId217" xr:uid="{635B6037-C220-6C4D-A146-9DF57FEDA72F}"/>
    <hyperlink ref="AE169" r:id="rId218" xr:uid="{71917D6A-2B74-436A-9646-B3E33BD136A2}"/>
    <hyperlink ref="AE177" r:id="rId219" xr:uid="{672CFC1C-1345-435C-B738-4DFE3047F2E1}"/>
    <hyperlink ref="AE183" r:id="rId220" xr:uid="{79E3DCEA-F083-4456-A3C3-47CC711B627B}"/>
    <hyperlink ref="AE185" r:id="rId221" xr:uid="{DCD406E8-9A05-45CC-ABC4-B0FFC6FFC3A8}"/>
    <hyperlink ref="AE335" r:id="rId222" xr:uid="{382A1147-57FF-4F42-8F1B-02F825E14D0F}"/>
    <hyperlink ref="AE182" r:id="rId223" xr:uid="{94BB643C-B897-4ECE-95E8-32F3C61916CD}"/>
    <hyperlink ref="AE157" r:id="rId224" xr:uid="{A6E686A2-D3AD-436E-97EF-9ACB22472403}"/>
    <hyperlink ref="AE178" r:id="rId225" xr:uid="{C78813BD-4FE3-7546-9ABA-91E99EB6FDBF}"/>
    <hyperlink ref="AE207" r:id="rId226" xr:uid="{D7F8333A-B4E9-7B44-AFAC-0A61BD2204D2}"/>
    <hyperlink ref="AE156" r:id="rId227" xr:uid="{1E134B6B-F61A-2D4A-8655-D7E5F2109F28}"/>
    <hyperlink ref="AE189" r:id="rId228" xr:uid="{49AE46D0-F7E8-A844-A5D0-8C78ABA77C3A}"/>
    <hyperlink ref="AE197" r:id="rId229" xr:uid="{1E39F6FF-D503-FD4B-B0B1-5C850DC7BDBC}"/>
    <hyperlink ref="AE147" r:id="rId230" xr:uid="{226F56C4-2CCA-4C0B-B984-92D0358049BA}"/>
    <hyperlink ref="AE464" r:id="rId231" xr:uid="{EFB33F59-3B9A-4172-A43D-594E7561E827}"/>
    <hyperlink ref="AE218" r:id="rId232" xr:uid="{13ECD8E8-1075-4D6F-AFA3-2297D4C486B9}"/>
    <hyperlink ref="AE219" r:id="rId233" xr:uid="{056CFA4B-51AB-4619-AD67-3A74C810CFDF}"/>
    <hyperlink ref="AE221" r:id="rId234" xr:uid="{3F18A77A-4474-4F96-8538-97E60E5DC9C6}"/>
    <hyperlink ref="AE465" r:id="rId235" xr:uid="{C3E9D7AB-3C74-403E-8033-F607ECEEC5E9}"/>
    <hyperlink ref="AE224" r:id="rId236" xr:uid="{1EEC32DF-CDBB-CE4E-895D-6A759C2B9708}"/>
    <hyperlink ref="AE226" r:id="rId237" xr:uid="{3D3C0744-27C6-0746-9E7C-4E6356697DF5}"/>
    <hyperlink ref="AE234" r:id="rId238" xr:uid="{F4827E95-667D-4505-ABD7-FA036BC6EFAC}"/>
    <hyperlink ref="AE211" r:id="rId239" xr:uid="{AA9B6F83-C7CF-4638-BE2E-24169F5EBC8C}"/>
    <hyperlink ref="AE213" r:id="rId240" xr:uid="{615A2B3B-A6A7-4324-93C5-80F6B0523868}"/>
    <hyperlink ref="AE209" r:id="rId241" xr:uid="{23B31A01-AAA1-D841-BA57-62844A7410D0}"/>
    <hyperlink ref="AE212" r:id="rId242" xr:uid="{46A5B2E5-8F4E-BC4D-B887-83EC1EEE8C11}"/>
    <hyperlink ref="AE210" r:id="rId243" xr:uid="{795ED42A-37FC-CA49-AB60-18F9E8350F52}"/>
    <hyperlink ref="AE348" r:id="rId244" xr:uid="{436B0629-F3A6-FD42-A069-7F84C3DCBD76}"/>
    <hyperlink ref="AE349" r:id="rId245" xr:uid="{95723F2F-AA94-5443-98BA-E5717EFF634F}"/>
    <hyperlink ref="AE225" r:id="rId246" xr:uid="{54384C20-B1F9-6D4D-965D-2A929B9D4416}"/>
    <hyperlink ref="AE422" r:id="rId247" xr:uid="{4188DEE7-4934-F148-B803-CF98133B0096}"/>
    <hyperlink ref="AE442" r:id="rId248" xr:uid="{BA085312-B83B-0646-8F76-150DEC1537F9}"/>
    <hyperlink ref="AE106" r:id="rId249" xr:uid="{467F8089-B1B9-0F49-AF05-F9D8796B98B3}"/>
    <hyperlink ref="AE286" r:id="rId250" xr:uid="{47FAD4DB-533D-A141-8D7D-AA7FF92DFCF4}"/>
    <hyperlink ref="AE459" r:id="rId251" xr:uid="{095AFFD9-D256-6445-A825-D0102405CFCA}"/>
    <hyperlink ref="AE260" r:id="rId252" xr:uid="{35E68EDB-C078-DF4F-8678-C4D1F30D1AB0}"/>
    <hyperlink ref="AE25" r:id="rId253" xr:uid="{1BBED3C7-7FB5-F04A-8776-A2610F38ECF5}"/>
    <hyperlink ref="N25" r:id="rId254" xr:uid="{F34DB0AF-F289-024D-AF53-614380091A79}"/>
    <hyperlink ref="AN4" r:id="rId255" xr:uid="{B29AA56E-584F-43FF-B525-838D2ED88232}"/>
    <hyperlink ref="AE196" r:id="rId256" xr:uid="{70ADC80D-201B-414D-B32A-BFCC964CC1C4}"/>
    <hyperlink ref="AE195" r:id="rId257" xr:uid="{0AD08137-F2D4-9742-9A7A-7180CA870641}"/>
    <hyperlink ref="AE194" r:id="rId258" xr:uid="{A9E252BD-17D8-AB4E-BF09-E436A57BCBCF}"/>
    <hyperlink ref="AE193" r:id="rId259" xr:uid="{7B1673DC-4957-CE47-A468-FAA16C79EB1D}"/>
    <hyperlink ref="AE333" r:id="rId260" xr:uid="{26FC4FD2-D5CD-4912-B51E-7896FAD3EBEF}"/>
    <hyperlink ref="AE334" r:id="rId261" xr:uid="{F468CBDE-58BC-4A00-86A8-33F824E35FE7}"/>
    <hyperlink ref="AE418" r:id="rId262" xr:uid="{29F91D18-746A-1941-882C-6831B9F0BC14}"/>
    <hyperlink ref="AE294" r:id="rId263" xr:uid="{DAB31EF2-B5D4-6544-BC54-72CB05ED9B3A}"/>
    <hyperlink ref="AE304" r:id="rId264" xr:uid="{77735A64-3B48-6B4C-A027-6E2D226FD271}"/>
    <hyperlink ref="AE343" r:id="rId265" xr:uid="{58040DD2-16B1-5C49-AE33-0D0F0BE4E7DF}"/>
    <hyperlink ref="AE350" r:id="rId266" xr:uid="{9B8CB591-DBEB-3049-A3C6-AD603150F331}"/>
    <hyperlink ref="AE303" r:id="rId267" xr:uid="{D3F4F672-DF6C-7E41-AF90-01A69DC4E0C6}"/>
    <hyperlink ref="AE109" r:id="rId268" xr:uid="{2B4C61B0-494A-A049-9B0D-F7A9E472AF60}"/>
    <hyperlink ref="AE423" r:id="rId269" xr:uid="{998B1299-0712-8748-A22E-6A0A28B20DB3}"/>
    <hyperlink ref="AE605" r:id="rId270" xr:uid="{6448774F-954D-084F-B0AE-159F52B2709E}"/>
    <hyperlink ref="AE17" r:id="rId271" xr:uid="{07E5AC65-BAA0-7F4E-935A-411ACE776173}"/>
    <hyperlink ref="AE59" r:id="rId272" xr:uid="{162CF5DD-A313-AB4E-86C8-0A30B7553EF0}"/>
    <hyperlink ref="AE214" r:id="rId273" xr:uid="{B17509E6-58BD-F14F-AF8D-2F97279BD6E8}"/>
    <hyperlink ref="AE216" r:id="rId274" xr:uid="{B54068B6-F5BE-FC45-8027-7D3991063DAB}"/>
    <hyperlink ref="AE217" r:id="rId275" xr:uid="{F709ADF5-943A-934E-8BB7-15B15193C5F4}"/>
    <hyperlink ref="AE222" r:id="rId276" xr:uid="{BBAF9042-AA17-7B44-BBD6-6B2A933AE2C7}"/>
    <hyperlink ref="AE227" r:id="rId277" xr:uid="{57A7A4F5-88DD-FD4E-AB0B-20D2C02F7A53}"/>
    <hyperlink ref="AE228" r:id="rId278" xr:uid="{03500AB0-AF32-7B49-BCA6-E167C8C30EAC}"/>
    <hyperlink ref="AE229" r:id="rId279" xr:uid="{6B75DBAB-A2EB-4E4D-9CFC-4C44B462A03A}"/>
    <hyperlink ref="AE230" r:id="rId280" xr:uid="{37628C8F-EFC6-3645-BFB5-9FE28B129995}"/>
    <hyperlink ref="AE231" r:id="rId281" xr:uid="{36FB7EC9-DE9F-0B4B-9CA3-7ADA5AE25533}"/>
    <hyperlink ref="AE232" r:id="rId282" xr:uid="{D071DE85-C41D-2846-8A2B-B143D8F99328}"/>
    <hyperlink ref="AE233" r:id="rId283" xr:uid="{3B9FC79D-9ECF-1E49-9251-5122D5A61384}"/>
    <hyperlink ref="AE235" r:id="rId284" xr:uid="{911324EA-D539-4B4A-B5F9-15A2D340FF56}"/>
    <hyperlink ref="AE236" r:id="rId285" xr:uid="{7F99CF21-62DF-D446-92A8-2ECF4BF3518A}"/>
    <hyperlink ref="AE237" r:id="rId286" xr:uid="{D9958458-8360-D34D-9770-5ABFB6B78B80}"/>
    <hyperlink ref="AE238" r:id="rId287" xr:uid="{C623C855-4637-F84B-974B-E7D666020FD6}"/>
    <hyperlink ref="AE239" r:id="rId288" xr:uid="{70D7883E-54BE-0C49-ADDB-8CC67A1116E1}"/>
    <hyperlink ref="AE240" r:id="rId289" xr:uid="{867AF7CB-4E9E-B04F-950D-512C38B27F49}"/>
    <hyperlink ref="AE241" r:id="rId290" xr:uid="{82848FC8-758F-B847-9783-6E6CBF5C7B2D}"/>
    <hyperlink ref="AE242" r:id="rId291" xr:uid="{3772A5E5-D681-3F45-AAAE-B50A5E4D408F}"/>
    <hyperlink ref="AE243" r:id="rId292" xr:uid="{7BA0A547-9599-9648-84E7-90B30FCB345B}"/>
    <hyperlink ref="AE244" r:id="rId293" xr:uid="{F3C415F1-A956-8742-8CC2-51178B1DE65A}"/>
    <hyperlink ref="AE245" r:id="rId294" xr:uid="{6AF0E442-2172-7F4F-8F8E-2DBD2FF5A282}"/>
    <hyperlink ref="AE246" r:id="rId295" xr:uid="{A53761D3-3F03-1042-980F-0F5090C75D3A}"/>
    <hyperlink ref="AE248" r:id="rId296" xr:uid="{2C763568-BE31-F24B-A317-9A4B230A1CC3}"/>
    <hyperlink ref="AE249" r:id="rId297" xr:uid="{CDADF45A-8F4B-A941-8B0A-9CA53149FCE4}"/>
    <hyperlink ref="AE250" r:id="rId298" xr:uid="{406E3501-C858-5A43-A130-A6BE1875915E}"/>
    <hyperlink ref="AE252" r:id="rId299" xr:uid="{A3F9ED62-6444-CD46-8B28-D0781733216C}"/>
    <hyperlink ref="AE251" r:id="rId300" xr:uid="{18ED7D98-F309-2A49-8D9E-592B384F6583}"/>
    <hyperlink ref="AE253" r:id="rId301" xr:uid="{D06A65CE-8051-4F4A-855E-838300759FB9}"/>
    <hyperlink ref="AE255" r:id="rId302" xr:uid="{6D293C2F-0402-AF4A-91EC-4E505B01799F}"/>
    <hyperlink ref="AE256" r:id="rId303" xr:uid="{B016E171-BC47-4342-8265-39CB9FC84BE3}"/>
    <hyperlink ref="AE258" r:id="rId304" xr:uid="{8D7F2A32-058E-394B-9BD7-9058DF81CFDC}"/>
    <hyperlink ref="AE259" r:id="rId305" xr:uid="{F7739593-1355-5448-BEB6-CE7A91520F1E}"/>
    <hyperlink ref="AE261" r:id="rId306" xr:uid="{D4EA5D56-DCCB-4E4E-9694-E74364388786}"/>
    <hyperlink ref="AE262" r:id="rId307" xr:uid="{FF8700A6-F16B-4F49-9BE7-351B283C42BB}"/>
    <hyperlink ref="AE263" r:id="rId308" xr:uid="{61336400-512D-8344-B225-51ABE3821307}"/>
    <hyperlink ref="AE264" r:id="rId309" xr:uid="{67AFAABF-D577-C446-91DB-94FEA911C4C7}"/>
    <hyperlink ref="AE265" r:id="rId310" xr:uid="{E5DAA746-6501-5144-A849-452A72E44312}"/>
    <hyperlink ref="AE266" r:id="rId311" xr:uid="{87C0987C-7F0F-734C-8E3F-6D493EC7746A}"/>
    <hyperlink ref="AE267" r:id="rId312" xr:uid="{6563F089-78CF-5242-AD94-7FD74ABAE34F}"/>
    <hyperlink ref="AE268" r:id="rId313" xr:uid="{4E6881C9-39B8-6949-9857-73B866BDC94A}"/>
    <hyperlink ref="AE269" r:id="rId314" xr:uid="{BCA07FCC-0ECC-C141-9573-A8277D437927}"/>
    <hyperlink ref="AE270" r:id="rId315" xr:uid="{8506E28C-BD54-9B43-8795-E5AC9360E02C}"/>
    <hyperlink ref="AE271" r:id="rId316" xr:uid="{DA178F23-3BD0-0548-B51C-A27297BF56F7}"/>
    <hyperlink ref="AE272" r:id="rId317" xr:uid="{1E1E11F3-ADC2-584A-BA78-DB4F1A38F3D3}"/>
    <hyperlink ref="AE273" r:id="rId318" xr:uid="{A1E88A77-042B-CA49-A528-17A72AC072D8}"/>
    <hyperlink ref="AE274" r:id="rId319" xr:uid="{EF0B0A4B-C42B-4E48-955A-34F439B1484C}"/>
    <hyperlink ref="AE275" r:id="rId320" xr:uid="{986F7989-64CD-9C46-BA5C-915A95BCBB36}"/>
    <hyperlink ref="AE276" r:id="rId321" xr:uid="{F6BB7280-4064-9C47-885D-E0410BA1063E}"/>
    <hyperlink ref="AE121" r:id="rId322" xr:uid="{E6419996-677E-1443-8377-00E51A11546B}"/>
    <hyperlink ref="AE277" r:id="rId323" xr:uid="{32FF0FBB-34C9-6243-A348-2E3B49D7107B}"/>
    <hyperlink ref="AE278" r:id="rId324" xr:uid="{F0F3E2E4-64DB-2944-B7AE-B89B0A45C135}"/>
    <hyperlink ref="AE279" r:id="rId325" xr:uid="{F9493634-CCE2-0746-9293-73E77A402917}"/>
    <hyperlink ref="AE280" r:id="rId326" xr:uid="{63879ABF-0F4F-E347-B6CD-94C0E02FD1D8}"/>
    <hyperlink ref="AE281" r:id="rId327" xr:uid="{0A22B528-11B1-0145-A559-65DC1FA5D191}"/>
    <hyperlink ref="AE282" r:id="rId328" xr:uid="{FF784A18-78E2-7C40-87E2-5D6F2E0A9AF1}"/>
    <hyperlink ref="AE283" r:id="rId329" xr:uid="{ED266046-9370-284E-9B80-CA57211DFD07}"/>
    <hyperlink ref="AE284" r:id="rId330" xr:uid="{A4DC563E-89E8-4344-BAF6-50FA19223416}"/>
    <hyperlink ref="AE285" r:id="rId331" xr:uid="{EE63A928-876D-DA43-BF32-D9B00B926608}"/>
    <hyperlink ref="AE287" r:id="rId332" xr:uid="{93995FD1-CC95-B34A-B019-912AD7AB28BD}"/>
    <hyperlink ref="AE288" r:id="rId333" xr:uid="{33F8AFA5-8CCF-D347-8B38-1988D3B75B68}"/>
    <hyperlink ref="AE289" r:id="rId334" xr:uid="{21C9B56E-25DC-3B4B-AF49-05D7CBE23570}"/>
    <hyperlink ref="AE290" r:id="rId335" xr:uid="{23D34F7D-1E67-AE48-96C9-A722085BEA01}"/>
    <hyperlink ref="AE479" r:id="rId336" xr:uid="{28A6AC6C-8C61-7F45-851F-5FF77B95421F}"/>
    <hyperlink ref="AE503" r:id="rId337" xr:uid="{DAFEA6A6-09F1-204C-B3F7-26D0F93B55AF}"/>
    <hyperlink ref="AE1466" r:id="rId338" xr:uid="{CB5C08CC-02BF-2149-9A67-A7A20D40490A}"/>
    <hyperlink ref="AE932" r:id="rId339" xr:uid="{82545A85-70B9-114F-B1AC-E4DDF456D72B}"/>
    <hyperlink ref="AE1467" r:id="rId340" xr:uid="{1AC90B83-50A5-704A-8DD2-DD55F019608D}"/>
    <hyperlink ref="AE929" r:id="rId341" xr:uid="{FFC06C76-45C1-6D42-BA5D-7023E793FE4C}"/>
    <hyperlink ref="AE499" r:id="rId342" xr:uid="{A0B40D72-8D96-2A43-B7F0-541B310DA728}"/>
    <hyperlink ref="AE188" r:id="rId343" xr:uid="{CDA2EA26-B0C8-7B40-B794-4E1FF4C3B552}"/>
    <hyperlink ref="AE1118" r:id="rId344" xr:uid="{2B24BEFD-2102-104B-9FD9-47CC56301C6C}"/>
    <hyperlink ref="AE337" r:id="rId345" xr:uid="{768980B5-CEB0-6F43-A857-3C61C2C9232F}"/>
    <hyperlink ref="AE10" r:id="rId346" xr:uid="{95E7B413-0724-E144-99E9-AA34945E946B}"/>
    <hyperlink ref="AE473" r:id="rId347" xr:uid="{6CA1A95D-9F64-6649-BE67-1F4193BC1AB6}"/>
  </hyperlinks>
  <pageMargins left="0.7" right="0.7" top="0.75" bottom="0.75" header="0.3" footer="0.3"/>
  <pageSetup orientation="portrait" r:id="rId348"/>
  <legacyDrawing r:id="rId34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heetViews>
  <sheetFormatPr baseColWidth="10" defaultColWidth="9" defaultRowHeight="13"/>
  <cols>
    <col min="1" max="1" width="4.33203125" style="269" bestFit="1" customWidth="1"/>
    <col min="2" max="16384" width="9" style="269"/>
  </cols>
  <sheetData>
    <row r="1" spans="1:2">
      <c r="A1" s="269" t="s">
        <v>1165</v>
      </c>
    </row>
    <row r="2" spans="1:2">
      <c r="B2" s="269" t="s">
        <v>8000</v>
      </c>
    </row>
    <row r="4" spans="1:2">
      <c r="B4" s="269" t="s">
        <v>7999</v>
      </c>
    </row>
    <row r="6" spans="1:2">
      <c r="B6" s="269" t="s">
        <v>8001</v>
      </c>
    </row>
    <row r="8" spans="1:2">
      <c r="B8" s="269" t="s">
        <v>8002</v>
      </c>
    </row>
    <row r="10" spans="1:2">
      <c r="B10" s="269" t="s">
        <v>8003</v>
      </c>
    </row>
    <row r="12" spans="1:2">
      <c r="B12" s="269" t="s">
        <v>1509</v>
      </c>
    </row>
    <row r="14" spans="1:2">
      <c r="B14" s="269" t="s">
        <v>8004</v>
      </c>
    </row>
    <row r="16" spans="1:2">
      <c r="B16" s="269" t="s">
        <v>8005</v>
      </c>
    </row>
    <row r="18" spans="2:2">
      <c r="B18" s="269" t="s">
        <v>8006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baseColWidth="10" defaultColWidth="8.83203125" defaultRowHeight="13"/>
  <cols>
    <col min="1" max="1" width="2.6640625" style="40" bestFit="1" customWidth="1"/>
    <col min="2" max="16384" width="8.83203125" style="40"/>
  </cols>
  <sheetData>
    <row r="1" spans="1:3">
      <c r="A1" s="41" t="s">
        <v>3795</v>
      </c>
    </row>
    <row r="3" spans="1:3">
      <c r="B3" s="42" t="s">
        <v>4170</v>
      </c>
    </row>
    <row r="4" spans="1:3">
      <c r="C4" s="42" t="s">
        <v>4168</v>
      </c>
    </row>
    <row r="6" spans="1:3">
      <c r="B6" s="42" t="s">
        <v>4169</v>
      </c>
    </row>
    <row r="7" spans="1:3">
      <c r="C7" s="42" t="s">
        <v>4168</v>
      </c>
    </row>
  </sheetData>
  <hyperlinks>
    <hyperlink ref="A1" location="AI!A1" display="AI" xr:uid="{2E8934D8-F35E-C542-AE3B-981925D7C4E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heetViews>
  <sheetFormatPr baseColWidth="10" defaultColWidth="9" defaultRowHeight="13"/>
  <cols>
    <col min="1" max="1" width="4.33203125" style="269" bestFit="1" customWidth="1"/>
    <col min="2" max="2" width="16.6640625" style="269" bestFit="1" customWidth="1"/>
    <col min="3" max="16384" width="9" style="269"/>
  </cols>
  <sheetData>
    <row r="1" spans="1:4">
      <c r="A1" s="269" t="s">
        <v>1165</v>
      </c>
    </row>
    <row r="2" spans="1:4">
      <c r="B2" s="269" t="s">
        <v>7986</v>
      </c>
      <c r="C2" s="269" t="s">
        <v>7987</v>
      </c>
    </row>
    <row r="3" spans="1:4">
      <c r="B3" s="269" t="s">
        <v>7985</v>
      </c>
    </row>
    <row r="4" spans="1:4">
      <c r="B4" s="49" t="s">
        <v>7984</v>
      </c>
      <c r="C4" s="269" t="s">
        <v>7988</v>
      </c>
      <c r="D4" s="269" t="s">
        <v>8007</v>
      </c>
    </row>
    <row r="5" spans="1:4">
      <c r="B5" s="49" t="s">
        <v>7989</v>
      </c>
    </row>
    <row r="6" spans="1:4">
      <c r="B6" s="49" t="s">
        <v>7990</v>
      </c>
    </row>
    <row r="7" spans="1:4">
      <c r="B7" s="269" t="s">
        <v>7983</v>
      </c>
    </row>
    <row r="8" spans="1:4">
      <c r="B8" s="269" t="s">
        <v>7982</v>
      </c>
    </row>
    <row r="9" spans="1:4">
      <c r="B9" s="269" t="s">
        <v>7981</v>
      </c>
    </row>
    <row r="10" spans="1:4">
      <c r="B10" s="269" t="s">
        <v>7980</v>
      </c>
    </row>
    <row r="11" spans="1:4">
      <c r="B11" s="269" t="s">
        <v>7991</v>
      </c>
    </row>
    <row r="12" spans="1:4">
      <c r="B12" s="269" t="s">
        <v>7992</v>
      </c>
    </row>
    <row r="13" spans="1:4">
      <c r="B13" s="269" t="s">
        <v>7993</v>
      </c>
    </row>
    <row r="14" spans="1:4">
      <c r="B14" s="269" t="s">
        <v>7998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3" sqref="G23"/>
    </sheetView>
  </sheetViews>
  <sheetFormatPr baseColWidth="10" defaultColWidth="9" defaultRowHeight="13"/>
  <cols>
    <col min="1" max="1" width="4.33203125" style="230" bestFit="1" customWidth="1"/>
    <col min="2" max="2" width="19.6640625" style="230" customWidth="1"/>
    <col min="3" max="4" width="9.6640625" style="231" customWidth="1"/>
    <col min="5" max="6" width="9" style="230"/>
    <col min="7" max="7" width="16.1640625" style="230" customWidth="1"/>
    <col min="8" max="16384" width="9" style="230"/>
  </cols>
  <sheetData>
    <row r="1" spans="1:11">
      <c r="A1" s="25" t="s">
        <v>1165</v>
      </c>
    </row>
    <row r="3" spans="1:11">
      <c r="C3" s="231" t="s">
        <v>4492</v>
      </c>
      <c r="D3" s="231" t="s">
        <v>4493</v>
      </c>
      <c r="E3" s="230" t="s">
        <v>2635</v>
      </c>
      <c r="F3" s="230" t="s">
        <v>4954</v>
      </c>
      <c r="G3" s="230" t="s">
        <v>4226</v>
      </c>
      <c r="H3" s="230" t="s">
        <v>1150</v>
      </c>
      <c r="I3" s="230" t="s">
        <v>5759</v>
      </c>
      <c r="J3" s="230" t="s">
        <v>4631</v>
      </c>
      <c r="K3" s="236" t="s">
        <v>2290</v>
      </c>
    </row>
    <row r="4" spans="1:11">
      <c r="B4" s="230" t="s">
        <v>5605</v>
      </c>
      <c r="G4" s="230" t="s">
        <v>5604</v>
      </c>
    </row>
    <row r="5" spans="1:11">
      <c r="B5" s="230" t="s">
        <v>5607</v>
      </c>
      <c r="G5" s="230" t="s">
        <v>5604</v>
      </c>
    </row>
    <row r="6" spans="1:11">
      <c r="B6" s="230" t="s">
        <v>5558</v>
      </c>
      <c r="G6" s="230" t="s">
        <v>5522</v>
      </c>
    </row>
    <row r="7" spans="1:11">
      <c r="B7" s="230" t="s">
        <v>5825</v>
      </c>
      <c r="E7" s="25" t="s">
        <v>5826</v>
      </c>
      <c r="G7" s="230" t="s">
        <v>5822</v>
      </c>
    </row>
    <row r="8" spans="1:11">
      <c r="B8" s="230" t="s">
        <v>5543</v>
      </c>
      <c r="G8" s="230" t="s">
        <v>5522</v>
      </c>
    </row>
    <row r="9" spans="1:11">
      <c r="B9" s="230" t="s">
        <v>5541</v>
      </c>
      <c r="G9" s="230" t="s">
        <v>5522</v>
      </c>
    </row>
    <row r="10" spans="1:11">
      <c r="B10" s="230" t="s">
        <v>5525</v>
      </c>
      <c r="G10" s="230" t="s">
        <v>5606</v>
      </c>
    </row>
    <row r="11" spans="1:11">
      <c r="B11" s="230" t="s">
        <v>5533</v>
      </c>
      <c r="G11" s="230" t="s">
        <v>5522</v>
      </c>
    </row>
    <row r="12" spans="1:11">
      <c r="B12" s="232" t="s">
        <v>5523</v>
      </c>
      <c r="G12" s="230" t="s">
        <v>5522</v>
      </c>
    </row>
    <row r="13" spans="1:11">
      <c r="B13" s="232" t="s">
        <v>5540</v>
      </c>
    </row>
    <row r="14" spans="1:11">
      <c r="B14" s="232" t="s">
        <v>5608</v>
      </c>
      <c r="G14" s="230" t="s">
        <v>5604</v>
      </c>
    </row>
    <row r="15" spans="1:11">
      <c r="B15" s="232" t="s">
        <v>5571</v>
      </c>
      <c r="G15" s="230" t="s">
        <v>5522</v>
      </c>
    </row>
    <row r="16" spans="1:11">
      <c r="B16" s="230" t="s">
        <v>5366</v>
      </c>
      <c r="E16" s="25" t="s">
        <v>5371</v>
      </c>
      <c r="G16" s="230" t="s">
        <v>5373</v>
      </c>
    </row>
    <row r="17" spans="2:9">
      <c r="B17" s="230" t="s">
        <v>5298</v>
      </c>
      <c r="E17" s="25" t="s">
        <v>5295</v>
      </c>
      <c r="G17" s="230" t="s">
        <v>5299</v>
      </c>
    </row>
    <row r="18" spans="2:9">
      <c r="B18" s="230" t="s">
        <v>5598</v>
      </c>
      <c r="E18" s="25" t="s">
        <v>5599</v>
      </c>
      <c r="G18" s="230" t="s">
        <v>5595</v>
      </c>
    </row>
    <row r="19" spans="2:9">
      <c r="B19" s="230" t="s">
        <v>5609</v>
      </c>
      <c r="E19" s="25"/>
      <c r="G19" s="230" t="s">
        <v>5604</v>
      </c>
    </row>
    <row r="20" spans="2:9">
      <c r="B20" s="230" t="s">
        <v>4949</v>
      </c>
      <c r="E20" s="25"/>
      <c r="G20" s="230" t="s">
        <v>5522</v>
      </c>
    </row>
    <row r="21" spans="2:9">
      <c r="B21" s="277" t="s">
        <v>4499</v>
      </c>
      <c r="E21" s="25"/>
      <c r="G21" s="277" t="s">
        <v>8213</v>
      </c>
    </row>
    <row r="22" spans="2:9">
      <c r="B22" s="277" t="s">
        <v>5521</v>
      </c>
      <c r="E22" s="25"/>
      <c r="G22" s="230" t="s">
        <v>5522</v>
      </c>
    </row>
    <row r="23" spans="2:9">
      <c r="B23" s="230" t="s">
        <v>5612</v>
      </c>
      <c r="E23" s="25"/>
      <c r="G23" s="230" t="s">
        <v>5604</v>
      </c>
    </row>
    <row r="24" spans="2:9">
      <c r="B24" s="230" t="s">
        <v>5600</v>
      </c>
      <c r="E24" s="25" t="s">
        <v>5601</v>
      </c>
      <c r="G24" s="230" t="s">
        <v>5610</v>
      </c>
    </row>
    <row r="25" spans="2:9">
      <c r="B25" s="230" t="s">
        <v>4770</v>
      </c>
      <c r="E25" s="25"/>
      <c r="G25" s="230" t="s">
        <v>5522</v>
      </c>
    </row>
    <row r="26" spans="2:9">
      <c r="B26" s="230" t="s">
        <v>5766</v>
      </c>
    </row>
    <row r="27" spans="2:9">
      <c r="B27" s="230" t="s">
        <v>5560</v>
      </c>
      <c r="E27" s="25"/>
      <c r="G27" s="230" t="s">
        <v>5522</v>
      </c>
    </row>
    <row r="28" spans="2:9">
      <c r="B28" s="230" t="s">
        <v>5585</v>
      </c>
      <c r="E28" s="25" t="s">
        <v>5586</v>
      </c>
      <c r="G28" s="230" t="s">
        <v>5611</v>
      </c>
    </row>
    <row r="29" spans="2:9" s="49" customFormat="1">
      <c r="B29" s="49" t="s">
        <v>3961</v>
      </c>
      <c r="C29" s="99">
        <v>1999</v>
      </c>
      <c r="D29" s="99" t="s">
        <v>4632</v>
      </c>
      <c r="E29" s="25" t="s">
        <v>5587</v>
      </c>
      <c r="G29" s="49" t="s">
        <v>5862</v>
      </c>
      <c r="H29" s="49" t="s">
        <v>5769</v>
      </c>
      <c r="I29" s="49" t="s">
        <v>5768</v>
      </c>
    </row>
    <row r="30" spans="2:9">
      <c r="B30" s="230" t="s">
        <v>5548</v>
      </c>
      <c r="E30" s="25"/>
      <c r="G30" s="230" t="s">
        <v>5522</v>
      </c>
    </row>
    <row r="31" spans="2:9">
      <c r="B31" s="230" t="s">
        <v>5615</v>
      </c>
      <c r="E31" s="25"/>
      <c r="G31" s="230" t="s">
        <v>5604</v>
      </c>
    </row>
    <row r="32" spans="2:9">
      <c r="B32" s="230" t="s">
        <v>5365</v>
      </c>
      <c r="E32" s="25" t="s">
        <v>5372</v>
      </c>
      <c r="G32" s="230" t="s">
        <v>5520</v>
      </c>
    </row>
    <row r="33" spans="2:9">
      <c r="B33" s="230" t="s">
        <v>5569</v>
      </c>
      <c r="E33" s="25"/>
      <c r="G33" s="230" t="s">
        <v>5522</v>
      </c>
    </row>
    <row r="34" spans="2:9">
      <c r="B34" s="236" t="s">
        <v>7554</v>
      </c>
      <c r="E34" s="25" t="s">
        <v>7555</v>
      </c>
      <c r="G34" s="236" t="s">
        <v>7549</v>
      </c>
    </row>
    <row r="35" spans="2:9">
      <c r="B35" s="230" t="s">
        <v>5557</v>
      </c>
      <c r="E35" s="25"/>
      <c r="G35" s="230" t="s">
        <v>5522</v>
      </c>
    </row>
    <row r="36" spans="2:9">
      <c r="B36" s="230" t="s">
        <v>5537</v>
      </c>
      <c r="E36" s="25"/>
      <c r="G36" s="230" t="s">
        <v>5522</v>
      </c>
    </row>
    <row r="37" spans="2:9">
      <c r="B37" s="230" t="s">
        <v>5545</v>
      </c>
      <c r="E37" s="25"/>
      <c r="G37" s="230" t="s">
        <v>5522</v>
      </c>
    </row>
    <row r="38" spans="2:9">
      <c r="B38" s="230" t="s">
        <v>5573</v>
      </c>
      <c r="E38" s="25"/>
      <c r="G38" s="230" t="s">
        <v>5522</v>
      </c>
    </row>
    <row r="39" spans="2:9">
      <c r="B39" s="230" t="s">
        <v>5479</v>
      </c>
      <c r="G39" s="230" t="s">
        <v>5481</v>
      </c>
    </row>
    <row r="40" spans="2:9">
      <c r="B40" s="230" t="s">
        <v>5577</v>
      </c>
      <c r="E40" s="25" t="s">
        <v>5578</v>
      </c>
      <c r="G40" s="230" t="s">
        <v>5522</v>
      </c>
    </row>
    <row r="41" spans="2:9">
      <c r="B41" s="230" t="s">
        <v>5575</v>
      </c>
      <c r="G41" s="230" t="s">
        <v>5522</v>
      </c>
    </row>
    <row r="42" spans="2:9">
      <c r="B42" s="230" t="s">
        <v>5570</v>
      </c>
      <c r="G42" s="230" t="s">
        <v>5522</v>
      </c>
    </row>
    <row r="43" spans="2:9">
      <c r="B43" s="230" t="s">
        <v>5550</v>
      </c>
      <c r="G43" s="230" t="s">
        <v>5522</v>
      </c>
    </row>
    <row r="44" spans="2:9">
      <c r="B44" s="230" t="s">
        <v>5527</v>
      </c>
      <c r="G44" s="230" t="s">
        <v>5522</v>
      </c>
    </row>
    <row r="45" spans="2:9" s="49" customFormat="1">
      <c r="B45" s="49" t="s">
        <v>5547</v>
      </c>
      <c r="C45" s="99">
        <v>1999</v>
      </c>
      <c r="D45" s="99" t="s">
        <v>4632</v>
      </c>
      <c r="E45" s="37" t="s">
        <v>5757</v>
      </c>
      <c r="G45" s="49" t="s">
        <v>5758</v>
      </c>
      <c r="H45" s="49" t="s">
        <v>5765</v>
      </c>
      <c r="I45" s="49" t="s">
        <v>5760</v>
      </c>
    </row>
    <row r="46" spans="2:9">
      <c r="B46" s="230" t="s">
        <v>4496</v>
      </c>
      <c r="G46" s="230" t="s">
        <v>5604</v>
      </c>
      <c r="H46" s="230" t="s">
        <v>5358</v>
      </c>
    </row>
    <row r="47" spans="2:9">
      <c r="B47" s="230" t="s">
        <v>5824</v>
      </c>
      <c r="E47" s="25" t="s">
        <v>7566</v>
      </c>
      <c r="G47" s="236" t="s">
        <v>7565</v>
      </c>
    </row>
    <row r="48" spans="2:9">
      <c r="B48" s="230" t="s">
        <v>5767</v>
      </c>
    </row>
    <row r="49" spans="2:8">
      <c r="B49" s="230" t="s">
        <v>5613</v>
      </c>
      <c r="G49" s="230" t="s">
        <v>5604</v>
      </c>
    </row>
    <row r="50" spans="2:8">
      <c r="B50" s="230" t="s">
        <v>5588</v>
      </c>
      <c r="C50" s="231" t="s">
        <v>5861</v>
      </c>
      <c r="D50" s="231">
        <v>2022</v>
      </c>
      <c r="E50" s="25" t="s">
        <v>5589</v>
      </c>
      <c r="G50" s="230" t="s">
        <v>5860</v>
      </c>
    </row>
    <row r="51" spans="2:8">
      <c r="B51" s="230" t="s">
        <v>5538</v>
      </c>
      <c r="G51" s="230" t="s">
        <v>5522</v>
      </c>
    </row>
    <row r="52" spans="2:8">
      <c r="B52" s="230" t="s">
        <v>5553</v>
      </c>
      <c r="G52" s="230" t="s">
        <v>5522</v>
      </c>
    </row>
    <row r="53" spans="2:8">
      <c r="B53" s="230" t="s">
        <v>5614</v>
      </c>
      <c r="G53" s="230" t="s">
        <v>5604</v>
      </c>
    </row>
    <row r="54" spans="2:8">
      <c r="B54" s="230" t="s">
        <v>5542</v>
      </c>
      <c r="G54" s="230" t="s">
        <v>5606</v>
      </c>
    </row>
    <row r="55" spans="2:8">
      <c r="B55" s="230" t="s">
        <v>5616</v>
      </c>
      <c r="G55" s="230" t="s">
        <v>5604</v>
      </c>
    </row>
    <row r="56" spans="2:8">
      <c r="B56" s="230" t="s">
        <v>5617</v>
      </c>
      <c r="G56" s="230" t="s">
        <v>5604</v>
      </c>
    </row>
    <row r="57" spans="2:8">
      <c r="B57" s="230" t="s">
        <v>4681</v>
      </c>
      <c r="G57" s="230" t="s">
        <v>5604</v>
      </c>
    </row>
    <row r="58" spans="2:8">
      <c r="B58" s="236" t="s">
        <v>7552</v>
      </c>
      <c r="E58" s="25" t="s">
        <v>7553</v>
      </c>
      <c r="G58" s="236" t="s">
        <v>7549</v>
      </c>
    </row>
    <row r="59" spans="2:8">
      <c r="B59" s="230" t="s">
        <v>4968</v>
      </c>
      <c r="E59" s="25" t="s">
        <v>4969</v>
      </c>
      <c r="G59" s="236" t="s">
        <v>7565</v>
      </c>
    </row>
    <row r="60" spans="2:8">
      <c r="B60" s="230" t="s">
        <v>4136</v>
      </c>
      <c r="C60" s="233">
        <v>41334</v>
      </c>
      <c r="D60" s="233">
        <v>42979</v>
      </c>
      <c r="E60" s="138" t="s">
        <v>1</v>
      </c>
      <c r="H60" s="230" t="s">
        <v>6180</v>
      </c>
    </row>
    <row r="61" spans="2:8">
      <c r="B61" s="230" t="s">
        <v>5618</v>
      </c>
      <c r="E61" s="25"/>
      <c r="G61" s="230" t="s">
        <v>5604</v>
      </c>
    </row>
    <row r="62" spans="2:8">
      <c r="B62" s="230" t="s">
        <v>4477</v>
      </c>
      <c r="E62" s="25" t="s">
        <v>5590</v>
      </c>
      <c r="G62" s="230" t="s">
        <v>5583</v>
      </c>
    </row>
    <row r="63" spans="2:8">
      <c r="B63" s="230" t="s">
        <v>5507</v>
      </c>
      <c r="E63" s="25" t="s">
        <v>5508</v>
      </c>
      <c r="G63" s="230" t="s">
        <v>5519</v>
      </c>
    </row>
    <row r="64" spans="2:8">
      <c r="B64" s="230" t="s">
        <v>5367</v>
      </c>
      <c r="E64" s="25" t="s">
        <v>5370</v>
      </c>
      <c r="G64" s="230" t="s">
        <v>5373</v>
      </c>
    </row>
    <row r="65" spans="2:7">
      <c r="B65" s="230" t="s">
        <v>5619</v>
      </c>
      <c r="E65" s="25"/>
      <c r="G65" s="230" t="s">
        <v>5604</v>
      </c>
    </row>
    <row r="66" spans="2:7">
      <c r="B66" s="230" t="s">
        <v>5546</v>
      </c>
      <c r="E66" s="25"/>
      <c r="G66" s="230" t="s">
        <v>5522</v>
      </c>
    </row>
    <row r="67" spans="2:7">
      <c r="B67" s="230" t="s">
        <v>5563</v>
      </c>
      <c r="E67" s="25"/>
      <c r="G67" s="230" t="s">
        <v>5522</v>
      </c>
    </row>
    <row r="68" spans="2:7">
      <c r="B68" s="230" t="s">
        <v>5293</v>
      </c>
      <c r="E68" s="25" t="s">
        <v>5294</v>
      </c>
      <c r="G68" s="230" t="s">
        <v>5299</v>
      </c>
    </row>
    <row r="69" spans="2:7">
      <c r="B69" s="230" t="s">
        <v>5515</v>
      </c>
      <c r="E69" s="25" t="s">
        <v>5516</v>
      </c>
      <c r="G69" s="230" t="s">
        <v>5504</v>
      </c>
    </row>
    <row r="70" spans="2:7">
      <c r="B70" s="230" t="s">
        <v>5554</v>
      </c>
      <c r="E70" s="25"/>
      <c r="G70" s="230" t="s">
        <v>5522</v>
      </c>
    </row>
    <row r="71" spans="2:7">
      <c r="B71" s="230" t="s">
        <v>5517</v>
      </c>
      <c r="E71" s="25" t="s">
        <v>5518</v>
      </c>
      <c r="G71" s="230" t="s">
        <v>5504</v>
      </c>
    </row>
    <row r="72" spans="2:7">
      <c r="B72" s="230" t="s">
        <v>3651</v>
      </c>
      <c r="E72" s="25"/>
      <c r="G72" s="230" t="s">
        <v>5522</v>
      </c>
    </row>
    <row r="73" spans="2:7">
      <c r="B73" s="230" t="s">
        <v>5620</v>
      </c>
      <c r="E73" s="25"/>
      <c r="G73" s="230" t="s">
        <v>5604</v>
      </c>
    </row>
    <row r="74" spans="2:7">
      <c r="B74" s="230" t="s">
        <v>5511</v>
      </c>
      <c r="E74" s="25" t="s">
        <v>5512</v>
      </c>
      <c r="G74" s="230" t="s">
        <v>5504</v>
      </c>
    </row>
    <row r="75" spans="2:7">
      <c r="B75" s="230" t="s">
        <v>5531</v>
      </c>
      <c r="E75" s="25"/>
      <c r="G75" s="230" t="s">
        <v>5522</v>
      </c>
    </row>
    <row r="76" spans="2:7">
      <c r="B76" s="230" t="s">
        <v>5572</v>
      </c>
      <c r="E76" s="25"/>
      <c r="G76" s="230" t="s">
        <v>5522</v>
      </c>
    </row>
    <row r="77" spans="2:7">
      <c r="B77" s="230" t="s">
        <v>5549</v>
      </c>
      <c r="E77" s="25"/>
      <c r="G77" s="230" t="s">
        <v>5522</v>
      </c>
    </row>
    <row r="78" spans="2:7">
      <c r="B78" s="230" t="s">
        <v>5593</v>
      </c>
      <c r="E78" s="25" t="s">
        <v>5594</v>
      </c>
      <c r="G78" s="230" t="s">
        <v>5595</v>
      </c>
    </row>
    <row r="79" spans="2:7">
      <c r="B79" s="230" t="s">
        <v>5582</v>
      </c>
      <c r="E79" s="25" t="s">
        <v>5584</v>
      </c>
      <c r="G79" s="230" t="s">
        <v>5583</v>
      </c>
    </row>
    <row r="80" spans="2:7">
      <c r="B80" s="230" t="s">
        <v>5524</v>
      </c>
      <c r="E80" s="25"/>
      <c r="G80" s="230" t="s">
        <v>5522</v>
      </c>
    </row>
    <row r="81" spans="2:7">
      <c r="B81" s="230" t="s">
        <v>4923</v>
      </c>
      <c r="E81" s="25"/>
      <c r="G81" s="230" t="s">
        <v>5522</v>
      </c>
    </row>
    <row r="82" spans="2:7">
      <c r="B82" s="230" t="s">
        <v>5820</v>
      </c>
      <c r="E82" s="25" t="s">
        <v>5821</v>
      </c>
      <c r="G82" s="230" t="s">
        <v>5822</v>
      </c>
    </row>
    <row r="83" spans="2:7">
      <c r="B83" s="230" t="s">
        <v>5621</v>
      </c>
      <c r="E83" s="25"/>
      <c r="G83" s="230" t="s">
        <v>5604</v>
      </c>
    </row>
    <row r="84" spans="2:7">
      <c r="B84" s="230" t="s">
        <v>5622</v>
      </c>
      <c r="E84" s="25"/>
      <c r="G84" s="230" t="s">
        <v>5604</v>
      </c>
    </row>
    <row r="85" spans="2:7">
      <c r="B85" s="230" t="s">
        <v>5564</v>
      </c>
      <c r="E85" s="25"/>
      <c r="G85" s="230" t="s">
        <v>5522</v>
      </c>
    </row>
    <row r="86" spans="2:7">
      <c r="B86" s="230" t="s">
        <v>5623</v>
      </c>
      <c r="E86" s="25"/>
      <c r="G86" s="230" t="s">
        <v>5604</v>
      </c>
    </row>
    <row r="87" spans="2:7">
      <c r="B87" s="230" t="s">
        <v>5509</v>
      </c>
      <c r="E87" s="25" t="s">
        <v>5510</v>
      </c>
      <c r="G87" s="230" t="s">
        <v>5519</v>
      </c>
    </row>
    <row r="88" spans="2:7">
      <c r="B88" s="230" t="s">
        <v>5624</v>
      </c>
      <c r="E88" s="25"/>
      <c r="G88" s="230" t="s">
        <v>5604</v>
      </c>
    </row>
    <row r="89" spans="2:7">
      <c r="B89" s="230" t="s">
        <v>5559</v>
      </c>
      <c r="E89" s="25"/>
      <c r="G89" s="230" t="s">
        <v>5522</v>
      </c>
    </row>
    <row r="90" spans="2:7">
      <c r="B90" s="230" t="s">
        <v>4967</v>
      </c>
      <c r="D90" s="243" t="s">
        <v>4632</v>
      </c>
      <c r="E90" s="25" t="s">
        <v>4971</v>
      </c>
      <c r="G90" s="236" t="s">
        <v>7549</v>
      </c>
    </row>
    <row r="91" spans="2:7">
      <c r="B91" s="230" t="s">
        <v>5562</v>
      </c>
      <c r="E91" s="25"/>
      <c r="G91" s="230" t="s">
        <v>5522</v>
      </c>
    </row>
    <row r="92" spans="2:7">
      <c r="B92" s="230" t="s">
        <v>5574</v>
      </c>
      <c r="E92" s="25"/>
      <c r="G92" s="230" t="s">
        <v>5522</v>
      </c>
    </row>
    <row r="93" spans="2:7">
      <c r="B93" s="230" t="s">
        <v>5561</v>
      </c>
      <c r="E93" s="25"/>
      <c r="G93" s="230" t="s">
        <v>5522</v>
      </c>
    </row>
    <row r="94" spans="2:7">
      <c r="B94" s="230" t="s">
        <v>5565</v>
      </c>
      <c r="E94" s="25"/>
      <c r="G94" s="230" t="s">
        <v>5522</v>
      </c>
    </row>
    <row r="95" spans="2:7">
      <c r="B95" s="230" t="s">
        <v>5539</v>
      </c>
      <c r="E95" s="25"/>
      <c r="G95" s="230" t="s">
        <v>5522</v>
      </c>
    </row>
    <row r="96" spans="2:7">
      <c r="B96" s="234" t="s">
        <v>5535</v>
      </c>
      <c r="E96" s="25"/>
      <c r="G96" s="230" t="s">
        <v>5522</v>
      </c>
    </row>
    <row r="97" spans="2:8">
      <c r="B97" s="230" t="s">
        <v>5502</v>
      </c>
      <c r="C97" s="230"/>
      <c r="E97" s="25" t="s">
        <v>5503</v>
      </c>
      <c r="G97" s="230" t="s">
        <v>5504</v>
      </c>
    </row>
    <row r="98" spans="2:8">
      <c r="B98" s="230" t="s">
        <v>5532</v>
      </c>
      <c r="E98" s="25"/>
      <c r="G98" s="230" t="s">
        <v>5522</v>
      </c>
    </row>
    <row r="99" spans="2:8">
      <c r="B99" s="230" t="s">
        <v>5536</v>
      </c>
      <c r="E99" s="25"/>
      <c r="G99" s="230" t="s">
        <v>5522</v>
      </c>
    </row>
    <row r="100" spans="2:8">
      <c r="B100" s="230" t="s">
        <v>5829</v>
      </c>
      <c r="E100" s="25" t="s">
        <v>5830</v>
      </c>
      <c r="G100" s="230" t="s">
        <v>5822</v>
      </c>
    </row>
    <row r="101" spans="2:8">
      <c r="B101" s="230" t="s">
        <v>5505</v>
      </c>
      <c r="E101" s="25" t="s">
        <v>5506</v>
      </c>
      <c r="G101" s="230" t="s">
        <v>5519</v>
      </c>
    </row>
    <row r="102" spans="2:8">
      <c r="B102" s="230" t="s">
        <v>5551</v>
      </c>
      <c r="E102" s="25"/>
      <c r="G102" s="230" t="s">
        <v>5522</v>
      </c>
    </row>
    <row r="103" spans="2:8">
      <c r="B103" s="230" t="s">
        <v>5568</v>
      </c>
      <c r="E103" s="25"/>
      <c r="G103" s="230" t="s">
        <v>5522</v>
      </c>
    </row>
    <row r="104" spans="2:8">
      <c r="B104" s="230" t="s">
        <v>5297</v>
      </c>
      <c r="E104" s="25" t="s">
        <v>5296</v>
      </c>
      <c r="G104" s="230" t="s">
        <v>5299</v>
      </c>
    </row>
    <row r="105" spans="2:8">
      <c r="B105" s="230" t="s">
        <v>5351</v>
      </c>
      <c r="H105" s="230" t="s">
        <v>5359</v>
      </c>
    </row>
    <row r="106" spans="2:8">
      <c r="B106" s="230" t="s">
        <v>5528</v>
      </c>
      <c r="G106" s="230" t="s">
        <v>5522</v>
      </c>
    </row>
    <row r="107" spans="2:8">
      <c r="B107" s="230" t="s">
        <v>5625</v>
      </c>
      <c r="G107" s="230" t="s">
        <v>5604</v>
      </c>
    </row>
    <row r="108" spans="2:8">
      <c r="B108" s="236" t="s">
        <v>7560</v>
      </c>
      <c r="E108" s="25" t="s">
        <v>7561</v>
      </c>
      <c r="G108" s="236" t="s">
        <v>7549</v>
      </c>
    </row>
    <row r="109" spans="2:8">
      <c r="B109" s="230" t="s">
        <v>5556</v>
      </c>
      <c r="G109" s="230" t="s">
        <v>5522</v>
      </c>
    </row>
    <row r="110" spans="2:8">
      <c r="B110" s="230" t="s">
        <v>3654</v>
      </c>
      <c r="C110" s="231">
        <v>2001</v>
      </c>
      <c r="D110" s="231" t="s">
        <v>3400</v>
      </c>
      <c r="E110" s="25" t="s">
        <v>5501</v>
      </c>
      <c r="G110" s="230" t="s">
        <v>5581</v>
      </c>
      <c r="H110" s="236" t="s">
        <v>7562</v>
      </c>
    </row>
    <row r="111" spans="2:8">
      <c r="B111" s="230" t="s">
        <v>5529</v>
      </c>
      <c r="E111" s="25"/>
      <c r="G111" s="230" t="s">
        <v>5522</v>
      </c>
    </row>
    <row r="112" spans="2:8">
      <c r="B112" s="230" t="s">
        <v>5626</v>
      </c>
      <c r="E112" s="25"/>
      <c r="G112" s="230" t="s">
        <v>5604</v>
      </c>
    </row>
    <row r="113" spans="2:8">
      <c r="B113" s="230" t="s">
        <v>4505</v>
      </c>
      <c r="E113" s="25" t="s">
        <v>5823</v>
      </c>
      <c r="G113" s="230" t="s">
        <v>5822</v>
      </c>
    </row>
    <row r="114" spans="2:8">
      <c r="B114" s="236" t="s">
        <v>7550</v>
      </c>
      <c r="E114" s="25" t="s">
        <v>7551</v>
      </c>
      <c r="G114" s="236" t="s">
        <v>7549</v>
      </c>
    </row>
    <row r="115" spans="2:8">
      <c r="B115" s="230" t="s">
        <v>5555</v>
      </c>
      <c r="E115" s="25"/>
      <c r="G115" s="230" t="s">
        <v>5522</v>
      </c>
    </row>
    <row r="116" spans="2:8">
      <c r="B116" s="230" t="s">
        <v>5630</v>
      </c>
      <c r="E116" s="25"/>
      <c r="G116" s="230" t="s">
        <v>5604</v>
      </c>
    </row>
    <row r="117" spans="2:8">
      <c r="B117" s="230" t="s">
        <v>4273</v>
      </c>
      <c r="E117" s="25"/>
      <c r="H117" s="230" t="s">
        <v>6267</v>
      </c>
    </row>
    <row r="118" spans="2:8">
      <c r="B118" s="230" t="s">
        <v>4103</v>
      </c>
      <c r="C118" s="231" t="s">
        <v>5596</v>
      </c>
      <c r="D118" s="231">
        <v>2015</v>
      </c>
      <c r="E118" s="25" t="s">
        <v>5597</v>
      </c>
      <c r="G118" s="230" t="s">
        <v>5627</v>
      </c>
      <c r="H118" s="230" t="s">
        <v>5480</v>
      </c>
    </row>
    <row r="119" spans="2:8">
      <c r="B119" s="230" t="s">
        <v>5526</v>
      </c>
      <c r="G119" s="230" t="s">
        <v>5522</v>
      </c>
    </row>
    <row r="120" spans="2:8">
      <c r="B120" s="230" t="s">
        <v>5478</v>
      </c>
      <c r="G120" s="230" t="s">
        <v>5481</v>
      </c>
    </row>
    <row r="121" spans="2:8">
      <c r="B121" s="230" t="s">
        <v>5628</v>
      </c>
      <c r="G121" s="230" t="s">
        <v>5604</v>
      </c>
    </row>
    <row r="122" spans="2:8">
      <c r="B122" s="230" t="s">
        <v>5534</v>
      </c>
      <c r="G122" s="230" t="s">
        <v>5522</v>
      </c>
    </row>
    <row r="123" spans="2:8">
      <c r="B123" s="230" t="s">
        <v>5368</v>
      </c>
      <c r="E123" s="25" t="s">
        <v>5369</v>
      </c>
      <c r="G123" s="230" t="s">
        <v>5373</v>
      </c>
    </row>
    <row r="124" spans="2:8">
      <c r="B124" s="230" t="s">
        <v>5530</v>
      </c>
      <c r="E124" s="25"/>
      <c r="G124" s="230" t="s">
        <v>5522</v>
      </c>
    </row>
    <row r="125" spans="2:8">
      <c r="B125" s="230" t="s">
        <v>5629</v>
      </c>
      <c r="E125" s="25"/>
      <c r="G125" s="230" t="s">
        <v>5604</v>
      </c>
    </row>
    <row r="126" spans="2:8">
      <c r="B126" s="230" t="s">
        <v>5631</v>
      </c>
      <c r="E126" s="25"/>
      <c r="G126" s="230" t="s">
        <v>5604</v>
      </c>
    </row>
    <row r="127" spans="2:8">
      <c r="B127" s="230" t="s">
        <v>5632</v>
      </c>
      <c r="E127" s="25"/>
      <c r="G127" s="230" t="s">
        <v>5604</v>
      </c>
    </row>
    <row r="128" spans="2:8">
      <c r="B128" s="230" t="s">
        <v>5634</v>
      </c>
      <c r="E128" s="25"/>
      <c r="G128" s="230" t="s">
        <v>5604</v>
      </c>
    </row>
    <row r="129" spans="2:11">
      <c r="B129" s="230" t="s">
        <v>4497</v>
      </c>
      <c r="C129" s="243" t="s">
        <v>5861</v>
      </c>
      <c r="D129" s="243" t="s">
        <v>4632</v>
      </c>
      <c r="E129" s="25" t="s">
        <v>4970</v>
      </c>
      <c r="G129" s="236" t="s">
        <v>7556</v>
      </c>
      <c r="H129" s="236" t="s">
        <v>7557</v>
      </c>
      <c r="K129" s="236" t="s">
        <v>7558</v>
      </c>
    </row>
    <row r="130" spans="2:11">
      <c r="B130" s="230" t="s">
        <v>5567</v>
      </c>
      <c r="E130" s="25"/>
      <c r="G130" s="230" t="s">
        <v>5522</v>
      </c>
    </row>
    <row r="131" spans="2:11">
      <c r="B131" s="230" t="s">
        <v>5633</v>
      </c>
      <c r="E131" s="25"/>
      <c r="G131" s="230" t="s">
        <v>5604</v>
      </c>
    </row>
    <row r="132" spans="2:11">
      <c r="B132" s="230" t="s">
        <v>5635</v>
      </c>
      <c r="E132" s="25"/>
      <c r="G132" s="230" t="s">
        <v>5604</v>
      </c>
    </row>
    <row r="133" spans="2:11">
      <c r="B133" s="230" t="s">
        <v>4587</v>
      </c>
      <c r="E133" s="25"/>
      <c r="G133" s="230" t="s">
        <v>5522</v>
      </c>
    </row>
    <row r="134" spans="2:11">
      <c r="B134" s="230" t="s">
        <v>5637</v>
      </c>
      <c r="E134" s="25"/>
      <c r="G134" s="230" t="s">
        <v>5604</v>
      </c>
    </row>
    <row r="135" spans="2:11">
      <c r="B135" s="230" t="s">
        <v>5827</v>
      </c>
      <c r="E135" s="25" t="s">
        <v>5828</v>
      </c>
      <c r="G135" s="230" t="s">
        <v>5822</v>
      </c>
    </row>
    <row r="136" spans="2:11">
      <c r="B136" s="230" t="s">
        <v>5544</v>
      </c>
      <c r="E136" s="25"/>
      <c r="G136" s="230" t="s">
        <v>5522</v>
      </c>
    </row>
    <row r="137" spans="2:11">
      <c r="B137" s="230" t="s">
        <v>5636</v>
      </c>
      <c r="E137" s="25"/>
      <c r="G137" s="230" t="s">
        <v>5604</v>
      </c>
    </row>
    <row r="138" spans="2:11">
      <c r="B138" s="236" t="s">
        <v>7563</v>
      </c>
      <c r="E138" s="25" t="s">
        <v>7564</v>
      </c>
      <c r="G138" s="236" t="s">
        <v>7549</v>
      </c>
    </row>
    <row r="139" spans="2:11">
      <c r="B139" s="230" t="s">
        <v>5638</v>
      </c>
      <c r="E139" s="25"/>
      <c r="G139" s="230" t="s">
        <v>5604</v>
      </c>
    </row>
    <row r="140" spans="2:11">
      <c r="B140" s="230" t="s">
        <v>5552</v>
      </c>
      <c r="E140" s="25"/>
      <c r="G140" s="230" t="s">
        <v>5522</v>
      </c>
    </row>
    <row r="141" spans="2:11">
      <c r="B141" s="230" t="s">
        <v>5513</v>
      </c>
      <c r="E141" s="25" t="s">
        <v>5514</v>
      </c>
      <c r="G141" s="230" t="s">
        <v>5504</v>
      </c>
    </row>
    <row r="142" spans="2:11">
      <c r="B142" s="230" t="s">
        <v>5566</v>
      </c>
      <c r="G142" s="230" t="s">
        <v>5522</v>
      </c>
    </row>
    <row r="143" spans="2:11">
      <c r="B143" s="230" t="s">
        <v>4516</v>
      </c>
      <c r="C143" s="233">
        <v>42522</v>
      </c>
      <c r="D143" s="233">
        <v>44774</v>
      </c>
      <c r="E143" s="25" t="s">
        <v>7045</v>
      </c>
      <c r="F143" s="25" t="s">
        <v>7046</v>
      </c>
      <c r="G143" s="230" t="s">
        <v>5522</v>
      </c>
      <c r="H143" s="230" t="s">
        <v>7043</v>
      </c>
      <c r="J143" s="25"/>
    </row>
    <row r="148" spans="2:4">
      <c r="C148" s="235"/>
      <c r="D148" s="235"/>
    </row>
    <row r="151" spans="2:4">
      <c r="B151" s="230" t="s">
        <v>5761</v>
      </c>
    </row>
    <row r="152" spans="2:4">
      <c r="B152" s="230" t="s">
        <v>5762</v>
      </c>
    </row>
    <row r="153" spans="2:4">
      <c r="B153" s="230" t="s">
        <v>5763</v>
      </c>
    </row>
    <row r="154" spans="2:4">
      <c r="B154" s="230" t="s">
        <v>5764</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O298"/>
  <sheetViews>
    <sheetView zoomScale="145" zoomScaleNormal="145" workbookViewId="0">
      <pane xSplit="2" ySplit="2" topLeftCell="C52" activePane="bottomRight" state="frozen"/>
      <selection pane="topRight" activeCell="C1" sqref="C1"/>
      <selection pane="bottomLeft" activeCell="A3" sqref="A3"/>
      <selection pane="bottomRight" activeCell="D69" sqref="D69"/>
    </sheetView>
  </sheetViews>
  <sheetFormatPr baseColWidth="10" defaultColWidth="9" defaultRowHeight="13"/>
  <cols>
    <col min="1" max="1" width="4.33203125" style="107" bestFit="1" customWidth="1"/>
    <col min="2" max="3" width="9" style="107"/>
    <col min="4" max="4" width="17.33203125" style="107" customWidth="1"/>
    <col min="5" max="5" width="31.33203125" style="107" customWidth="1"/>
    <col min="6" max="6" width="9" style="107"/>
    <col min="7" max="8" width="9" style="126"/>
    <col min="9" max="9" width="13.33203125" style="107" customWidth="1"/>
    <col min="10" max="16384" width="9" style="107"/>
  </cols>
  <sheetData>
    <row r="1" spans="1:13">
      <c r="A1" s="25" t="s">
        <v>1165</v>
      </c>
    </row>
    <row r="2" spans="1:13">
      <c r="B2" s="107" t="s">
        <v>4490</v>
      </c>
      <c r="C2" s="386" t="s">
        <v>9592</v>
      </c>
      <c r="D2" s="161" t="s">
        <v>3978</v>
      </c>
      <c r="E2" s="161" t="s">
        <v>6562</v>
      </c>
      <c r="F2" s="107" t="s">
        <v>4630</v>
      </c>
      <c r="G2" s="126" t="s">
        <v>4613</v>
      </c>
      <c r="H2" s="126" t="s">
        <v>4493</v>
      </c>
      <c r="I2" s="107" t="s">
        <v>4631</v>
      </c>
      <c r="J2" s="107" t="s">
        <v>1150</v>
      </c>
      <c r="K2" s="107" t="s">
        <v>4954</v>
      </c>
      <c r="L2" s="107" t="s">
        <v>2290</v>
      </c>
      <c r="M2" s="107" t="s">
        <v>4226</v>
      </c>
    </row>
    <row r="3" spans="1:13">
      <c r="B3" s="107">
        <v>1</v>
      </c>
      <c r="C3" s="107">
        <v>1</v>
      </c>
      <c r="D3" s="107" t="s">
        <v>4488</v>
      </c>
      <c r="E3" s="107" t="s">
        <v>4495</v>
      </c>
      <c r="F3" s="107" t="s">
        <v>6263</v>
      </c>
      <c r="G3" s="127">
        <v>42339</v>
      </c>
      <c r="H3" s="126" t="s">
        <v>4632</v>
      </c>
    </row>
    <row r="4" spans="1:13">
      <c r="B4" s="107">
        <v>2</v>
      </c>
      <c r="C4" s="107">
        <v>2</v>
      </c>
      <c r="D4" s="236" t="s">
        <v>4494</v>
      </c>
      <c r="E4" s="107" t="s">
        <v>4648</v>
      </c>
      <c r="F4" s="107" t="s">
        <v>4618</v>
      </c>
      <c r="G4" s="127">
        <v>42339</v>
      </c>
      <c r="H4" s="126" t="s">
        <v>4632</v>
      </c>
    </row>
    <row r="5" spans="1:13" s="317" customFormat="1">
      <c r="B5" s="317">
        <v>3</v>
      </c>
      <c r="D5" s="317" t="s">
        <v>4474</v>
      </c>
      <c r="E5" s="317" t="s">
        <v>4489</v>
      </c>
      <c r="F5" s="317" t="s">
        <v>6262</v>
      </c>
      <c r="G5" s="333">
        <v>42339</v>
      </c>
      <c r="H5" s="334" t="s">
        <v>4632</v>
      </c>
    </row>
    <row r="6" spans="1:13" s="311" customFormat="1">
      <c r="B6" s="317">
        <v>4</v>
      </c>
      <c r="C6" s="317"/>
      <c r="D6" s="311" t="s">
        <v>4491</v>
      </c>
      <c r="E6" s="311" t="s">
        <v>4489</v>
      </c>
      <c r="F6" s="311" t="s">
        <v>6262</v>
      </c>
      <c r="G6" s="312">
        <v>42339</v>
      </c>
      <c r="H6" s="319">
        <v>2018</v>
      </c>
      <c r="I6" s="311" t="s">
        <v>1</v>
      </c>
    </row>
    <row r="7" spans="1:13">
      <c r="B7" s="107">
        <f>B6+1</f>
        <v>5</v>
      </c>
      <c r="C7" s="107">
        <v>3</v>
      </c>
      <c r="D7" s="107" t="s">
        <v>4469</v>
      </c>
      <c r="E7" s="107" t="s">
        <v>4470</v>
      </c>
      <c r="F7" s="107" t="s">
        <v>4471</v>
      </c>
      <c r="G7" s="127">
        <v>42339</v>
      </c>
      <c r="H7" s="126" t="s">
        <v>4632</v>
      </c>
      <c r="I7" s="25" t="s">
        <v>4940</v>
      </c>
      <c r="J7" s="236" t="s">
        <v>4934</v>
      </c>
      <c r="K7" s="25" t="s">
        <v>4962</v>
      </c>
    </row>
    <row r="8" spans="1:13">
      <c r="B8" s="107">
        <f t="shared" ref="B8:B10" si="0">B7+1</f>
        <v>6</v>
      </c>
      <c r="C8" s="107">
        <v>4</v>
      </c>
      <c r="D8" s="108" t="s">
        <v>4103</v>
      </c>
      <c r="E8" s="108" t="s">
        <v>4612</v>
      </c>
      <c r="G8" s="127">
        <v>42339</v>
      </c>
      <c r="H8" s="126" t="s">
        <v>4632</v>
      </c>
      <c r="I8" s="41" t="s">
        <v>4102</v>
      </c>
      <c r="M8" s="381" t="s">
        <v>9442</v>
      </c>
    </row>
    <row r="9" spans="1:13" ht="13" customHeight="1">
      <c r="B9" s="107">
        <f t="shared" si="0"/>
        <v>7</v>
      </c>
      <c r="C9" s="107">
        <v>5</v>
      </c>
      <c r="D9" s="107" t="s">
        <v>4506</v>
      </c>
      <c r="E9" s="107" t="s">
        <v>4669</v>
      </c>
      <c r="G9" s="127">
        <v>42339</v>
      </c>
      <c r="H9" s="126" t="s">
        <v>4632</v>
      </c>
      <c r="I9" s="25" t="s">
        <v>5350</v>
      </c>
      <c r="J9" s="277" t="s">
        <v>8294</v>
      </c>
    </row>
    <row r="10" spans="1:13" ht="13" customHeight="1">
      <c r="B10" s="107">
        <f t="shared" si="0"/>
        <v>8</v>
      </c>
      <c r="C10" s="107">
        <f>+C9+1</f>
        <v>6</v>
      </c>
      <c r="D10" s="107" t="s">
        <v>4623</v>
      </c>
      <c r="E10" s="107" t="s">
        <v>4625</v>
      </c>
      <c r="F10" s="107" t="s">
        <v>4624</v>
      </c>
      <c r="G10" s="127">
        <v>42339</v>
      </c>
      <c r="H10" s="126" t="s">
        <v>4632</v>
      </c>
      <c r="J10" s="107" t="s">
        <v>6055</v>
      </c>
    </row>
    <row r="11" spans="1:13" s="311" customFormat="1" ht="13" customHeight="1">
      <c r="B11" s="311">
        <f t="shared" ref="B11:B20" si="1">B10+1</f>
        <v>9</v>
      </c>
      <c r="D11" s="311" t="s">
        <v>5363</v>
      </c>
      <c r="E11" s="311" t="s">
        <v>6252</v>
      </c>
      <c r="F11" s="311" t="s">
        <v>6253</v>
      </c>
      <c r="G11" s="312">
        <v>42339</v>
      </c>
      <c r="H11" s="313">
        <v>43070</v>
      </c>
      <c r="I11" s="312" t="s">
        <v>1</v>
      </c>
      <c r="J11" s="311" t="s">
        <v>5353</v>
      </c>
      <c r="L11" s="311" t="s">
        <v>6254</v>
      </c>
    </row>
    <row r="12" spans="1:13" s="311" customFormat="1" ht="13" customHeight="1">
      <c r="B12" s="311">
        <f t="shared" si="1"/>
        <v>10</v>
      </c>
      <c r="D12" s="311" t="s">
        <v>9591</v>
      </c>
      <c r="F12" s="311" t="s">
        <v>2696</v>
      </c>
      <c r="G12" s="312">
        <v>42339</v>
      </c>
      <c r="H12" s="313" t="s">
        <v>8286</v>
      </c>
      <c r="I12" s="312"/>
      <c r="J12" s="311" t="s">
        <v>9593</v>
      </c>
    </row>
    <row r="13" spans="1:13" s="311" customFormat="1" ht="13" customHeight="1">
      <c r="B13" s="311">
        <f t="shared" si="1"/>
        <v>11</v>
      </c>
      <c r="D13" s="311" t="s">
        <v>9594</v>
      </c>
      <c r="G13" s="312">
        <v>42339</v>
      </c>
      <c r="H13" s="313" t="s">
        <v>8286</v>
      </c>
      <c r="I13" s="312"/>
    </row>
    <row r="14" spans="1:13" s="311" customFormat="1" ht="13" customHeight="1">
      <c r="B14" s="311">
        <f t="shared" si="1"/>
        <v>12</v>
      </c>
      <c r="D14" s="311" t="s">
        <v>9595</v>
      </c>
      <c r="G14" s="312">
        <v>42339</v>
      </c>
      <c r="H14" s="313" t="s">
        <v>8286</v>
      </c>
      <c r="I14" s="312"/>
    </row>
    <row r="15" spans="1:13" s="311" customFormat="1" ht="13" customHeight="1">
      <c r="B15" s="311">
        <f t="shared" si="1"/>
        <v>13</v>
      </c>
      <c r="D15" s="311" t="s">
        <v>4496</v>
      </c>
      <c r="E15" s="311" t="s">
        <v>5356</v>
      </c>
      <c r="F15" s="311" t="s">
        <v>5357</v>
      </c>
      <c r="G15" s="312">
        <v>42430</v>
      </c>
      <c r="H15" s="313">
        <v>42795</v>
      </c>
      <c r="I15" s="311" t="s">
        <v>1</v>
      </c>
    </row>
    <row r="16" spans="1:13" s="311" customFormat="1" ht="13" customHeight="1">
      <c r="B16" s="311">
        <f t="shared" si="1"/>
        <v>14</v>
      </c>
      <c r="D16" s="311" t="s">
        <v>5342</v>
      </c>
      <c r="E16" s="311" t="s">
        <v>6261</v>
      </c>
      <c r="F16" s="311" t="s">
        <v>4622</v>
      </c>
      <c r="G16" s="312">
        <v>42461</v>
      </c>
      <c r="H16" s="313">
        <v>43678</v>
      </c>
      <c r="J16" s="311" t="s">
        <v>8290</v>
      </c>
    </row>
    <row r="17" spans="2:13" s="317" customFormat="1">
      <c r="B17" s="311">
        <f t="shared" si="1"/>
        <v>15</v>
      </c>
      <c r="C17" s="311"/>
      <c r="D17" s="317" t="s">
        <v>4472</v>
      </c>
      <c r="G17" s="388">
        <v>42486</v>
      </c>
      <c r="H17" s="334" t="s">
        <v>8286</v>
      </c>
      <c r="J17" s="317" t="s">
        <v>8287</v>
      </c>
    </row>
    <row r="18" spans="2:13" s="311" customFormat="1" ht="13" customHeight="1">
      <c r="B18" s="311">
        <f t="shared" si="1"/>
        <v>16</v>
      </c>
      <c r="D18" s="311" t="s">
        <v>5351</v>
      </c>
      <c r="E18" s="311" t="s">
        <v>5360</v>
      </c>
      <c r="F18" s="311" t="s">
        <v>5362</v>
      </c>
      <c r="G18" s="312">
        <v>42491</v>
      </c>
      <c r="H18" s="313">
        <v>43282</v>
      </c>
      <c r="I18" s="314" t="s">
        <v>5352</v>
      </c>
      <c r="J18" s="311" t="s">
        <v>9589</v>
      </c>
      <c r="L18" s="311" t="s">
        <v>5361</v>
      </c>
    </row>
    <row r="19" spans="2:13" s="277" customFormat="1" ht="13" customHeight="1">
      <c r="B19" s="277">
        <f t="shared" ref="B19:B90" si="2">B18+1</f>
        <v>17</v>
      </c>
      <c r="C19" s="277">
        <f>+C10+1</f>
        <v>7</v>
      </c>
      <c r="D19" s="277" t="s">
        <v>4572</v>
      </c>
      <c r="E19" s="277" t="s">
        <v>4573</v>
      </c>
      <c r="G19" s="309">
        <v>42491</v>
      </c>
      <c r="H19" s="310" t="s">
        <v>4632</v>
      </c>
      <c r="I19" s="28" t="s">
        <v>8135</v>
      </c>
      <c r="J19" s="277" t="s">
        <v>6058</v>
      </c>
      <c r="M19" s="277" t="s">
        <v>8136</v>
      </c>
    </row>
    <row r="20" spans="2:13" s="277" customFormat="1" ht="13" customHeight="1">
      <c r="B20" s="311">
        <f t="shared" si="1"/>
        <v>18</v>
      </c>
      <c r="D20" s="395" t="s">
        <v>9809</v>
      </c>
      <c r="E20" s="395" t="s">
        <v>9810</v>
      </c>
      <c r="G20" s="404" t="s">
        <v>9811</v>
      </c>
      <c r="H20" s="309">
        <v>45415</v>
      </c>
      <c r="I20" s="28"/>
    </row>
    <row r="21" spans="2:13">
      <c r="B21" s="277">
        <f t="shared" si="2"/>
        <v>19</v>
      </c>
      <c r="C21" s="107">
        <v>8</v>
      </c>
      <c r="D21" s="107" t="s">
        <v>4562</v>
      </c>
      <c r="E21" s="395" t="s">
        <v>9812</v>
      </c>
      <c r="F21" s="395" t="s">
        <v>4637</v>
      </c>
      <c r="G21" s="127">
        <v>42767</v>
      </c>
      <c r="H21" s="405" t="s">
        <v>4632</v>
      </c>
      <c r="J21" s="220" t="s">
        <v>7273</v>
      </c>
    </row>
    <row r="22" spans="2:13" ht="13" customHeight="1">
      <c r="B22" s="277">
        <f t="shared" si="2"/>
        <v>20</v>
      </c>
      <c r="C22" s="277">
        <v>9</v>
      </c>
      <c r="D22" s="236" t="s">
        <v>4953</v>
      </c>
      <c r="E22" s="107" t="s">
        <v>6063</v>
      </c>
      <c r="F22" s="107" t="s">
        <v>4637</v>
      </c>
      <c r="G22" s="127">
        <v>42795</v>
      </c>
      <c r="H22" s="126" t="s">
        <v>4632</v>
      </c>
      <c r="M22" s="107" t="s">
        <v>4942</v>
      </c>
    </row>
    <row r="23" spans="2:13" ht="13" customHeight="1">
      <c r="B23" s="107">
        <f t="shared" si="2"/>
        <v>21</v>
      </c>
      <c r="C23" s="277">
        <f>+C22+1</f>
        <v>10</v>
      </c>
      <c r="D23" s="107" t="s">
        <v>4662</v>
      </c>
      <c r="E23" s="107" t="s">
        <v>4663</v>
      </c>
      <c r="G23" s="128">
        <v>42879</v>
      </c>
      <c r="H23" s="126" t="s">
        <v>4632</v>
      </c>
      <c r="I23" s="25" t="s">
        <v>4956</v>
      </c>
      <c r="K23" s="25" t="s">
        <v>4957</v>
      </c>
      <c r="L23" s="107" t="s">
        <v>6064</v>
      </c>
      <c r="M23" s="107" t="s">
        <v>4955</v>
      </c>
    </row>
    <row r="24" spans="2:13" s="311" customFormat="1" ht="13" customHeight="1">
      <c r="B24" s="311">
        <f t="shared" si="2"/>
        <v>22</v>
      </c>
      <c r="D24" s="311" t="s">
        <v>4938</v>
      </c>
      <c r="E24" s="311" t="s">
        <v>5286</v>
      </c>
      <c r="F24" s="311" t="s">
        <v>5287</v>
      </c>
      <c r="G24" s="312">
        <v>42887</v>
      </c>
      <c r="H24" s="313">
        <v>44440</v>
      </c>
      <c r="I24" s="314" t="s">
        <v>5285</v>
      </c>
      <c r="J24" s="311" t="s">
        <v>6060</v>
      </c>
      <c r="K24" s="314" t="s">
        <v>5284</v>
      </c>
      <c r="M24" s="311" t="s">
        <v>6059</v>
      </c>
    </row>
    <row r="25" spans="2:13" s="311" customFormat="1" ht="13" customHeight="1">
      <c r="B25" s="311">
        <f t="shared" si="2"/>
        <v>23</v>
      </c>
      <c r="D25" s="311" t="s">
        <v>4935</v>
      </c>
      <c r="E25" s="311" t="s">
        <v>5292</v>
      </c>
      <c r="F25" s="311" t="s">
        <v>5288</v>
      </c>
      <c r="G25" s="312">
        <v>42887</v>
      </c>
      <c r="H25" s="313">
        <v>44348</v>
      </c>
      <c r="I25" s="314" t="s">
        <v>5290</v>
      </c>
      <c r="K25" s="314" t="s">
        <v>5291</v>
      </c>
      <c r="M25" s="311" t="s">
        <v>4939</v>
      </c>
    </row>
    <row r="26" spans="2:13" ht="13" customHeight="1">
      <c r="B26" s="107">
        <f t="shared" ref="B26:B34" si="3">+B25+1</f>
        <v>24</v>
      </c>
      <c r="C26" s="107">
        <f>+C23+1</f>
        <v>11</v>
      </c>
      <c r="D26" s="107" t="s">
        <v>4571</v>
      </c>
      <c r="E26" s="277" t="s">
        <v>8280</v>
      </c>
      <c r="G26" s="128">
        <v>42926</v>
      </c>
      <c r="H26" s="310" t="s">
        <v>4632</v>
      </c>
      <c r="J26" s="277" t="s">
        <v>8282</v>
      </c>
    </row>
    <row r="27" spans="2:13" ht="13" customHeight="1">
      <c r="B27" s="107">
        <f t="shared" si="3"/>
        <v>25</v>
      </c>
      <c r="C27" s="107">
        <f t="shared" ref="C27:C33" si="4">+C26+1</f>
        <v>12</v>
      </c>
      <c r="D27" s="107" t="s">
        <v>5333</v>
      </c>
      <c r="G27" s="128">
        <v>42926</v>
      </c>
      <c r="H27" s="332" t="s">
        <v>3175</v>
      </c>
      <c r="I27" s="25" t="s">
        <v>8284</v>
      </c>
      <c r="J27" s="277" t="s">
        <v>8283</v>
      </c>
    </row>
    <row r="28" spans="2:13" ht="13" customHeight="1">
      <c r="B28" s="107">
        <f t="shared" si="3"/>
        <v>26</v>
      </c>
      <c r="C28" s="107">
        <f t="shared" si="4"/>
        <v>13</v>
      </c>
      <c r="D28" s="277" t="s">
        <v>8285</v>
      </c>
      <c r="G28" s="128">
        <v>42926</v>
      </c>
      <c r="H28" s="332" t="s">
        <v>8286</v>
      </c>
      <c r="I28" s="25"/>
      <c r="J28" s="277" t="s">
        <v>8287</v>
      </c>
    </row>
    <row r="29" spans="2:13" ht="13" customHeight="1">
      <c r="B29" s="107">
        <f t="shared" si="3"/>
        <v>27</v>
      </c>
      <c r="C29" s="107">
        <f t="shared" si="4"/>
        <v>14</v>
      </c>
      <c r="D29" s="107" t="s">
        <v>4914</v>
      </c>
      <c r="E29" s="107" t="s">
        <v>1545</v>
      </c>
      <c r="G29" s="126">
        <v>2017</v>
      </c>
      <c r="H29" s="310" t="s">
        <v>8289</v>
      </c>
      <c r="J29" s="277" t="s">
        <v>8288</v>
      </c>
    </row>
    <row r="30" spans="2:13" ht="13" customHeight="1">
      <c r="B30" s="107">
        <f t="shared" si="3"/>
        <v>28</v>
      </c>
      <c r="C30" s="107">
        <f t="shared" si="4"/>
        <v>15</v>
      </c>
      <c r="D30" s="277" t="s">
        <v>8293</v>
      </c>
      <c r="G30" s="126">
        <v>2017</v>
      </c>
      <c r="H30" s="310" t="s">
        <v>8286</v>
      </c>
      <c r="J30" s="277" t="s">
        <v>8287</v>
      </c>
    </row>
    <row r="31" spans="2:13">
      <c r="B31" s="107">
        <f>+B30+1</f>
        <v>29</v>
      </c>
      <c r="C31" s="107">
        <f t="shared" si="4"/>
        <v>16</v>
      </c>
      <c r="D31" s="277" t="s">
        <v>8291</v>
      </c>
      <c r="G31" s="126">
        <v>2017</v>
      </c>
      <c r="H31" s="310" t="s">
        <v>8286</v>
      </c>
      <c r="J31" s="277" t="s">
        <v>8287</v>
      </c>
    </row>
    <row r="32" spans="2:13">
      <c r="B32" s="107">
        <f t="shared" si="3"/>
        <v>30</v>
      </c>
      <c r="C32" s="107">
        <f t="shared" si="4"/>
        <v>17</v>
      </c>
      <c r="D32" s="107" t="s">
        <v>4692</v>
      </c>
      <c r="E32" s="107" t="s">
        <v>5347</v>
      </c>
      <c r="F32" s="107" t="s">
        <v>5349</v>
      </c>
      <c r="G32" s="128">
        <v>42935</v>
      </c>
      <c r="H32" s="126" t="s">
        <v>4632</v>
      </c>
      <c r="I32" s="25" t="s">
        <v>5364</v>
      </c>
      <c r="J32" s="107" t="s">
        <v>6061</v>
      </c>
      <c r="K32" s="25" t="s">
        <v>5346</v>
      </c>
      <c r="M32" s="277" t="s">
        <v>9440</v>
      </c>
    </row>
    <row r="33" spans="2:15">
      <c r="B33" s="107">
        <f t="shared" si="3"/>
        <v>31</v>
      </c>
      <c r="C33" s="107">
        <f t="shared" si="4"/>
        <v>18</v>
      </c>
      <c r="D33" s="107" t="s">
        <v>4537</v>
      </c>
      <c r="E33" s="107" t="s">
        <v>4538</v>
      </c>
      <c r="G33" s="126">
        <v>2017</v>
      </c>
      <c r="H33" s="310" t="s">
        <v>8286</v>
      </c>
      <c r="J33" s="277" t="s">
        <v>8292</v>
      </c>
    </row>
    <row r="34" spans="2:15" s="315" customFormat="1">
      <c r="B34" s="315">
        <f t="shared" si="3"/>
        <v>32</v>
      </c>
      <c r="D34" s="315" t="s">
        <v>4924</v>
      </c>
      <c r="E34" s="315" t="s">
        <v>1545</v>
      </c>
      <c r="F34" s="315" t="s">
        <v>5344</v>
      </c>
      <c r="G34" s="316">
        <v>42943</v>
      </c>
      <c r="H34" s="313">
        <v>44531</v>
      </c>
      <c r="I34" s="315" t="s">
        <v>1</v>
      </c>
      <c r="L34" s="315" t="s">
        <v>5345</v>
      </c>
      <c r="M34" s="315" t="s">
        <v>5339</v>
      </c>
    </row>
    <row r="35" spans="2:15">
      <c r="B35" s="107">
        <f t="shared" si="2"/>
        <v>33</v>
      </c>
      <c r="C35" s="107">
        <f>+C33+1</f>
        <v>19</v>
      </c>
      <c r="D35" s="107" t="s">
        <v>4650</v>
      </c>
      <c r="E35" s="107" t="s">
        <v>4901</v>
      </c>
      <c r="F35" s="107" t="s">
        <v>4629</v>
      </c>
      <c r="G35" s="127">
        <v>43101</v>
      </c>
      <c r="H35" s="126" t="s">
        <v>4632</v>
      </c>
      <c r="J35" s="107" t="s">
        <v>6056</v>
      </c>
      <c r="L35" s="107" t="s">
        <v>6057</v>
      </c>
    </row>
    <row r="36" spans="2:15">
      <c r="B36" s="107">
        <f t="shared" si="2"/>
        <v>34</v>
      </c>
      <c r="C36" s="107">
        <f>+C35+1</f>
        <v>20</v>
      </c>
      <c r="D36" s="107" t="s">
        <v>4651</v>
      </c>
      <c r="E36" s="107" t="s">
        <v>4652</v>
      </c>
      <c r="G36" s="127">
        <v>43125</v>
      </c>
      <c r="H36" s="126" t="s">
        <v>4632</v>
      </c>
      <c r="K36" s="25" t="s">
        <v>4966</v>
      </c>
      <c r="M36" s="107" t="s">
        <v>4963</v>
      </c>
    </row>
    <row r="37" spans="2:15" s="311" customFormat="1">
      <c r="B37" s="317">
        <f t="shared" si="2"/>
        <v>35</v>
      </c>
      <c r="C37" s="317"/>
      <c r="D37" s="311" t="s">
        <v>5340</v>
      </c>
      <c r="F37" s="311" t="s">
        <v>6259</v>
      </c>
      <c r="G37" s="312">
        <v>43132</v>
      </c>
      <c r="H37" s="313">
        <v>44805</v>
      </c>
      <c r="J37" s="311" t="s">
        <v>5338</v>
      </c>
    </row>
    <row r="38" spans="2:15">
      <c r="B38" s="107">
        <f t="shared" si="2"/>
        <v>36</v>
      </c>
      <c r="C38" s="107">
        <f>+C36+1</f>
        <v>21</v>
      </c>
      <c r="D38" s="107" t="s">
        <v>4930</v>
      </c>
      <c r="E38" s="277" t="s">
        <v>8133</v>
      </c>
      <c r="F38" s="107" t="s">
        <v>5283</v>
      </c>
      <c r="G38" s="128">
        <v>43167</v>
      </c>
      <c r="H38" s="126" t="s">
        <v>4632</v>
      </c>
      <c r="I38" s="25" t="s">
        <v>5280</v>
      </c>
      <c r="J38" s="25" t="s">
        <v>6062</v>
      </c>
      <c r="K38" s="25" t="s">
        <v>5279</v>
      </c>
      <c r="M38" s="277" t="s">
        <v>8134</v>
      </c>
    </row>
    <row r="39" spans="2:15">
      <c r="B39" s="107">
        <f t="shared" si="2"/>
        <v>37</v>
      </c>
      <c r="C39" s="107">
        <f>+C38+1</f>
        <v>22</v>
      </c>
      <c r="D39" s="107" t="s">
        <v>4907</v>
      </c>
      <c r="F39" s="107" t="s">
        <v>6091</v>
      </c>
      <c r="G39" s="127">
        <v>43191</v>
      </c>
      <c r="H39" s="126" t="s">
        <v>4632</v>
      </c>
      <c r="J39" s="107" t="s">
        <v>4906</v>
      </c>
      <c r="L39" s="107" t="s">
        <v>6251</v>
      </c>
    </row>
    <row r="40" spans="2:15">
      <c r="B40" s="107">
        <f t="shared" si="2"/>
        <v>38</v>
      </c>
      <c r="C40" s="107">
        <f>+C39+1</f>
        <v>23</v>
      </c>
      <c r="D40" s="107" t="s">
        <v>4658</v>
      </c>
      <c r="E40" s="107" t="s">
        <v>4659</v>
      </c>
      <c r="F40" s="107" t="s">
        <v>6091</v>
      </c>
      <c r="G40" s="127">
        <v>43221</v>
      </c>
      <c r="H40" s="126" t="s">
        <v>4632</v>
      </c>
      <c r="J40" s="25" t="s">
        <v>6093</v>
      </c>
      <c r="L40" s="107" t="s">
        <v>6092</v>
      </c>
      <c r="M40" s="107" t="s">
        <v>4906</v>
      </c>
    </row>
    <row r="41" spans="2:15">
      <c r="B41" s="107">
        <f t="shared" si="2"/>
        <v>39</v>
      </c>
      <c r="C41" s="107">
        <f>+C40+1</f>
        <v>24</v>
      </c>
      <c r="D41" s="107" t="s">
        <v>4606</v>
      </c>
      <c r="E41" s="107" t="s">
        <v>4573</v>
      </c>
      <c r="G41" s="127">
        <v>43252</v>
      </c>
      <c r="H41" s="126" t="s">
        <v>4632</v>
      </c>
      <c r="I41" s="25" t="s">
        <v>4937</v>
      </c>
      <c r="M41" s="107" t="s">
        <v>4934</v>
      </c>
    </row>
    <row r="42" spans="2:15">
      <c r="B42" s="107">
        <f t="shared" si="2"/>
        <v>40</v>
      </c>
      <c r="C42" s="107">
        <f>+C41+1</f>
        <v>25</v>
      </c>
      <c r="D42" s="107" t="s">
        <v>4509</v>
      </c>
      <c r="E42" s="107" t="s">
        <v>4620</v>
      </c>
      <c r="F42" s="107" t="s">
        <v>4621</v>
      </c>
      <c r="G42" s="127">
        <v>43252</v>
      </c>
      <c r="H42" s="126" t="s">
        <v>4632</v>
      </c>
    </row>
    <row r="43" spans="2:15">
      <c r="B43" s="107">
        <f t="shared" si="2"/>
        <v>41</v>
      </c>
      <c r="C43" s="107">
        <f>+C42+1</f>
        <v>26</v>
      </c>
      <c r="D43" s="107" t="s">
        <v>4508</v>
      </c>
      <c r="E43" s="107" t="s">
        <v>4617</v>
      </c>
      <c r="F43" s="107" t="s">
        <v>4616</v>
      </c>
      <c r="G43" s="127">
        <v>43313</v>
      </c>
      <c r="H43" s="126" t="s">
        <v>4632</v>
      </c>
      <c r="J43" s="236" t="s">
        <v>7856</v>
      </c>
    </row>
    <row r="44" spans="2:15" s="311" customFormat="1">
      <c r="B44" s="317">
        <f t="shared" si="2"/>
        <v>42</v>
      </c>
      <c r="C44" s="317"/>
      <c r="D44" s="311" t="s">
        <v>5341</v>
      </c>
      <c r="F44" s="311" t="s">
        <v>6260</v>
      </c>
      <c r="G44" s="312">
        <v>43344</v>
      </c>
      <c r="H44" s="313">
        <v>43525</v>
      </c>
      <c r="J44" s="311" t="s">
        <v>5338</v>
      </c>
    </row>
    <row r="45" spans="2:15" s="311" customFormat="1" ht="15">
      <c r="B45" s="317">
        <f t="shared" si="2"/>
        <v>43</v>
      </c>
      <c r="C45" s="317"/>
      <c r="D45" s="311" t="s">
        <v>5343</v>
      </c>
      <c r="F45" s="311" t="s">
        <v>6266</v>
      </c>
      <c r="G45" s="312">
        <v>43374</v>
      </c>
      <c r="H45" s="312">
        <v>43891</v>
      </c>
      <c r="J45" s="311" t="s">
        <v>6264</v>
      </c>
      <c r="K45" s="318" t="s">
        <v>6265</v>
      </c>
    </row>
    <row r="46" spans="2:15">
      <c r="B46" s="107">
        <f t="shared" si="2"/>
        <v>44</v>
      </c>
      <c r="C46" s="107">
        <f>+C43+1</f>
        <v>27</v>
      </c>
      <c r="D46" s="107" t="s">
        <v>4668</v>
      </c>
      <c r="E46" s="107" t="s">
        <v>4905</v>
      </c>
      <c r="F46" s="107" t="s">
        <v>6091</v>
      </c>
      <c r="G46" s="127">
        <v>43435</v>
      </c>
      <c r="H46" s="126" t="s">
        <v>4632</v>
      </c>
      <c r="I46" s="25" t="s">
        <v>4933</v>
      </c>
      <c r="J46" s="107" t="s">
        <v>5336</v>
      </c>
    </row>
    <row r="47" spans="2:15">
      <c r="B47" s="317">
        <f t="shared" si="2"/>
        <v>45</v>
      </c>
      <c r="C47" s="317"/>
      <c r="D47" s="317" t="s">
        <v>9587</v>
      </c>
      <c r="G47" s="312">
        <v>42979</v>
      </c>
      <c r="H47" s="312">
        <v>43313</v>
      </c>
      <c r="I47" s="387" t="s">
        <v>9588</v>
      </c>
      <c r="J47" s="317" t="s">
        <v>9590</v>
      </c>
      <c r="K47" s="317"/>
      <c r="L47" s="317"/>
      <c r="M47" s="317"/>
      <c r="N47" s="317"/>
      <c r="O47" s="317"/>
    </row>
    <row r="48" spans="2:15" s="311" customFormat="1">
      <c r="B48" s="107">
        <f t="shared" si="2"/>
        <v>46</v>
      </c>
      <c r="C48" s="107"/>
      <c r="D48" s="311" t="s">
        <v>4510</v>
      </c>
      <c r="E48" s="311" t="s">
        <v>4511</v>
      </c>
      <c r="G48" s="319">
        <v>2018</v>
      </c>
      <c r="H48" s="319">
        <v>2023</v>
      </c>
    </row>
    <row r="49" spans="2:13">
      <c r="B49" s="107">
        <f t="shared" si="2"/>
        <v>47</v>
      </c>
      <c r="C49" s="107">
        <f>+C46+1</f>
        <v>28</v>
      </c>
      <c r="D49" s="107" t="s">
        <v>4530</v>
      </c>
      <c r="E49" s="107" t="s">
        <v>4785</v>
      </c>
      <c r="F49" s="107" t="s">
        <v>5325</v>
      </c>
      <c r="G49" s="127">
        <v>43525</v>
      </c>
      <c r="H49" s="126" t="s">
        <v>4632</v>
      </c>
      <c r="I49" s="25" t="s">
        <v>4903</v>
      </c>
      <c r="J49" s="107" t="s">
        <v>5336</v>
      </c>
      <c r="L49" s="107" t="s">
        <v>5326</v>
      </c>
    </row>
    <row r="50" spans="2:13">
      <c r="B50" s="107">
        <f t="shared" si="2"/>
        <v>48</v>
      </c>
      <c r="D50" s="107" t="s">
        <v>4655</v>
      </c>
      <c r="E50" s="107" t="s">
        <v>5329</v>
      </c>
      <c r="F50" s="107" t="s">
        <v>5330</v>
      </c>
      <c r="G50" s="127">
        <v>43525</v>
      </c>
      <c r="H50" s="126" t="s">
        <v>4632</v>
      </c>
      <c r="J50" s="107" t="s">
        <v>5336</v>
      </c>
      <c r="L50" s="107" t="s">
        <v>5331</v>
      </c>
    </row>
    <row r="51" spans="2:13">
      <c r="B51" s="107">
        <f t="shared" si="2"/>
        <v>49</v>
      </c>
      <c r="D51" s="107" t="s">
        <v>4664</v>
      </c>
      <c r="E51" s="107" t="s">
        <v>6246</v>
      </c>
      <c r="F51" s="107" t="s">
        <v>6247</v>
      </c>
      <c r="G51" s="127">
        <v>43525</v>
      </c>
      <c r="H51" s="126" t="s">
        <v>4632</v>
      </c>
      <c r="J51" s="107" t="s">
        <v>5336</v>
      </c>
      <c r="L51" s="107" t="s">
        <v>6248</v>
      </c>
    </row>
    <row r="52" spans="2:13">
      <c r="B52" s="107">
        <f t="shared" si="2"/>
        <v>50</v>
      </c>
      <c r="D52" s="107" t="s">
        <v>4677</v>
      </c>
      <c r="E52" s="107" t="s">
        <v>6084</v>
      </c>
      <c r="F52" s="107" t="s">
        <v>6085</v>
      </c>
      <c r="G52" s="127">
        <v>43586</v>
      </c>
      <c r="H52" s="126" t="s">
        <v>4632</v>
      </c>
    </row>
    <row r="53" spans="2:13">
      <c r="B53" s="107">
        <f t="shared" si="2"/>
        <v>51</v>
      </c>
      <c r="D53" s="107" t="s">
        <v>4660</v>
      </c>
      <c r="E53" s="107" t="s">
        <v>4661</v>
      </c>
      <c r="F53" s="107" t="s">
        <v>5324</v>
      </c>
      <c r="G53" s="127">
        <v>43647</v>
      </c>
      <c r="H53" s="126" t="s">
        <v>4632</v>
      </c>
      <c r="J53" s="107" t="s">
        <v>4944</v>
      </c>
      <c r="L53" s="107" t="s">
        <v>5323</v>
      </c>
    </row>
    <row r="54" spans="2:13">
      <c r="B54" s="107">
        <f>+B53+1</f>
        <v>52</v>
      </c>
      <c r="D54" s="107" t="s">
        <v>4582</v>
      </c>
      <c r="E54" s="107" t="s">
        <v>4583</v>
      </c>
      <c r="F54" s="107" t="s">
        <v>4629</v>
      </c>
      <c r="G54" s="127">
        <v>43862</v>
      </c>
      <c r="H54" s="126" t="s">
        <v>4632</v>
      </c>
      <c r="J54" s="107" t="s">
        <v>4942</v>
      </c>
    </row>
    <row r="55" spans="2:13">
      <c r="B55" s="107">
        <f t="shared" si="2"/>
        <v>53</v>
      </c>
      <c r="D55" s="107" t="s">
        <v>4666</v>
      </c>
      <c r="E55" s="107" t="s">
        <v>4667</v>
      </c>
      <c r="F55" s="107" t="s">
        <v>6255</v>
      </c>
      <c r="G55" s="127">
        <v>43952</v>
      </c>
      <c r="H55" s="126" t="s">
        <v>4632</v>
      </c>
      <c r="L55" s="107" t="s">
        <v>6256</v>
      </c>
    </row>
    <row r="56" spans="2:13">
      <c r="B56" s="107">
        <f t="shared" si="2"/>
        <v>54</v>
      </c>
      <c r="D56" s="107" t="s">
        <v>4638</v>
      </c>
      <c r="E56" s="107" t="s">
        <v>4573</v>
      </c>
      <c r="F56" s="107" t="s">
        <v>4639</v>
      </c>
      <c r="G56" s="127">
        <v>43952</v>
      </c>
      <c r="H56" s="126" t="s">
        <v>4632</v>
      </c>
    </row>
    <row r="57" spans="2:13">
      <c r="B57" s="107">
        <f t="shared" si="2"/>
        <v>55</v>
      </c>
      <c r="D57" s="107" t="s">
        <v>4653</v>
      </c>
      <c r="E57" s="107" t="s">
        <v>4652</v>
      </c>
      <c r="F57" s="107" t="s">
        <v>5316</v>
      </c>
      <c r="G57" s="127">
        <v>43983</v>
      </c>
      <c r="H57" s="126" t="s">
        <v>4632</v>
      </c>
      <c r="J57" s="107" t="s">
        <v>4906</v>
      </c>
    </row>
    <row r="58" spans="2:13">
      <c r="B58" s="107">
        <f t="shared" si="2"/>
        <v>56</v>
      </c>
      <c r="D58" s="107" t="s">
        <v>4723</v>
      </c>
      <c r="E58" s="277" t="s">
        <v>8296</v>
      </c>
      <c r="G58" s="127">
        <v>44013</v>
      </c>
      <c r="H58" s="310" t="s">
        <v>4632</v>
      </c>
      <c r="I58" s="25" t="s">
        <v>6089</v>
      </c>
      <c r="J58" s="277" t="s">
        <v>8295</v>
      </c>
    </row>
    <row r="59" spans="2:13">
      <c r="B59" s="107">
        <f t="shared" si="2"/>
        <v>57</v>
      </c>
      <c r="D59" s="107" t="s">
        <v>4918</v>
      </c>
      <c r="E59" s="107" t="s">
        <v>4790</v>
      </c>
      <c r="F59" s="107" t="s">
        <v>6074</v>
      </c>
      <c r="G59" s="127">
        <v>44075</v>
      </c>
      <c r="H59" s="126" t="s">
        <v>4632</v>
      </c>
      <c r="I59" s="25" t="s">
        <v>9503</v>
      </c>
      <c r="J59" s="25" t="s">
        <v>6073</v>
      </c>
      <c r="L59" s="107" t="s">
        <v>6075</v>
      </c>
      <c r="M59" s="107" t="s">
        <v>4906</v>
      </c>
    </row>
    <row r="60" spans="2:13">
      <c r="B60" s="107">
        <f t="shared" si="2"/>
        <v>58</v>
      </c>
      <c r="D60" s="107" t="s">
        <v>4919</v>
      </c>
      <c r="E60" s="107" t="s">
        <v>4665</v>
      </c>
      <c r="F60" s="107" t="s">
        <v>6249</v>
      </c>
      <c r="G60" s="127">
        <v>44105</v>
      </c>
      <c r="H60" s="126" t="s">
        <v>4632</v>
      </c>
      <c r="J60" s="107" t="s">
        <v>4906</v>
      </c>
      <c r="L60" s="107" t="s">
        <v>6250</v>
      </c>
    </row>
    <row r="61" spans="2:13">
      <c r="B61" s="107">
        <f t="shared" si="2"/>
        <v>59</v>
      </c>
      <c r="D61" s="107" t="s">
        <v>4676</v>
      </c>
      <c r="E61" s="107" t="s">
        <v>4671</v>
      </c>
      <c r="F61" s="107" t="s">
        <v>6082</v>
      </c>
      <c r="G61" s="127">
        <v>44166</v>
      </c>
      <c r="H61" s="126" t="s">
        <v>4632</v>
      </c>
      <c r="J61" s="236" t="s">
        <v>7861</v>
      </c>
      <c r="L61" s="107" t="s">
        <v>6083</v>
      </c>
    </row>
    <row r="62" spans="2:13">
      <c r="B62" s="107">
        <f t="shared" si="2"/>
        <v>60</v>
      </c>
      <c r="D62" s="107" t="s">
        <v>4566</v>
      </c>
      <c r="E62" s="107" t="s">
        <v>4567</v>
      </c>
      <c r="F62" s="107" t="s">
        <v>4628</v>
      </c>
      <c r="G62" s="126">
        <v>2021</v>
      </c>
      <c r="H62" s="126" t="s">
        <v>4632</v>
      </c>
    </row>
    <row r="63" spans="2:13">
      <c r="B63" s="107">
        <f t="shared" si="2"/>
        <v>61</v>
      </c>
      <c r="D63" s="107" t="s">
        <v>6257</v>
      </c>
      <c r="E63" s="107" t="s">
        <v>4535</v>
      </c>
      <c r="F63" s="107" t="s">
        <v>6258</v>
      </c>
      <c r="G63" s="126">
        <v>2021</v>
      </c>
      <c r="H63" s="126" t="s">
        <v>4632</v>
      </c>
    </row>
    <row r="64" spans="2:13">
      <c r="B64" s="107">
        <f t="shared" si="2"/>
        <v>62</v>
      </c>
      <c r="D64" s="107" t="s">
        <v>4673</v>
      </c>
      <c r="E64" s="107" t="s">
        <v>6076</v>
      </c>
      <c r="F64" s="107" t="s">
        <v>6077</v>
      </c>
      <c r="G64" s="130" t="s">
        <v>6078</v>
      </c>
      <c r="H64" s="126" t="s">
        <v>4632</v>
      </c>
      <c r="J64" s="236" t="s">
        <v>7856</v>
      </c>
    </row>
    <row r="65" spans="2:13">
      <c r="B65" s="107">
        <f t="shared" si="2"/>
        <v>63</v>
      </c>
      <c r="D65" s="107" t="s">
        <v>4678</v>
      </c>
      <c r="E65" s="107" t="s">
        <v>5317</v>
      </c>
      <c r="F65" s="107" t="s">
        <v>5318</v>
      </c>
      <c r="G65" s="127">
        <v>44197</v>
      </c>
      <c r="H65" s="126" t="s">
        <v>4632</v>
      </c>
      <c r="L65" s="107" t="s">
        <v>5319</v>
      </c>
    </row>
    <row r="66" spans="2:13">
      <c r="B66" s="107">
        <f t="shared" si="2"/>
        <v>64</v>
      </c>
      <c r="D66" s="107" t="s">
        <v>4656</v>
      </c>
      <c r="E66" s="107" t="s">
        <v>4657</v>
      </c>
      <c r="F66" s="107" t="s">
        <v>4629</v>
      </c>
      <c r="G66" s="127">
        <v>44228</v>
      </c>
      <c r="H66" s="126" t="s">
        <v>4632</v>
      </c>
      <c r="J66" s="25" t="s">
        <v>6086</v>
      </c>
      <c r="K66" s="25" t="s">
        <v>6087</v>
      </c>
      <c r="M66" s="107" t="s">
        <v>6088</v>
      </c>
    </row>
    <row r="67" spans="2:13">
      <c r="B67" s="107">
        <f t="shared" si="2"/>
        <v>65</v>
      </c>
      <c r="D67" s="107" t="s">
        <v>4517</v>
      </c>
      <c r="E67" s="107" t="s">
        <v>4518</v>
      </c>
      <c r="G67" s="127">
        <v>44256</v>
      </c>
      <c r="H67" s="126" t="s">
        <v>4632</v>
      </c>
    </row>
    <row r="68" spans="2:13">
      <c r="B68" s="107">
        <f t="shared" si="2"/>
        <v>66</v>
      </c>
      <c r="D68" s="107" t="s">
        <v>4654</v>
      </c>
      <c r="E68" s="107" t="s">
        <v>4780</v>
      </c>
      <c r="F68" s="107" t="s">
        <v>5328</v>
      </c>
      <c r="G68" s="127">
        <v>44287</v>
      </c>
      <c r="H68" s="127">
        <v>45047</v>
      </c>
      <c r="L68" s="107" t="s">
        <v>5327</v>
      </c>
    </row>
    <row r="69" spans="2:13">
      <c r="B69" s="49">
        <f t="shared" si="2"/>
        <v>67</v>
      </c>
      <c r="C69" s="49"/>
      <c r="D69" s="49" t="s">
        <v>4507</v>
      </c>
      <c r="E69" s="49" t="s">
        <v>4615</v>
      </c>
      <c r="F69" s="49" t="s">
        <v>4614</v>
      </c>
      <c r="G69" s="129">
        <v>44287</v>
      </c>
      <c r="H69" s="99" t="s">
        <v>4632</v>
      </c>
      <c r="J69" s="236" t="s">
        <v>7856</v>
      </c>
    </row>
    <row r="70" spans="2:13">
      <c r="B70" s="107">
        <f t="shared" si="2"/>
        <v>68</v>
      </c>
      <c r="D70" s="107" t="s">
        <v>4536</v>
      </c>
      <c r="E70" s="107" t="s">
        <v>4532</v>
      </c>
      <c r="G70" s="127">
        <v>44287</v>
      </c>
      <c r="H70" s="126" t="s">
        <v>4632</v>
      </c>
    </row>
    <row r="71" spans="2:13">
      <c r="B71" s="107">
        <f t="shared" si="2"/>
        <v>69</v>
      </c>
      <c r="D71" s="107" t="s">
        <v>4670</v>
      </c>
      <c r="E71" s="107" t="s">
        <v>4671</v>
      </c>
      <c r="F71" s="107" t="s">
        <v>6069</v>
      </c>
      <c r="G71" s="127">
        <v>44317</v>
      </c>
      <c r="H71" s="126" t="s">
        <v>4632</v>
      </c>
      <c r="L71" s="107" t="s">
        <v>6070</v>
      </c>
    </row>
    <row r="72" spans="2:13">
      <c r="B72" s="107">
        <f t="shared" si="2"/>
        <v>70</v>
      </c>
      <c r="D72" s="107" t="s">
        <v>4525</v>
      </c>
      <c r="E72" s="107" t="s">
        <v>3974</v>
      </c>
      <c r="F72" s="107" t="s">
        <v>4629</v>
      </c>
      <c r="G72" s="127">
        <v>44531</v>
      </c>
      <c r="H72" s="126" t="s">
        <v>4632</v>
      </c>
    </row>
    <row r="73" spans="2:13">
      <c r="B73" s="107">
        <f t="shared" si="2"/>
        <v>71</v>
      </c>
      <c r="D73" s="199" t="s">
        <v>7050</v>
      </c>
      <c r="E73" s="199" t="s">
        <v>7051</v>
      </c>
      <c r="F73" s="199" t="s">
        <v>4628</v>
      </c>
      <c r="G73" s="127">
        <v>44531</v>
      </c>
      <c r="H73" s="200" t="s">
        <v>4632</v>
      </c>
    </row>
    <row r="74" spans="2:13">
      <c r="B74" s="107">
        <f t="shared" si="2"/>
        <v>72</v>
      </c>
      <c r="D74" s="277" t="s">
        <v>8281</v>
      </c>
      <c r="E74" s="199"/>
      <c r="F74" s="199"/>
      <c r="G74" s="331" t="s">
        <v>6078</v>
      </c>
      <c r="H74" s="332" t="s">
        <v>3287</v>
      </c>
    </row>
    <row r="75" spans="2:13" s="49" customFormat="1">
      <c r="B75" s="49">
        <f>B73+1</f>
        <v>72</v>
      </c>
      <c r="D75" s="49" t="s">
        <v>4649</v>
      </c>
      <c r="E75" s="49" t="s">
        <v>4715</v>
      </c>
      <c r="F75" s="49" t="s">
        <v>4899</v>
      </c>
      <c r="G75" s="129">
        <v>44621</v>
      </c>
      <c r="H75" s="99" t="s">
        <v>4632</v>
      </c>
      <c r="J75" s="49" t="s">
        <v>4900</v>
      </c>
    </row>
    <row r="76" spans="2:13">
      <c r="B76" s="107">
        <f t="shared" si="2"/>
        <v>73</v>
      </c>
      <c r="D76" s="107" t="s">
        <v>4674</v>
      </c>
      <c r="E76" s="107" t="s">
        <v>4817</v>
      </c>
      <c r="F76" s="107" t="s">
        <v>6079</v>
      </c>
      <c r="G76" s="127">
        <v>44621</v>
      </c>
      <c r="H76" s="126" t="s">
        <v>4632</v>
      </c>
    </row>
    <row r="77" spans="2:13">
      <c r="B77" s="107">
        <f t="shared" si="2"/>
        <v>74</v>
      </c>
      <c r="D77" s="107" t="s">
        <v>4514</v>
      </c>
      <c r="E77" s="107" t="s">
        <v>4515</v>
      </c>
      <c r="G77" s="127">
        <v>44713</v>
      </c>
      <c r="H77" s="126" t="s">
        <v>4632</v>
      </c>
    </row>
    <row r="78" spans="2:13">
      <c r="B78" s="107">
        <f t="shared" si="2"/>
        <v>75</v>
      </c>
      <c r="D78" s="107" t="s">
        <v>4672</v>
      </c>
      <c r="E78" s="107" t="s">
        <v>4671</v>
      </c>
      <c r="F78" s="107" t="s">
        <v>6071</v>
      </c>
      <c r="G78" s="127">
        <v>44713</v>
      </c>
      <c r="H78" s="126" t="s">
        <v>4632</v>
      </c>
      <c r="L78" s="107" t="s">
        <v>6072</v>
      </c>
    </row>
    <row r="79" spans="2:13" s="199" customFormat="1" ht="14">
      <c r="B79" s="199">
        <f t="shared" si="2"/>
        <v>76</v>
      </c>
      <c r="D79" s="199" t="s">
        <v>4540</v>
      </c>
      <c r="E79" s="199" t="s">
        <v>4539</v>
      </c>
      <c r="F79" s="199" t="s">
        <v>7052</v>
      </c>
      <c r="G79" s="201">
        <v>44774</v>
      </c>
      <c r="H79" s="200" t="s">
        <v>4632</v>
      </c>
      <c r="I79" s="28" t="s">
        <v>7056</v>
      </c>
      <c r="J79" s="28" t="s">
        <v>7053</v>
      </c>
      <c r="K79" s="28" t="s">
        <v>7054</v>
      </c>
      <c r="L79" s="199" t="s">
        <v>7055</v>
      </c>
    </row>
    <row r="80" spans="2:13">
      <c r="B80" s="107">
        <f t="shared" si="2"/>
        <v>77</v>
      </c>
      <c r="D80" s="107" t="s">
        <v>4516</v>
      </c>
      <c r="E80" s="107" t="s">
        <v>2928</v>
      </c>
      <c r="F80" s="107" t="s">
        <v>4629</v>
      </c>
      <c r="G80" s="127">
        <v>44805</v>
      </c>
      <c r="H80" s="126" t="s">
        <v>4632</v>
      </c>
    </row>
    <row r="81" spans="2:12">
      <c r="B81" s="107">
        <f t="shared" si="2"/>
        <v>78</v>
      </c>
      <c r="D81" s="107" t="s">
        <v>4519</v>
      </c>
      <c r="E81" s="107" t="s">
        <v>4520</v>
      </c>
      <c r="F81" s="107" t="s">
        <v>4622</v>
      </c>
      <c r="G81" s="127">
        <v>44866</v>
      </c>
      <c r="H81" s="126" t="s">
        <v>4632</v>
      </c>
    </row>
    <row r="82" spans="2:12">
      <c r="B82" s="107">
        <f t="shared" si="2"/>
        <v>79</v>
      </c>
      <c r="D82" s="107" t="s">
        <v>4531</v>
      </c>
      <c r="E82" s="107" t="s">
        <v>4532</v>
      </c>
      <c r="F82" s="107" t="s">
        <v>4637</v>
      </c>
      <c r="G82" s="127">
        <v>44866</v>
      </c>
      <c r="H82" s="126" t="s">
        <v>4632</v>
      </c>
      <c r="J82" s="107" t="s">
        <v>4835</v>
      </c>
    </row>
    <row r="83" spans="2:12">
      <c r="B83" s="107">
        <f t="shared" si="2"/>
        <v>80</v>
      </c>
      <c r="D83" s="107" t="s">
        <v>6065</v>
      </c>
      <c r="E83" s="199" t="s">
        <v>7047</v>
      </c>
      <c r="F83" s="199" t="s">
        <v>7048</v>
      </c>
      <c r="G83" s="127">
        <v>44927</v>
      </c>
      <c r="H83" s="200" t="s">
        <v>4632</v>
      </c>
      <c r="J83" s="25" t="s">
        <v>7049</v>
      </c>
    </row>
    <row r="84" spans="2:12">
      <c r="B84" s="107">
        <f t="shared" si="2"/>
        <v>81</v>
      </c>
      <c r="D84" s="107" t="s">
        <v>4512</v>
      </c>
      <c r="E84" s="107" t="s">
        <v>4513</v>
      </c>
      <c r="F84" s="107" t="s">
        <v>4622</v>
      </c>
      <c r="G84" s="127">
        <v>44958</v>
      </c>
      <c r="H84" s="126" t="s">
        <v>4632</v>
      </c>
    </row>
    <row r="85" spans="2:12">
      <c r="B85" s="107">
        <f t="shared" si="2"/>
        <v>82</v>
      </c>
      <c r="D85" s="107" t="s">
        <v>4533</v>
      </c>
      <c r="E85" s="107" t="s">
        <v>4534</v>
      </c>
      <c r="F85" s="107" t="s">
        <v>4637</v>
      </c>
      <c r="G85" s="127">
        <v>44958</v>
      </c>
      <c r="H85" s="126" t="s">
        <v>4632</v>
      </c>
    </row>
    <row r="86" spans="2:12">
      <c r="B86" s="107">
        <f t="shared" si="2"/>
        <v>83</v>
      </c>
      <c r="D86" s="107" t="s">
        <v>4528</v>
      </c>
      <c r="E86" s="107" t="s">
        <v>4527</v>
      </c>
      <c r="F86" s="107" t="s">
        <v>4622</v>
      </c>
      <c r="G86" s="127">
        <v>44986</v>
      </c>
      <c r="H86" s="126" t="s">
        <v>4632</v>
      </c>
      <c r="L86" s="107" t="s">
        <v>6244</v>
      </c>
    </row>
    <row r="87" spans="2:12">
      <c r="B87" s="107">
        <f t="shared" si="2"/>
        <v>84</v>
      </c>
      <c r="D87" s="107" t="s">
        <v>4523</v>
      </c>
      <c r="E87" s="107" t="s">
        <v>4524</v>
      </c>
      <c r="F87" s="107" t="s">
        <v>4637</v>
      </c>
      <c r="G87" s="127">
        <v>45017</v>
      </c>
      <c r="H87" s="126" t="s">
        <v>4632</v>
      </c>
      <c r="J87" s="236" t="s">
        <v>7861</v>
      </c>
    </row>
    <row r="88" spans="2:12">
      <c r="B88" s="107">
        <f t="shared" si="2"/>
        <v>85</v>
      </c>
      <c r="D88" s="107" t="s">
        <v>4529</v>
      </c>
      <c r="E88" s="107" t="s">
        <v>4527</v>
      </c>
      <c r="F88" s="107" t="s">
        <v>4622</v>
      </c>
      <c r="G88" s="127">
        <v>45017</v>
      </c>
      <c r="H88" s="126" t="s">
        <v>4632</v>
      </c>
      <c r="L88" s="107" t="s">
        <v>6245</v>
      </c>
    </row>
    <row r="89" spans="2:12">
      <c r="B89" s="107">
        <f t="shared" si="2"/>
        <v>86</v>
      </c>
      <c r="D89" s="107" t="s">
        <v>4526</v>
      </c>
      <c r="E89" s="107" t="s">
        <v>4527</v>
      </c>
      <c r="F89" s="107" t="s">
        <v>4622</v>
      </c>
      <c r="G89" s="127">
        <v>45047</v>
      </c>
      <c r="H89" s="126" t="s">
        <v>4632</v>
      </c>
      <c r="L89" s="107" t="s">
        <v>6094</v>
      </c>
    </row>
    <row r="90" spans="2:12">
      <c r="B90" s="107">
        <f t="shared" si="2"/>
        <v>87</v>
      </c>
      <c r="D90" s="107" t="s">
        <v>4521</v>
      </c>
      <c r="E90" s="107" t="s">
        <v>4522</v>
      </c>
      <c r="F90" s="107" t="s">
        <v>4622</v>
      </c>
      <c r="G90" s="127">
        <v>45078</v>
      </c>
      <c r="H90" s="126" t="s">
        <v>4632</v>
      </c>
    </row>
    <row r="91" spans="2:12">
      <c r="B91" s="107">
        <f>B90+1</f>
        <v>88</v>
      </c>
      <c r="D91" s="107" t="s">
        <v>4675</v>
      </c>
      <c r="E91" s="107" t="s">
        <v>4671</v>
      </c>
      <c r="F91" s="107" t="s">
        <v>4629</v>
      </c>
      <c r="G91" s="107"/>
      <c r="H91" s="107"/>
      <c r="J91" s="25" t="s">
        <v>6080</v>
      </c>
      <c r="K91" s="25" t="s">
        <v>6081</v>
      </c>
    </row>
    <row r="92" spans="2:12">
      <c r="B92" s="107">
        <f>B91+1</f>
        <v>89</v>
      </c>
      <c r="D92" s="107" t="s">
        <v>4589</v>
      </c>
      <c r="E92" s="107" t="s">
        <v>4590</v>
      </c>
      <c r="F92" s="395" t="s">
        <v>4637</v>
      </c>
      <c r="G92" s="334"/>
      <c r="H92" s="128">
        <v>45415</v>
      </c>
      <c r="J92" s="236" t="s">
        <v>7859</v>
      </c>
    </row>
    <row r="93" spans="2:12">
      <c r="D93" s="107" t="s">
        <v>4695</v>
      </c>
      <c r="E93" s="107" t="s">
        <v>4800</v>
      </c>
      <c r="G93" s="405"/>
    </row>
    <row r="94" spans="2:12">
      <c r="D94" s="107" t="s">
        <v>4541</v>
      </c>
      <c r="E94" s="107" t="s">
        <v>4542</v>
      </c>
    </row>
    <row r="95" spans="2:12">
      <c r="D95" s="107" t="s">
        <v>4543</v>
      </c>
      <c r="E95" s="107" t="s">
        <v>4544</v>
      </c>
      <c r="J95" s="236" t="s">
        <v>7863</v>
      </c>
    </row>
    <row r="96" spans="2:12">
      <c r="D96" s="107" t="s">
        <v>4545</v>
      </c>
    </row>
    <row r="97" spans="4:10">
      <c r="D97" s="107" t="s">
        <v>4546</v>
      </c>
    </row>
    <row r="98" spans="4:10">
      <c r="D98" s="107" t="s">
        <v>4547</v>
      </c>
      <c r="E98" s="107" t="s">
        <v>4548</v>
      </c>
    </row>
    <row r="99" spans="4:10">
      <c r="D99" s="107" t="s">
        <v>4549</v>
      </c>
      <c r="E99" s="107" t="s">
        <v>4550</v>
      </c>
    </row>
    <row r="100" spans="4:10">
      <c r="D100" s="107" t="s">
        <v>4551</v>
      </c>
      <c r="E100" s="107" t="s">
        <v>4532</v>
      </c>
      <c r="J100" s="107" t="s">
        <v>4944</v>
      </c>
    </row>
    <row r="101" spans="4:10">
      <c r="D101" s="107" t="s">
        <v>4552</v>
      </c>
      <c r="E101" s="107" t="s">
        <v>4553</v>
      </c>
    </row>
    <row r="102" spans="4:10">
      <c r="D102" s="107" t="s">
        <v>4554</v>
      </c>
      <c r="E102" s="107" t="s">
        <v>3101</v>
      </c>
    </row>
    <row r="103" spans="4:10">
      <c r="D103" s="107" t="s">
        <v>4555</v>
      </c>
      <c r="E103" s="107" t="s">
        <v>3101</v>
      </c>
    </row>
    <row r="104" spans="4:10">
      <c r="D104" s="107" t="s">
        <v>4556</v>
      </c>
      <c r="E104" s="107" t="s">
        <v>4557</v>
      </c>
      <c r="J104" s="236" t="s">
        <v>7862</v>
      </c>
    </row>
    <row r="105" spans="4:10">
      <c r="D105" s="107" t="s">
        <v>4558</v>
      </c>
      <c r="E105" s="107" t="s">
        <v>4559</v>
      </c>
    </row>
    <row r="106" spans="4:10">
      <c r="D106" s="107" t="s">
        <v>4560</v>
      </c>
      <c r="E106" s="107" t="s">
        <v>4561</v>
      </c>
    </row>
    <row r="107" spans="4:10">
      <c r="D107" s="107" t="s">
        <v>4563</v>
      </c>
      <c r="E107" s="107" t="s">
        <v>4803</v>
      </c>
      <c r="J107" s="107" t="s">
        <v>4906</v>
      </c>
    </row>
    <row r="108" spans="4:10">
      <c r="D108" s="107" t="s">
        <v>4564</v>
      </c>
      <c r="E108" s="107" t="s">
        <v>4565</v>
      </c>
    </row>
    <row r="109" spans="4:10">
      <c r="D109" s="107" t="s">
        <v>4568</v>
      </c>
      <c r="E109" s="107" t="s">
        <v>4569</v>
      </c>
    </row>
    <row r="110" spans="4:10">
      <c r="D110" s="107" t="s">
        <v>4570</v>
      </c>
      <c r="E110" s="107" t="s">
        <v>4532</v>
      </c>
    </row>
    <row r="111" spans="4:10">
      <c r="D111" s="107" t="s">
        <v>4574</v>
      </c>
      <c r="E111" s="107" t="s">
        <v>4575</v>
      </c>
    </row>
    <row r="112" spans="4:10">
      <c r="D112" s="107" t="s">
        <v>4576</v>
      </c>
      <c r="E112" s="107" t="s">
        <v>4577</v>
      </c>
    </row>
    <row r="113" spans="4:10">
      <c r="D113" s="107" t="s">
        <v>4578</v>
      </c>
      <c r="E113" s="107" t="s">
        <v>4553</v>
      </c>
    </row>
    <row r="114" spans="4:10">
      <c r="D114" s="107" t="s">
        <v>4579</v>
      </c>
      <c r="E114" s="107" t="s">
        <v>4522</v>
      </c>
      <c r="J114" s="236" t="s">
        <v>7860</v>
      </c>
    </row>
    <row r="115" spans="4:10">
      <c r="D115" s="107" t="s">
        <v>4580</v>
      </c>
      <c r="E115" s="107" t="s">
        <v>4532</v>
      </c>
    </row>
    <row r="116" spans="4:10">
      <c r="D116" s="107" t="s">
        <v>4581</v>
      </c>
      <c r="E116" s="107" t="s">
        <v>4786</v>
      </c>
      <c r="J116" s="236" t="s">
        <v>7860</v>
      </c>
    </row>
    <row r="117" spans="4:10">
      <c r="D117" s="107" t="s">
        <v>4584</v>
      </c>
      <c r="E117" s="107" t="s">
        <v>4532</v>
      </c>
    </row>
    <row r="118" spans="4:10">
      <c r="D118" s="107" t="s">
        <v>4585</v>
      </c>
      <c r="E118" s="107" t="s">
        <v>4586</v>
      </c>
    </row>
    <row r="119" spans="4:10">
      <c r="D119" s="107" t="s">
        <v>4587</v>
      </c>
      <c r="E119" s="107" t="s">
        <v>4532</v>
      </c>
    </row>
    <row r="120" spans="4:10">
      <c r="D120" s="107" t="s">
        <v>4588</v>
      </c>
      <c r="E120" s="107" t="s">
        <v>4802</v>
      </c>
    </row>
    <row r="121" spans="4:10">
      <c r="D121" s="107" t="s">
        <v>4591</v>
      </c>
      <c r="E121" s="107" t="s">
        <v>4532</v>
      </c>
    </row>
    <row r="122" spans="4:10">
      <c r="D122" s="107" t="s">
        <v>4592</v>
      </c>
      <c r="E122" s="107" t="s">
        <v>4593</v>
      </c>
    </row>
    <row r="123" spans="4:10">
      <c r="D123" s="107" t="s">
        <v>4594</v>
      </c>
      <c r="E123" s="107" t="s">
        <v>4595</v>
      </c>
      <c r="J123" s="107" t="s">
        <v>4906</v>
      </c>
    </row>
    <row r="124" spans="4:10">
      <c r="D124" s="107" t="s">
        <v>4596</v>
      </c>
      <c r="E124" s="107" t="s">
        <v>2126</v>
      </c>
    </row>
    <row r="125" spans="4:10">
      <c r="D125" s="107" t="s">
        <v>4597</v>
      </c>
      <c r="E125" s="107" t="s">
        <v>2126</v>
      </c>
    </row>
    <row r="126" spans="4:10">
      <c r="D126" s="107" t="s">
        <v>4598</v>
      </c>
      <c r="E126" s="107" t="s">
        <v>2126</v>
      </c>
    </row>
    <row r="127" spans="4:10">
      <c r="D127" s="107" t="s">
        <v>4599</v>
      </c>
      <c r="E127" s="107" t="s">
        <v>4520</v>
      </c>
    </row>
    <row r="128" spans="4:10">
      <c r="D128" s="107" t="s">
        <v>4600</v>
      </c>
      <c r="E128" s="107" t="s">
        <v>4811</v>
      </c>
    </row>
    <row r="129" spans="4:13">
      <c r="D129" s="107" t="s">
        <v>4601</v>
      </c>
      <c r="E129" s="107" t="s">
        <v>2126</v>
      </c>
    </row>
    <row r="130" spans="4:13">
      <c r="D130" s="107" t="s">
        <v>4602</v>
      </c>
      <c r="E130" s="107" t="s">
        <v>4573</v>
      </c>
    </row>
    <row r="131" spans="4:13">
      <c r="D131" s="107" t="s">
        <v>4603</v>
      </c>
      <c r="E131" s="107" t="s">
        <v>4573</v>
      </c>
    </row>
    <row r="132" spans="4:13">
      <c r="D132" s="107" t="s">
        <v>4604</v>
      </c>
      <c r="E132" s="107" t="s">
        <v>4605</v>
      </c>
    </row>
    <row r="133" spans="4:13">
      <c r="D133" s="107" t="s">
        <v>4610</v>
      </c>
      <c r="E133" s="107" t="s">
        <v>4611</v>
      </c>
      <c r="G133" s="127"/>
      <c r="H133" s="127">
        <v>45108</v>
      </c>
    </row>
    <row r="134" spans="4:13">
      <c r="D134" s="107" t="s">
        <v>4619</v>
      </c>
    </row>
    <row r="135" spans="4:13">
      <c r="D135" s="107" t="s">
        <v>4626</v>
      </c>
      <c r="E135" s="107" t="s">
        <v>4527</v>
      </c>
      <c r="J135" s="236" t="s">
        <v>7859</v>
      </c>
    </row>
    <row r="136" spans="4:13">
      <c r="D136" s="107" t="s">
        <v>4627</v>
      </c>
    </row>
    <row r="137" spans="4:13">
      <c r="D137" s="107" t="s">
        <v>4633</v>
      </c>
    </row>
    <row r="138" spans="4:13">
      <c r="D138" s="107" t="s">
        <v>4634</v>
      </c>
    </row>
    <row r="139" spans="4:13">
      <c r="D139" s="107" t="s">
        <v>4635</v>
      </c>
      <c r="E139" s="107" t="s">
        <v>4793</v>
      </c>
    </row>
    <row r="140" spans="4:13">
      <c r="D140" s="107" t="s">
        <v>4679</v>
      </c>
      <c r="E140" s="107" t="s">
        <v>4779</v>
      </c>
    </row>
    <row r="141" spans="4:13">
      <c r="D141" s="107" t="s">
        <v>4636</v>
      </c>
    </row>
    <row r="142" spans="4:13">
      <c r="D142" s="107" t="s">
        <v>4680</v>
      </c>
      <c r="E142" s="107" t="s">
        <v>5281</v>
      </c>
      <c r="G142" s="128">
        <v>44770</v>
      </c>
      <c r="H142" s="126" t="s">
        <v>5282</v>
      </c>
      <c r="I142" s="25" t="s">
        <v>9504</v>
      </c>
      <c r="M142" s="386" t="s">
        <v>9505</v>
      </c>
    </row>
    <row r="143" spans="4:13">
      <c r="D143" s="107" t="s">
        <v>4681</v>
      </c>
      <c r="E143" s="107" t="s">
        <v>4713</v>
      </c>
      <c r="J143" s="107" t="s">
        <v>4906</v>
      </c>
    </row>
    <row r="144" spans="4:13">
      <c r="D144" s="107" t="s">
        <v>4682</v>
      </c>
    </row>
    <row r="145" spans="4:10">
      <c r="D145" s="107" t="s">
        <v>4683</v>
      </c>
    </row>
    <row r="146" spans="4:10">
      <c r="D146" s="107" t="s">
        <v>4684</v>
      </c>
    </row>
    <row r="147" spans="4:10">
      <c r="D147" s="107" t="s">
        <v>4685</v>
      </c>
      <c r="E147" s="107" t="s">
        <v>4781</v>
      </c>
    </row>
    <row r="148" spans="4:10">
      <c r="D148" s="107" t="s">
        <v>4686</v>
      </c>
      <c r="E148" s="107" t="s">
        <v>2928</v>
      </c>
    </row>
    <row r="149" spans="4:10">
      <c r="D149" s="107" t="s">
        <v>4687</v>
      </c>
    </row>
    <row r="150" spans="4:10">
      <c r="D150" s="107" t="s">
        <v>4688</v>
      </c>
      <c r="E150" s="107" t="s">
        <v>4781</v>
      </c>
    </row>
    <row r="151" spans="4:10">
      <c r="D151" s="107" t="s">
        <v>4689</v>
      </c>
    </row>
    <row r="152" spans="4:10">
      <c r="D152" s="107" t="s">
        <v>4690</v>
      </c>
      <c r="E152" s="107" t="s">
        <v>4773</v>
      </c>
    </row>
    <row r="153" spans="4:10">
      <c r="D153" s="107" t="s">
        <v>4691</v>
      </c>
      <c r="E153" s="107" t="s">
        <v>4781</v>
      </c>
    </row>
    <row r="154" spans="4:10">
      <c r="D154" s="107" t="s">
        <v>4693</v>
      </c>
    </row>
    <row r="155" spans="4:10">
      <c r="D155" s="107" t="s">
        <v>4694</v>
      </c>
    </row>
    <row r="156" spans="4:10">
      <c r="D156" s="107" t="s">
        <v>4928</v>
      </c>
      <c r="J156" s="107" t="s">
        <v>4944</v>
      </c>
    </row>
    <row r="157" spans="4:10">
      <c r="D157" s="107" t="s">
        <v>4696</v>
      </c>
      <c r="E157" s="107" t="s">
        <v>4713</v>
      </c>
      <c r="J157" s="107" t="s">
        <v>4944</v>
      </c>
    </row>
    <row r="158" spans="4:10">
      <c r="D158" s="107" t="s">
        <v>4697</v>
      </c>
    </row>
    <row r="159" spans="4:10">
      <c r="D159" s="107" t="s">
        <v>4698</v>
      </c>
      <c r="J159" s="107" t="s">
        <v>4942</v>
      </c>
    </row>
    <row r="160" spans="4:10">
      <c r="D160" s="107" t="s">
        <v>4699</v>
      </c>
    </row>
    <row r="161" spans="4:10">
      <c r="D161" s="107" t="s">
        <v>4700</v>
      </c>
    </row>
    <row r="162" spans="4:10">
      <c r="D162" s="107" t="s">
        <v>4701</v>
      </c>
      <c r="J162" s="107" t="s">
        <v>5335</v>
      </c>
    </row>
    <row r="163" spans="4:10">
      <c r="D163" s="107" t="s">
        <v>4702</v>
      </c>
    </row>
    <row r="164" spans="4:10">
      <c r="D164" s="107" t="s">
        <v>4703</v>
      </c>
      <c r="J164" s="107" t="s">
        <v>4942</v>
      </c>
    </row>
    <row r="165" spans="4:10">
      <c r="D165" s="107" t="s">
        <v>4704</v>
      </c>
      <c r="E165" s="107" t="s">
        <v>4787</v>
      </c>
      <c r="J165" s="107" t="s">
        <v>4942</v>
      </c>
    </row>
    <row r="166" spans="4:10">
      <c r="D166" s="107" t="s">
        <v>4705</v>
      </c>
      <c r="J166" s="107" t="s">
        <v>4906</v>
      </c>
    </row>
    <row r="167" spans="4:10">
      <c r="D167" s="107" t="s">
        <v>4936</v>
      </c>
      <c r="J167" s="107" t="s">
        <v>4934</v>
      </c>
    </row>
    <row r="168" spans="4:10">
      <c r="D168" s="107" t="s">
        <v>4706</v>
      </c>
    </row>
    <row r="169" spans="4:10">
      <c r="D169" s="107" t="s">
        <v>4707</v>
      </c>
    </row>
    <row r="170" spans="4:10">
      <c r="D170" s="107" t="s">
        <v>4720</v>
      </c>
      <c r="J170" s="107" t="s">
        <v>4906</v>
      </c>
    </row>
    <row r="171" spans="4:10">
      <c r="D171" s="107" t="s">
        <v>4708</v>
      </c>
    </row>
    <row r="172" spans="4:10">
      <c r="D172" s="107" t="s">
        <v>4709</v>
      </c>
    </row>
    <row r="173" spans="4:10">
      <c r="D173" s="107" t="s">
        <v>4710</v>
      </c>
      <c r="J173" s="107" t="s">
        <v>4906</v>
      </c>
    </row>
    <row r="174" spans="4:10">
      <c r="D174" s="107" t="s">
        <v>4711</v>
      </c>
      <c r="E174" s="107" t="s">
        <v>4714</v>
      </c>
    </row>
    <row r="175" spans="4:10">
      <c r="D175" s="107" t="s">
        <v>4712</v>
      </c>
      <c r="E175" s="107" t="s">
        <v>4713</v>
      </c>
      <c r="J175" s="107" t="s">
        <v>6090</v>
      </c>
    </row>
    <row r="176" spans="4:10">
      <c r="D176" s="107" t="s">
        <v>5354</v>
      </c>
      <c r="I176" s="25" t="s">
        <v>5355</v>
      </c>
      <c r="J176" s="107" t="s">
        <v>5353</v>
      </c>
    </row>
    <row r="177" spans="4:10">
      <c r="D177" s="107" t="s">
        <v>4716</v>
      </c>
      <c r="E177" s="107" t="s">
        <v>4904</v>
      </c>
      <c r="I177" s="25" t="s">
        <v>4902</v>
      </c>
      <c r="J177" s="107" t="s">
        <v>4944</v>
      </c>
    </row>
    <row r="178" spans="4:10">
      <c r="D178" s="107" t="s">
        <v>4717</v>
      </c>
    </row>
    <row r="179" spans="4:10">
      <c r="D179" s="107" t="s">
        <v>4718</v>
      </c>
    </row>
    <row r="180" spans="4:10">
      <c r="D180" s="107" t="s">
        <v>4719</v>
      </c>
    </row>
    <row r="181" spans="4:10">
      <c r="D181" s="107" t="s">
        <v>4721</v>
      </c>
    </row>
    <row r="182" spans="4:10">
      <c r="D182" s="107" t="s">
        <v>4722</v>
      </c>
      <c r="J182" s="107" t="s">
        <v>4906</v>
      </c>
    </row>
    <row r="183" spans="4:10">
      <c r="D183" s="107" t="s">
        <v>4724</v>
      </c>
    </row>
    <row r="184" spans="4:10">
      <c r="D184" s="107" t="s">
        <v>4725</v>
      </c>
    </row>
    <row r="185" spans="4:10">
      <c r="D185" s="107" t="s">
        <v>4726</v>
      </c>
    </row>
    <row r="186" spans="4:10">
      <c r="D186" s="107" t="s">
        <v>4727</v>
      </c>
    </row>
    <row r="187" spans="4:10">
      <c r="D187" s="107" t="s">
        <v>4728</v>
      </c>
    </row>
    <row r="188" spans="4:10">
      <c r="D188" s="107" t="s">
        <v>4729</v>
      </c>
      <c r="J188" s="107" t="s">
        <v>4906</v>
      </c>
    </row>
    <row r="189" spans="4:10">
      <c r="D189" s="107" t="s">
        <v>4730</v>
      </c>
    </row>
    <row r="190" spans="4:10">
      <c r="D190" s="107" t="s">
        <v>4731</v>
      </c>
      <c r="J190" s="107" t="s">
        <v>4942</v>
      </c>
    </row>
    <row r="191" spans="4:10">
      <c r="D191" s="107" t="s">
        <v>4732</v>
      </c>
      <c r="E191" s="107" t="s">
        <v>4781</v>
      </c>
      <c r="J191" s="107" t="s">
        <v>5332</v>
      </c>
    </row>
    <row r="192" spans="4:10">
      <c r="D192" s="107" t="s">
        <v>5334</v>
      </c>
      <c r="J192" s="107" t="s">
        <v>5332</v>
      </c>
    </row>
    <row r="193" spans="4:6">
      <c r="D193" s="107" t="s">
        <v>4733</v>
      </c>
    </row>
    <row r="194" spans="4:6">
      <c r="D194" s="107" t="s">
        <v>4734</v>
      </c>
      <c r="E194" s="107" t="s">
        <v>4777</v>
      </c>
    </row>
    <row r="195" spans="4:6">
      <c r="D195" s="107" t="s">
        <v>4735</v>
      </c>
    </row>
    <row r="196" spans="4:6">
      <c r="D196" s="107" t="s">
        <v>4736</v>
      </c>
      <c r="E196" s="107" t="s">
        <v>4777</v>
      </c>
    </row>
    <row r="197" spans="4:6">
      <c r="D197" s="107" t="s">
        <v>4737</v>
      </c>
      <c r="E197" s="107" t="s">
        <v>2928</v>
      </c>
    </row>
    <row r="198" spans="4:6">
      <c r="D198" s="107" t="s">
        <v>4738</v>
      </c>
      <c r="E198" s="107" t="s">
        <v>4778</v>
      </c>
    </row>
    <row r="199" spans="4:6">
      <c r="D199" s="107" t="s">
        <v>4739</v>
      </c>
      <c r="E199" s="107" t="s">
        <v>4774</v>
      </c>
    </row>
    <row r="200" spans="4:6">
      <c r="D200" s="107" t="s">
        <v>4740</v>
      </c>
      <c r="E200" s="107" t="s">
        <v>4782</v>
      </c>
    </row>
    <row r="201" spans="4:6">
      <c r="D201" s="107" t="s">
        <v>4741</v>
      </c>
      <c r="E201" s="107" t="s">
        <v>4742</v>
      </c>
    </row>
    <row r="202" spans="4:6">
      <c r="D202" s="107" t="s">
        <v>4743</v>
      </c>
      <c r="E202" s="107" t="s">
        <v>4778</v>
      </c>
      <c r="F202" s="107" t="s">
        <v>5348</v>
      </c>
    </row>
    <row r="203" spans="4:6">
      <c r="D203" s="107" t="s">
        <v>4744</v>
      </c>
      <c r="E203" s="107" t="s">
        <v>2928</v>
      </c>
    </row>
    <row r="204" spans="4:6">
      <c r="D204" s="107" t="s">
        <v>4745</v>
      </c>
    </row>
    <row r="205" spans="4:6">
      <c r="D205" s="107" t="s">
        <v>4746</v>
      </c>
      <c r="E205" s="107" t="s">
        <v>4781</v>
      </c>
    </row>
    <row r="206" spans="4:6">
      <c r="D206" s="107" t="s">
        <v>4747</v>
      </c>
      <c r="E206" s="107" t="s">
        <v>2928</v>
      </c>
    </row>
    <row r="207" spans="4:6">
      <c r="D207" s="107" t="s">
        <v>4748</v>
      </c>
      <c r="E207" s="107" t="s">
        <v>4777</v>
      </c>
    </row>
    <row r="208" spans="4:6">
      <c r="D208" s="107" t="s">
        <v>4749</v>
      </c>
      <c r="E208" s="107" t="s">
        <v>4773</v>
      </c>
    </row>
    <row r="209" spans="4:10">
      <c r="D209" s="107" t="s">
        <v>4750</v>
      </c>
      <c r="E209" s="107" t="s">
        <v>2928</v>
      </c>
    </row>
    <row r="210" spans="4:10">
      <c r="D210" s="107" t="s">
        <v>4751</v>
      </c>
      <c r="E210" s="107" t="s">
        <v>4791</v>
      </c>
    </row>
    <row r="211" spans="4:10">
      <c r="D211" s="107" t="s">
        <v>4752</v>
      </c>
    </row>
    <row r="212" spans="4:10">
      <c r="D212" s="107" t="s">
        <v>4753</v>
      </c>
      <c r="E212" s="107" t="s">
        <v>2928</v>
      </c>
    </row>
    <row r="213" spans="4:10">
      <c r="D213" s="107" t="s">
        <v>4754</v>
      </c>
    </row>
    <row r="214" spans="4:10">
      <c r="D214" s="107" t="s">
        <v>4755</v>
      </c>
      <c r="E214" s="107" t="s">
        <v>2928</v>
      </c>
    </row>
    <row r="215" spans="4:10">
      <c r="D215" s="107" t="s">
        <v>4756</v>
      </c>
      <c r="E215" s="107" t="s">
        <v>4783</v>
      </c>
    </row>
    <row r="216" spans="4:10">
      <c r="D216" s="107" t="s">
        <v>4757</v>
      </c>
    </row>
    <row r="217" spans="4:10">
      <c r="D217" s="107" t="s">
        <v>4758</v>
      </c>
    </row>
    <row r="218" spans="4:10">
      <c r="D218" s="107" t="s">
        <v>5337</v>
      </c>
      <c r="J218" s="107" t="s">
        <v>5338</v>
      </c>
    </row>
    <row r="219" spans="4:10">
      <c r="D219" s="107" t="s">
        <v>4809</v>
      </c>
      <c r="E219" s="107" t="s">
        <v>2928</v>
      </c>
    </row>
    <row r="220" spans="4:10">
      <c r="D220" s="107" t="s">
        <v>4759</v>
      </c>
    </row>
    <row r="221" spans="4:10">
      <c r="D221" s="107" t="s">
        <v>4951</v>
      </c>
      <c r="J221" s="277" t="s">
        <v>9441</v>
      </c>
    </row>
    <row r="222" spans="4:10">
      <c r="D222" s="107" t="s">
        <v>4964</v>
      </c>
      <c r="G222" s="128">
        <v>43125</v>
      </c>
      <c r="J222" s="107" t="s">
        <v>4965</v>
      </c>
    </row>
    <row r="223" spans="4:10">
      <c r="D223" s="107" t="s">
        <v>4760</v>
      </c>
      <c r="E223" s="107" t="s">
        <v>4791</v>
      </c>
    </row>
    <row r="224" spans="4:10">
      <c r="D224" s="107" t="s">
        <v>4761</v>
      </c>
      <c r="E224" s="107" t="s">
        <v>4781</v>
      </c>
    </row>
    <row r="225" spans="4:10">
      <c r="D225" s="107" t="s">
        <v>4762</v>
      </c>
      <c r="E225" s="107" t="s">
        <v>4801</v>
      </c>
    </row>
    <row r="226" spans="4:10">
      <c r="D226" s="107" t="s">
        <v>4763</v>
      </c>
      <c r="E226" s="107" t="s">
        <v>4781</v>
      </c>
    </row>
    <row r="227" spans="4:10">
      <c r="D227" s="107" t="s">
        <v>4764</v>
      </c>
      <c r="E227" s="107" t="s">
        <v>4810</v>
      </c>
    </row>
    <row r="228" spans="4:10">
      <c r="D228" s="107" t="s">
        <v>4765</v>
      </c>
      <c r="E228" s="107" t="s">
        <v>4810</v>
      </c>
    </row>
    <row r="229" spans="4:10">
      <c r="D229" s="107" t="s">
        <v>4766</v>
      </c>
      <c r="E229" s="107" t="s">
        <v>4781</v>
      </c>
      <c r="J229" s="107" t="s">
        <v>4906</v>
      </c>
    </row>
    <row r="230" spans="4:10">
      <c r="D230" s="107" t="s">
        <v>4767</v>
      </c>
    </row>
    <row r="231" spans="4:10">
      <c r="D231" s="107" t="s">
        <v>4768</v>
      </c>
    </row>
    <row r="232" spans="4:10">
      <c r="D232" s="107" t="s">
        <v>4769</v>
      </c>
      <c r="E232" s="107" t="s">
        <v>2928</v>
      </c>
      <c r="J232" s="107" t="s">
        <v>4906</v>
      </c>
    </row>
    <row r="233" spans="4:10">
      <c r="D233" s="107" t="s">
        <v>4770</v>
      </c>
      <c r="E233" s="107" t="s">
        <v>2928</v>
      </c>
    </row>
    <row r="234" spans="4:10">
      <c r="D234" s="107" t="s">
        <v>4771</v>
      </c>
      <c r="E234" s="107" t="s">
        <v>4801</v>
      </c>
    </row>
    <row r="235" spans="4:10">
      <c r="D235" s="107" t="s">
        <v>4772</v>
      </c>
      <c r="E235" s="107" t="s">
        <v>2928</v>
      </c>
    </row>
    <row r="236" spans="4:10">
      <c r="D236" s="107" t="s">
        <v>4775</v>
      </c>
      <c r="E236" s="107" t="s">
        <v>4773</v>
      </c>
    </row>
    <row r="237" spans="4:10">
      <c r="D237" s="107" t="s">
        <v>4776</v>
      </c>
      <c r="E237" s="107" t="s">
        <v>4773</v>
      </c>
    </row>
    <row r="238" spans="4:10">
      <c r="D238" s="107" t="s">
        <v>4784</v>
      </c>
      <c r="E238" s="107" t="s">
        <v>4797</v>
      </c>
    </row>
    <row r="239" spans="4:10">
      <c r="D239" s="107" t="s">
        <v>4788</v>
      </c>
      <c r="E239" s="107" t="s">
        <v>4789</v>
      </c>
    </row>
    <row r="240" spans="4:10">
      <c r="D240" s="107" t="s">
        <v>4792</v>
      </c>
      <c r="E240" s="107" t="s">
        <v>4793</v>
      </c>
    </row>
    <row r="241" spans="4:12">
      <c r="D241" s="107" t="s">
        <v>5320</v>
      </c>
      <c r="E241" s="107" t="s">
        <v>4532</v>
      </c>
      <c r="F241" s="107" t="s">
        <v>5321</v>
      </c>
      <c r="G241" s="126">
        <v>2022</v>
      </c>
      <c r="H241" s="126" t="s">
        <v>4632</v>
      </c>
      <c r="L241" s="107" t="s">
        <v>5322</v>
      </c>
    </row>
    <row r="242" spans="4:12">
      <c r="D242" s="107" t="s">
        <v>4794</v>
      </c>
      <c r="E242" s="107" t="s">
        <v>4787</v>
      </c>
      <c r="J242" s="107" t="s">
        <v>4944</v>
      </c>
    </row>
    <row r="243" spans="4:12">
      <c r="D243" s="107" t="s">
        <v>4795</v>
      </c>
      <c r="E243" s="107" t="s">
        <v>4796</v>
      </c>
    </row>
    <row r="244" spans="4:12">
      <c r="D244" s="107" t="s">
        <v>4798</v>
      </c>
      <c r="E244" s="107" t="s">
        <v>4799</v>
      </c>
    </row>
    <row r="245" spans="4:12">
      <c r="D245" s="107" t="s">
        <v>4804</v>
      </c>
      <c r="E245" s="107" t="s">
        <v>4805</v>
      </c>
    </row>
    <row r="246" spans="4:12">
      <c r="D246" s="107" t="s">
        <v>4806</v>
      </c>
      <c r="E246" s="107" t="s">
        <v>4807</v>
      </c>
    </row>
    <row r="247" spans="4:12">
      <c r="D247" s="107" t="s">
        <v>4808</v>
      </c>
    </row>
    <row r="248" spans="4:12">
      <c r="D248" s="107" t="s">
        <v>4812</v>
      </c>
      <c r="J248" s="107" t="s">
        <v>4906</v>
      </c>
    </row>
    <row r="249" spans="4:12">
      <c r="D249" s="107" t="s">
        <v>4813</v>
      </c>
      <c r="J249" s="236" t="s">
        <v>7863</v>
      </c>
    </row>
    <row r="250" spans="4:12">
      <c r="D250" s="107" t="s">
        <v>4814</v>
      </c>
      <c r="E250" s="107" t="s">
        <v>4815</v>
      </c>
    </row>
    <row r="251" spans="4:12">
      <c r="D251" s="107" t="s">
        <v>4816</v>
      </c>
      <c r="E251" s="107" t="s">
        <v>2456</v>
      </c>
    </row>
    <row r="252" spans="4:12">
      <c r="D252" s="107" t="s">
        <v>4818</v>
      </c>
      <c r="E252" s="107" t="s">
        <v>6066</v>
      </c>
    </row>
    <row r="253" spans="4:12">
      <c r="D253" s="107" t="s">
        <v>6067</v>
      </c>
      <c r="E253" s="107" t="s">
        <v>6068</v>
      </c>
    </row>
    <row r="254" spans="4:12">
      <c r="D254" s="107" t="s">
        <v>4819</v>
      </c>
      <c r="E254" s="107" t="s">
        <v>4820</v>
      </c>
    </row>
    <row r="255" spans="4:12">
      <c r="D255" s="107" t="s">
        <v>4821</v>
      </c>
      <c r="E255" s="107" t="s">
        <v>4820</v>
      </c>
    </row>
    <row r="256" spans="4:12">
      <c r="D256" s="107" t="s">
        <v>4822</v>
      </c>
      <c r="E256" s="107" t="s">
        <v>4820</v>
      </c>
    </row>
    <row r="257" spans="4:10">
      <c r="D257" s="107" t="s">
        <v>4823</v>
      </c>
      <c r="E257" s="107" t="s">
        <v>2082</v>
      </c>
      <c r="J257" s="236" t="s">
        <v>7860</v>
      </c>
    </row>
    <row r="258" spans="4:10">
      <c r="D258" s="107" t="s">
        <v>4824</v>
      </c>
      <c r="E258" s="107" t="s">
        <v>2082</v>
      </c>
    </row>
    <row r="259" spans="4:10">
      <c r="D259" s="107" t="s">
        <v>4825</v>
      </c>
      <c r="E259" s="107" t="s">
        <v>2082</v>
      </c>
    </row>
    <row r="260" spans="4:10">
      <c r="D260" s="107" t="s">
        <v>4826</v>
      </c>
      <c r="E260" s="107" t="s">
        <v>2082</v>
      </c>
    </row>
    <row r="261" spans="4:10">
      <c r="D261" s="107" t="s">
        <v>4827</v>
      </c>
      <c r="E261" s="107" t="s">
        <v>2082</v>
      </c>
      <c r="H261" s="126" t="s">
        <v>4906</v>
      </c>
      <c r="J261" s="236" t="s">
        <v>7860</v>
      </c>
    </row>
    <row r="262" spans="4:10">
      <c r="D262" s="107" t="s">
        <v>4828</v>
      </c>
      <c r="E262" s="107" t="s">
        <v>2082</v>
      </c>
    </row>
    <row r="263" spans="4:10">
      <c r="D263" s="107" t="s">
        <v>4829</v>
      </c>
      <c r="E263" s="107" t="s">
        <v>2082</v>
      </c>
    </row>
    <row r="264" spans="4:10">
      <c r="D264" s="107" t="s">
        <v>4830</v>
      </c>
      <c r="E264" s="107" t="s">
        <v>2451</v>
      </c>
    </row>
    <row r="265" spans="4:10">
      <c r="D265" s="107" t="s">
        <v>4831</v>
      </c>
      <c r="E265" s="107" t="s">
        <v>2451</v>
      </c>
      <c r="H265" s="126" t="s">
        <v>4906</v>
      </c>
    </row>
    <row r="266" spans="4:10">
      <c r="D266" s="107" t="s">
        <v>4832</v>
      </c>
      <c r="E266" s="107" t="s">
        <v>2451</v>
      </c>
    </row>
    <row r="267" spans="4:10">
      <c r="D267" s="107" t="s">
        <v>4833</v>
      </c>
    </row>
    <row r="268" spans="4:10">
      <c r="D268" s="107" t="s">
        <v>4912</v>
      </c>
      <c r="E268" s="107" t="s">
        <v>1545</v>
      </c>
      <c r="H268" s="126" t="s">
        <v>4906</v>
      </c>
    </row>
    <row r="269" spans="4:10">
      <c r="D269" s="107" t="s">
        <v>4911</v>
      </c>
      <c r="E269" s="107" t="s">
        <v>1545</v>
      </c>
      <c r="H269" s="126" t="s">
        <v>4906</v>
      </c>
    </row>
    <row r="270" spans="4:10">
      <c r="D270" s="107" t="s">
        <v>4917</v>
      </c>
      <c r="E270" s="107" t="s">
        <v>1545</v>
      </c>
      <c r="H270" s="126" t="s">
        <v>4944</v>
      </c>
    </row>
    <row r="271" spans="4:10">
      <c r="D271" s="107" t="s">
        <v>4920</v>
      </c>
      <c r="E271" s="107" t="s">
        <v>1545</v>
      </c>
      <c r="H271" s="126" t="s">
        <v>4906</v>
      </c>
    </row>
    <row r="272" spans="4:10">
      <c r="D272" s="107" t="s">
        <v>4923</v>
      </c>
      <c r="E272" s="107" t="s">
        <v>1545</v>
      </c>
      <c r="H272" s="126" t="s">
        <v>4906</v>
      </c>
    </row>
    <row r="273" spans="4:13">
      <c r="D273" s="107" t="s">
        <v>4925</v>
      </c>
      <c r="E273" s="107" t="s">
        <v>1545</v>
      </c>
      <c r="H273" s="126" t="s">
        <v>4906</v>
      </c>
    </row>
    <row r="274" spans="4:13">
      <c r="D274" s="107" t="s">
        <v>4926</v>
      </c>
      <c r="E274" s="107" t="s">
        <v>1545</v>
      </c>
      <c r="H274" s="126" t="s">
        <v>4906</v>
      </c>
    </row>
    <row r="275" spans="4:13">
      <c r="D275" s="107" t="s">
        <v>4927</v>
      </c>
      <c r="E275" s="107" t="s">
        <v>1545</v>
      </c>
      <c r="H275" s="126" t="s">
        <v>4906</v>
      </c>
    </row>
    <row r="276" spans="4:13">
      <c r="D276" s="107" t="s">
        <v>4929</v>
      </c>
      <c r="E276" s="107" t="s">
        <v>1545</v>
      </c>
      <c r="H276" s="126" t="s">
        <v>4906</v>
      </c>
    </row>
    <row r="277" spans="4:13">
      <c r="D277" s="107" t="s">
        <v>4931</v>
      </c>
      <c r="E277" s="107" t="s">
        <v>1545</v>
      </c>
      <c r="H277" s="126" t="s">
        <v>4906</v>
      </c>
    </row>
    <row r="278" spans="4:13">
      <c r="D278" s="107" t="s">
        <v>4932</v>
      </c>
      <c r="E278" s="107" t="s">
        <v>1545</v>
      </c>
      <c r="H278" s="126" t="s">
        <v>4906</v>
      </c>
    </row>
    <row r="279" spans="4:13">
      <c r="D279" s="107" t="s">
        <v>4941</v>
      </c>
      <c r="H279" s="126" t="s">
        <v>4942</v>
      </c>
    </row>
    <row r="280" spans="4:13">
      <c r="D280" s="107" t="s">
        <v>4943</v>
      </c>
      <c r="H280" s="126" t="s">
        <v>4942</v>
      </c>
    </row>
    <row r="281" spans="4:13">
      <c r="D281" s="107" t="s">
        <v>4945</v>
      </c>
      <c r="H281" s="126" t="s">
        <v>4942</v>
      </c>
    </row>
    <row r="282" spans="4:13">
      <c r="D282" s="107" t="s">
        <v>4947</v>
      </c>
      <c r="H282" s="126" t="s">
        <v>4942</v>
      </c>
    </row>
    <row r="283" spans="4:13">
      <c r="D283" s="107" t="s">
        <v>4948</v>
      </c>
      <c r="H283" s="126" t="s">
        <v>4942</v>
      </c>
    </row>
    <row r="284" spans="4:13">
      <c r="D284" s="277" t="s">
        <v>3651</v>
      </c>
      <c r="G284" s="126">
        <v>2019</v>
      </c>
      <c r="H284" s="126">
        <v>2019</v>
      </c>
      <c r="M284" s="107" t="s">
        <v>9442</v>
      </c>
    </row>
    <row r="285" spans="4:13">
      <c r="D285" s="107" t="s">
        <v>4949</v>
      </c>
      <c r="G285" s="126">
        <v>2019</v>
      </c>
      <c r="H285" s="126">
        <v>2020</v>
      </c>
      <c r="M285" s="277" t="s">
        <v>9443</v>
      </c>
    </row>
    <row r="286" spans="4:13">
      <c r="D286" s="107" t="s">
        <v>4950</v>
      </c>
      <c r="H286" s="126" t="s">
        <v>4942</v>
      </c>
    </row>
    <row r="287" spans="4:13">
      <c r="D287" s="107" t="s">
        <v>4952</v>
      </c>
      <c r="H287" s="126" t="s">
        <v>4942</v>
      </c>
    </row>
    <row r="288" spans="4:13">
      <c r="D288" s="236" t="s">
        <v>7857</v>
      </c>
      <c r="J288" s="236" t="s">
        <v>7858</v>
      </c>
    </row>
    <row r="289" spans="4:13">
      <c r="D289" s="107" t="s">
        <v>4908</v>
      </c>
      <c r="E289" s="107" t="s">
        <v>4910</v>
      </c>
      <c r="H289" s="126" t="s">
        <v>4946</v>
      </c>
    </row>
    <row r="290" spans="4:13">
      <c r="D290" s="107" t="s">
        <v>4913</v>
      </c>
      <c r="E290" s="107" t="s">
        <v>4910</v>
      </c>
      <c r="H290" s="126" t="s">
        <v>4909</v>
      </c>
    </row>
    <row r="291" spans="4:13">
      <c r="D291" s="107" t="s">
        <v>4921</v>
      </c>
      <c r="E291" s="107" t="s">
        <v>4910</v>
      </c>
      <c r="H291" s="126" t="s">
        <v>4946</v>
      </c>
    </row>
    <row r="292" spans="4:13">
      <c r="D292" s="107" t="s">
        <v>4922</v>
      </c>
      <c r="E292" s="107" t="s">
        <v>4910</v>
      </c>
      <c r="G292" s="126">
        <v>2019</v>
      </c>
      <c r="H292" s="126">
        <v>2019</v>
      </c>
      <c r="M292" s="107" t="s">
        <v>9442</v>
      </c>
    </row>
    <row r="293" spans="4:13">
      <c r="D293" s="107" t="s">
        <v>4915</v>
      </c>
      <c r="E293" s="107" t="s">
        <v>4916</v>
      </c>
    </row>
    <row r="294" spans="4:13">
      <c r="D294" s="236" t="s">
        <v>7864</v>
      </c>
      <c r="J294" s="236" t="s">
        <v>7861</v>
      </c>
    </row>
    <row r="295" spans="4:13">
      <c r="D295" s="236" t="s">
        <v>7865</v>
      </c>
    </row>
    <row r="296" spans="4:13">
      <c r="D296" s="107" t="s">
        <v>4958</v>
      </c>
      <c r="E296" s="107" t="s">
        <v>4960</v>
      </c>
      <c r="G296" s="128">
        <v>42879</v>
      </c>
      <c r="I296" s="25"/>
      <c r="J296" s="107" t="s">
        <v>4961</v>
      </c>
      <c r="K296" s="25" t="s">
        <v>4959</v>
      </c>
    </row>
    <row r="297" spans="4:13">
      <c r="D297" s="386" t="s">
        <v>9604</v>
      </c>
      <c r="E297" s="386" t="s">
        <v>9605</v>
      </c>
    </row>
    <row r="298" spans="4:13">
      <c r="D298" s="386" t="s">
        <v>9606</v>
      </c>
      <c r="E298" s="386" t="s">
        <v>9605</v>
      </c>
    </row>
  </sheetData>
  <hyperlinks>
    <hyperlink ref="I8" r:id="rId1" xr:uid="{798ED00F-DFA6-4EE1-9257-9C35EF3FC55A}"/>
    <hyperlink ref="I177" r:id="rId2" xr:uid="{D544E45F-95B2-49E7-8409-133EF4A58ABE}"/>
    <hyperlink ref="I49" r:id="rId3" xr:uid="{EDBB7E11-A5BA-46C9-85EF-DF3E3C3D7D1A}"/>
    <hyperlink ref="I46" r:id="rId4" xr:uid="{9094A79A-04AF-4419-A574-9CA4960D5A88}"/>
    <hyperlink ref="I142" r:id="rId5" display="hee-woo@openai.com" xr:uid="{02197E27-4CCD-4B89-AF6C-5E128A03AAC4}"/>
    <hyperlink ref="I41" r:id="rId6" xr:uid="{771325DD-69DE-4DEB-8C96-996AF3F476E5}"/>
    <hyperlink ref="I38" r:id="rId7" display="alex@openai.com" xr:uid="{559FAF39-EA61-4923-8B27-0FB8E40F8C7D}"/>
    <hyperlink ref="I7" r:id="rId8" xr:uid="{573A50BF-AB4D-4EBA-A8C3-E395FFF9E9D7}"/>
    <hyperlink ref="I23" r:id="rId9" xr:uid="{426FBAF9-D10A-4EF4-8EF7-CA43E0DFF84A}"/>
    <hyperlink ref="K23" r:id="rId10" xr:uid="{D7116D52-7415-4DC8-BCCF-2CA8627E9F42}"/>
    <hyperlink ref="K7" r:id="rId11" xr:uid="{1B7A4A39-EE9E-435B-977C-105C0B04051B}"/>
    <hyperlink ref="K36" r:id="rId12" xr:uid="{D411BB9B-6963-4139-A89D-E8219F9D9691}"/>
    <hyperlink ref="A1" location="Main!A1" display="Main" xr:uid="{451B8011-1F05-4B9E-80AB-3D74F1846F2B}"/>
    <hyperlink ref="K38" r:id="rId13" xr:uid="{B061B28B-C3DD-2D45-ACFD-908D38C17E0E}"/>
    <hyperlink ref="K24" r:id="rId14" xr:uid="{DB010C7E-CEBC-9145-A4E7-99263CF85B6F}"/>
    <hyperlink ref="I24" r:id="rId15" xr:uid="{FC04CD60-00DA-0F4B-9DFA-2200D7963CFC}"/>
    <hyperlink ref="I25" r:id="rId16" xr:uid="{8A4FB973-B9C1-0B41-934A-EADE81762CDF}"/>
    <hyperlink ref="K25" r:id="rId17" xr:uid="{0B081C15-7170-D845-A18F-29C57496B907}"/>
    <hyperlink ref="I32" r:id="rId18" display="alec.radford@gmail.com" xr:uid="{344D682A-4905-124C-A259-5E531D5E8CDE}"/>
    <hyperlink ref="K32" r:id="rId19" xr:uid="{873F6252-94EC-7E42-A282-0D32AC8DE45E}"/>
    <hyperlink ref="I9" r:id="rId20" xr:uid="{F879B4A3-0B18-144F-B18B-46E62B99F82C}"/>
    <hyperlink ref="I18" r:id="rId21" xr:uid="{67636BE2-FE4A-AE45-BDA6-80637EF54833}"/>
    <hyperlink ref="I176" r:id="rId22" xr:uid="{5C0A5878-5971-E54A-8182-BA562BAF716B}"/>
    <hyperlink ref="J38" r:id="rId23" xr:uid="{27854B00-5825-4B85-8CED-9EC8E5C0F5A4}"/>
    <hyperlink ref="J59" r:id="rId24" display="https://twitter.com/mobav0?lang=en" xr:uid="{23DE7B11-6680-46C4-B467-078198C01E1C}"/>
    <hyperlink ref="J91" r:id="rId25" display="https://bmk.sh/" xr:uid="{5FCB4286-6FDC-473E-9C04-C88A521186AF}"/>
    <hyperlink ref="K91" r:id="rId26" xr:uid="{846FFB69-EA69-4C0C-8CF7-82E4E7CF2D4A}"/>
    <hyperlink ref="J66" r:id="rId27" xr:uid="{6BCB60AC-494A-44B9-B38E-93CEC7EA6CAA}"/>
    <hyperlink ref="K66" r:id="rId28" xr:uid="{F5DC8D0B-8B73-48F9-8511-AC5E5D410309}"/>
    <hyperlink ref="I58" r:id="rId29" xr:uid="{B014EC1E-A044-474A-9C75-15DD07DB9671}"/>
    <hyperlink ref="J40" r:id="rId30" display="https://twitter.com/mpetrov?lang=en" xr:uid="{96DA0531-85E6-4E47-99A3-2CB35498FB24}"/>
    <hyperlink ref="K45" r:id="rId31" xr:uid="{18FB2407-E806-2D4B-9310-03A5ECF72036}"/>
    <hyperlink ref="J83" r:id="rId32" xr:uid="{4CE9AD53-D894-2C4F-8581-58A57D32D4B3}"/>
    <hyperlink ref="J79" r:id="rId33" xr:uid="{413F5259-C1EC-1B4B-9A79-1B4079FA2979}"/>
    <hyperlink ref="K79" r:id="rId34" xr:uid="{7639B64D-2AFA-A245-B703-015C668209FE}"/>
    <hyperlink ref="I79" r:id="rId35" xr:uid="{E963C412-645B-A749-BE0A-E93B0401EC2E}"/>
    <hyperlink ref="I19" r:id="rId36" xr:uid="{1C58FC6A-380B-2B4F-919C-3C5CEED925E9}"/>
    <hyperlink ref="I27" r:id="rId37" xr:uid="{3D5FE224-869D-564E-86C8-9D21AEFF927A}"/>
    <hyperlink ref="I59" r:id="rId38" xr:uid="{A7ECCF4C-395F-9048-9B7B-74E2DB3A76B2}"/>
    <hyperlink ref="I47" r:id="rId39" xr:uid="{E00DE401-E037-1141-947C-998CE006D5D0}"/>
  </hyperlinks>
  <pageMargins left="0.7" right="0.7" top="0.75" bottom="0.75" header="0.3" footer="0.3"/>
  <pageSetup orientation="portrait" r:id="rId40"/>
  <legacyDrawing r:id="rId4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baseColWidth="10" defaultColWidth="10.83203125" defaultRowHeight="13"/>
  <cols>
    <col min="1" max="1" width="4.83203125" style="95" bestFit="1" customWidth="1"/>
    <col min="2" max="2" width="16.33203125" style="95" bestFit="1" customWidth="1"/>
    <col min="3" max="16384" width="10.83203125" style="95"/>
  </cols>
  <sheetData>
    <row r="1" spans="1:11">
      <c r="A1" s="25" t="s">
        <v>1165</v>
      </c>
    </row>
    <row r="2" spans="1:11">
      <c r="A2" s="25"/>
      <c r="B2" s="161" t="s">
        <v>3978</v>
      </c>
      <c r="C2" s="161" t="s">
        <v>6562</v>
      </c>
      <c r="D2" s="161" t="s">
        <v>4630</v>
      </c>
      <c r="E2" s="161" t="s">
        <v>4613</v>
      </c>
      <c r="F2" s="161" t="s">
        <v>4493</v>
      </c>
      <c r="G2" s="161" t="s">
        <v>4631</v>
      </c>
      <c r="H2" s="161" t="s">
        <v>1150</v>
      </c>
      <c r="I2" s="161" t="s">
        <v>4954</v>
      </c>
      <c r="J2" s="161" t="s">
        <v>2290</v>
      </c>
      <c r="K2" s="161" t="s">
        <v>4226</v>
      </c>
    </row>
    <row r="3" spans="1:11">
      <c r="A3" s="25"/>
      <c r="B3" s="277" t="s">
        <v>8228</v>
      </c>
      <c r="C3" s="161"/>
      <c r="D3" s="161"/>
      <c r="E3" s="161"/>
      <c r="F3" s="161"/>
      <c r="G3" s="25" t="s">
        <v>8229</v>
      </c>
      <c r="H3" s="161"/>
      <c r="I3" s="161"/>
      <c r="J3" s="161"/>
      <c r="K3" s="161"/>
    </row>
    <row r="4" spans="1:11">
      <c r="A4" s="25"/>
      <c r="B4" s="161"/>
      <c r="C4" s="161"/>
      <c r="D4" s="161"/>
      <c r="E4" s="161"/>
      <c r="F4" s="161"/>
      <c r="G4" s="161"/>
      <c r="H4" s="161"/>
      <c r="I4" s="161"/>
      <c r="J4" s="161"/>
      <c r="K4" s="161"/>
    </row>
    <row r="5" spans="1:11">
      <c r="B5" s="95" t="s">
        <v>5450</v>
      </c>
      <c r="K5" s="161" t="s">
        <v>6564</v>
      </c>
    </row>
    <row r="6" spans="1:11">
      <c r="B6" s="95" t="s">
        <v>5451</v>
      </c>
      <c r="K6" s="161" t="s">
        <v>6564</v>
      </c>
    </row>
    <row r="7" spans="1:11">
      <c r="B7" s="95" t="s">
        <v>5452</v>
      </c>
      <c r="K7" s="161" t="s">
        <v>6564</v>
      </c>
    </row>
    <row r="8" spans="1:11">
      <c r="B8" s="95" t="s">
        <v>5453</v>
      </c>
      <c r="K8" s="161" t="s">
        <v>6564</v>
      </c>
    </row>
    <row r="9" spans="1:11">
      <c r="B9" s="95" t="s">
        <v>5454</v>
      </c>
      <c r="K9" s="161" t="s">
        <v>6564</v>
      </c>
    </row>
    <row r="10" spans="1:11">
      <c r="B10" s="161" t="s">
        <v>6563</v>
      </c>
      <c r="K10" s="161" t="s">
        <v>6565</v>
      </c>
    </row>
    <row r="11" spans="1:11">
      <c r="B11" s="161" t="s">
        <v>6566</v>
      </c>
      <c r="K11" s="161" t="s">
        <v>6565</v>
      </c>
    </row>
    <row r="12" spans="1:11">
      <c r="B12" s="161" t="s">
        <v>6567</v>
      </c>
      <c r="K12" s="161" t="s">
        <v>6565</v>
      </c>
    </row>
    <row r="13" spans="1:11">
      <c r="B13" s="161" t="s">
        <v>6568</v>
      </c>
      <c r="K13" s="161" t="s">
        <v>6565</v>
      </c>
    </row>
    <row r="14" spans="1:11">
      <c r="B14" s="161" t="s">
        <v>6569</v>
      </c>
      <c r="K14" s="161" t="s">
        <v>6565</v>
      </c>
    </row>
    <row r="15" spans="1:11">
      <c r="B15" s="161" t="s">
        <v>6570</v>
      </c>
      <c r="K15" s="161" t="s">
        <v>6565</v>
      </c>
    </row>
    <row r="16" spans="1:11">
      <c r="B16" s="161" t="s">
        <v>6571</v>
      </c>
      <c r="K16" s="161" t="s">
        <v>6565</v>
      </c>
    </row>
    <row r="17" spans="2:11">
      <c r="B17" s="161" t="s">
        <v>6572</v>
      </c>
      <c r="K17" s="161" t="s">
        <v>6565</v>
      </c>
    </row>
    <row r="18" spans="2:11">
      <c r="B18" s="161" t="s">
        <v>6573</v>
      </c>
      <c r="K18" s="161" t="s">
        <v>6565</v>
      </c>
    </row>
    <row r="19" spans="2:11">
      <c r="B19" s="161" t="s">
        <v>6574</v>
      </c>
      <c r="K19" s="161" t="s">
        <v>6565</v>
      </c>
    </row>
    <row r="20" spans="2:11">
      <c r="B20" s="161" t="s">
        <v>6575</v>
      </c>
      <c r="K20" s="161" t="s">
        <v>6565</v>
      </c>
    </row>
    <row r="21" spans="2:11">
      <c r="B21" s="199" t="s">
        <v>7044</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heetViews>
  <sheetFormatPr baseColWidth="10" defaultColWidth="10.83203125" defaultRowHeight="13"/>
  <cols>
    <col min="1" max="1" width="4.83203125" style="277" bestFit="1" customWidth="1"/>
    <col min="2" max="16384" width="10.83203125" style="277"/>
  </cols>
  <sheetData>
    <row r="1" spans="1:1">
      <c r="A1" s="277" t="s">
        <v>1165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baseColWidth="10" defaultColWidth="10.83203125" defaultRowHeight="13"/>
  <cols>
    <col min="1" max="1" width="4.83203125" style="95" bestFit="1" customWidth="1"/>
    <col min="2" max="2" width="17.6640625" style="95" bestFit="1" customWidth="1"/>
    <col min="3" max="16384" width="10.83203125" style="95"/>
  </cols>
  <sheetData>
    <row r="1" spans="1:5">
      <c r="A1" s="25" t="s">
        <v>1165</v>
      </c>
    </row>
    <row r="2" spans="1:5">
      <c r="A2" s="25"/>
      <c r="B2" s="277" t="s">
        <v>8239</v>
      </c>
    </row>
    <row r="3" spans="1:5">
      <c r="A3" s="25"/>
      <c r="B3" s="95" t="s">
        <v>8240</v>
      </c>
    </row>
    <row r="4" spans="1:5">
      <c r="A4" s="25"/>
      <c r="B4" s="95" t="s">
        <v>8241</v>
      </c>
      <c r="E4" s="95" t="s">
        <v>8933</v>
      </c>
    </row>
    <row r="5" spans="1:5">
      <c r="A5" s="25"/>
      <c r="B5" s="142" t="s">
        <v>4225</v>
      </c>
    </row>
    <row r="6" spans="1:5">
      <c r="B6" s="95" t="s">
        <v>5959</v>
      </c>
      <c r="C6" s="95" t="s">
        <v>5960</v>
      </c>
    </row>
    <row r="7" spans="1:5">
      <c r="B7" s="95" t="s">
        <v>5974</v>
      </c>
      <c r="C7" s="95" t="s">
        <v>5975</v>
      </c>
    </row>
    <row r="8" spans="1:5">
      <c r="B8" s="95" t="s">
        <v>5962</v>
      </c>
      <c r="C8" s="95" t="s">
        <v>5963</v>
      </c>
    </row>
    <row r="9" spans="1:5">
      <c r="B9" s="95" t="s">
        <v>5976</v>
      </c>
      <c r="C9" s="95" t="s">
        <v>5977</v>
      </c>
    </row>
    <row r="10" spans="1:5">
      <c r="B10" s="95" t="s">
        <v>5985</v>
      </c>
    </row>
    <row r="11" spans="1:5">
      <c r="B11" s="95" t="s">
        <v>5972</v>
      </c>
      <c r="C11" s="95" t="s">
        <v>5973</v>
      </c>
    </row>
    <row r="12" spans="1:5">
      <c r="B12" s="95" t="s">
        <v>5969</v>
      </c>
      <c r="C12" s="95" t="s">
        <v>5970</v>
      </c>
    </row>
    <row r="13" spans="1:5">
      <c r="B13" s="95" t="s">
        <v>5967</v>
      </c>
      <c r="C13" s="95" t="s">
        <v>5968</v>
      </c>
    </row>
    <row r="14" spans="1:5">
      <c r="B14" s="95" t="s">
        <v>5979</v>
      </c>
      <c r="C14" s="95" t="s">
        <v>5980</v>
      </c>
    </row>
    <row r="15" spans="1:5">
      <c r="B15" s="95" t="s">
        <v>5984</v>
      </c>
    </row>
    <row r="16" spans="1:5">
      <c r="B16" s="95" t="s">
        <v>5955</v>
      </c>
      <c r="C16" s="95" t="s">
        <v>5956</v>
      </c>
    </row>
    <row r="17" spans="2:3">
      <c r="B17" s="95" t="s">
        <v>5981</v>
      </c>
      <c r="C17" s="95" t="s">
        <v>5982</v>
      </c>
    </row>
    <row r="18" spans="2:3">
      <c r="B18" s="95" t="s">
        <v>5965</v>
      </c>
      <c r="C18" s="95" t="s">
        <v>5966</v>
      </c>
    </row>
    <row r="19" spans="2:3">
      <c r="B19" s="95" t="s">
        <v>5961</v>
      </c>
      <c r="C19" s="95" t="s">
        <v>5964</v>
      </c>
    </row>
    <row r="20" spans="2:3">
      <c r="B20" s="95" t="s">
        <v>5950</v>
      </c>
      <c r="C20" s="95" t="s">
        <v>5951</v>
      </c>
    </row>
    <row r="21" spans="2:3">
      <c r="B21" s="95" t="s">
        <v>5983</v>
      </c>
    </row>
    <row r="22" spans="2:3">
      <c r="B22" s="236" t="s">
        <v>7651</v>
      </c>
    </row>
    <row r="23" spans="2:3">
      <c r="B23" s="95" t="s">
        <v>5958</v>
      </c>
      <c r="C23" s="95" t="s">
        <v>5953</v>
      </c>
    </row>
    <row r="24" spans="2:3">
      <c r="B24" s="95" t="s">
        <v>5957</v>
      </c>
      <c r="C24" s="95" t="s">
        <v>5978</v>
      </c>
    </row>
    <row r="25" spans="2:3">
      <c r="B25" s="95" t="s">
        <v>5952</v>
      </c>
      <c r="C25" s="95" t="s">
        <v>5954</v>
      </c>
    </row>
    <row r="30" spans="2:3" ht="16">
      <c r="B30"/>
    </row>
    <row r="31" spans="2:3">
      <c r="B31" s="236" t="s">
        <v>7647</v>
      </c>
    </row>
    <row r="32" spans="2:3">
      <c r="B32" s="236" t="s">
        <v>7648</v>
      </c>
    </row>
    <row r="34" spans="2:2" ht="16">
      <c r="B34"/>
    </row>
    <row r="36" spans="2:2">
      <c r="B36" s="236" t="s">
        <v>7649</v>
      </c>
    </row>
    <row r="37" spans="2:2">
      <c r="B37" s="236" t="s">
        <v>7650</v>
      </c>
    </row>
    <row r="39" spans="2:2" ht="16">
      <c r="B39"/>
    </row>
    <row r="42" spans="2:2">
      <c r="B42" s="236" t="s">
        <v>7652</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369"/>
  <sheetViews>
    <sheetView zoomScale="130" zoomScaleNormal="130" workbookViewId="0">
      <pane xSplit="2" ySplit="2" topLeftCell="C2414" activePane="bottomRight" state="frozen"/>
      <selection pane="topRight" activeCell="C1" sqref="C1"/>
      <selection pane="bottomLeft" activeCell="A3" sqref="A3"/>
      <selection pane="bottomRight" activeCell="J2426" sqref="J2426"/>
    </sheetView>
  </sheetViews>
  <sheetFormatPr baseColWidth="10" defaultColWidth="9.1640625" defaultRowHeight="13"/>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c r="A1" s="25" t="s">
        <v>1165</v>
      </c>
      <c r="B1" s="91"/>
      <c r="I1" s="1" t="s">
        <v>1164</v>
      </c>
      <c r="J1" s="1" t="s">
        <v>1163</v>
      </c>
      <c r="K1" s="1" t="s">
        <v>1162</v>
      </c>
      <c r="M1" s="402">
        <f>AVERAGE(E37,E858,E1186,E1458,E1577,E1584,E1585,E1808,E1857,E1890,E2250)</f>
        <v>1.4611038961038962</v>
      </c>
      <c r="N1" s="3">
        <f>AVERAGE(E5,E7,E30,E35,E65,E73,E79,E101,E104,E105,E200,E219,E220,E297,E299,E345,E346,E348,E350,E359,E360,E391,E398,E400,E403,E424,E451,E454,E458,E461,E462)</f>
        <v>10.670967741935486</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59" t="s">
        <v>1149</v>
      </c>
      <c r="C3" s="13" t="s">
        <v>969</v>
      </c>
      <c r="D3" s="13" t="s">
        <v>968</v>
      </c>
      <c r="E3" s="15"/>
      <c r="F3" s="15">
        <f>SUM(F4:F21)</f>
        <v>2160.6666666666665</v>
      </c>
      <c r="G3" s="14">
        <f>G21</f>
        <v>45125</v>
      </c>
      <c r="I3" s="24" t="s">
        <v>1</v>
      </c>
      <c r="J3" s="13" t="s">
        <v>1</v>
      </c>
      <c r="K3" s="13" t="s">
        <v>1</v>
      </c>
    </row>
    <row r="4" spans="1:19">
      <c r="B4" s="260" t="s">
        <v>7062</v>
      </c>
      <c r="C4" s="2" t="s">
        <v>7</v>
      </c>
      <c r="D4" s="2" t="s">
        <v>1148</v>
      </c>
      <c r="E4" s="3">
        <v>140</v>
      </c>
      <c r="F4" s="3">
        <v>100</v>
      </c>
      <c r="G4" s="4">
        <v>44363</v>
      </c>
      <c r="I4" s="176" t="s">
        <v>7057</v>
      </c>
      <c r="J4" s="176" t="s">
        <v>7065</v>
      </c>
    </row>
    <row r="5" spans="1:19">
      <c r="B5" s="254" t="s">
        <v>7792</v>
      </c>
      <c r="C5" s="2" t="s">
        <v>4</v>
      </c>
      <c r="D5" s="2" t="s">
        <v>632</v>
      </c>
      <c r="E5" s="3">
        <v>3</v>
      </c>
      <c r="F5" s="3">
        <v>1</v>
      </c>
      <c r="G5" s="4">
        <v>44539</v>
      </c>
      <c r="I5" s="176" t="s">
        <v>7058</v>
      </c>
      <c r="J5" s="176" t="s">
        <v>7066</v>
      </c>
    </row>
    <row r="6" spans="1:19">
      <c r="C6" s="2" t="s">
        <v>18</v>
      </c>
      <c r="D6" s="2" t="s">
        <v>599</v>
      </c>
      <c r="E6" s="3">
        <v>125</v>
      </c>
      <c r="F6" s="3">
        <v>50</v>
      </c>
      <c r="G6" s="4">
        <v>44663</v>
      </c>
      <c r="I6" s="176" t="s">
        <v>7061</v>
      </c>
      <c r="J6" s="176" t="s">
        <v>7067</v>
      </c>
    </row>
    <row r="7" spans="1:19">
      <c r="C7" s="2" t="s">
        <v>4</v>
      </c>
      <c r="D7" s="2" t="s">
        <v>439</v>
      </c>
      <c r="E7" s="3">
        <v>7</v>
      </c>
      <c r="F7" s="3">
        <v>1.5</v>
      </c>
      <c r="G7" s="4">
        <v>44602</v>
      </c>
      <c r="I7" s="176" t="s">
        <v>7063</v>
      </c>
      <c r="J7" s="176" t="s">
        <v>7068</v>
      </c>
    </row>
    <row r="8" spans="1:19">
      <c r="C8" s="2" t="s">
        <v>7</v>
      </c>
      <c r="D8" s="2" t="s">
        <v>431</v>
      </c>
      <c r="E8" s="3">
        <v>93</v>
      </c>
      <c r="F8" s="3">
        <v>83</v>
      </c>
      <c r="G8" s="4">
        <v>43018</v>
      </c>
      <c r="I8" s="176" t="s">
        <v>7064</v>
      </c>
      <c r="J8" s="176" t="s">
        <v>7069</v>
      </c>
    </row>
    <row r="9" spans="1:19">
      <c r="C9" s="2" t="s">
        <v>8</v>
      </c>
      <c r="D9" s="2" t="s">
        <v>253</v>
      </c>
      <c r="E9" s="3">
        <v>600</v>
      </c>
      <c r="F9" s="3">
        <f>500/8</f>
        <v>62.5</v>
      </c>
      <c r="G9" s="4">
        <v>44502</v>
      </c>
      <c r="I9" s="274" t="s">
        <v>8900</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1">
        <v>4400</v>
      </c>
      <c r="J12" s="1">
        <v>500</v>
      </c>
    </row>
    <row r="13" spans="1:19">
      <c r="C13" s="2" t="s">
        <v>5</v>
      </c>
      <c r="D13" s="2" t="s">
        <v>208</v>
      </c>
      <c r="E13" s="3">
        <v>56</v>
      </c>
      <c r="F13" s="3">
        <v>20</v>
      </c>
      <c r="G13" s="4">
        <v>43174</v>
      </c>
      <c r="J13" s="1">
        <v>500</v>
      </c>
    </row>
    <row r="14" spans="1:19">
      <c r="C14" s="2" t="s">
        <v>9</v>
      </c>
      <c r="D14" s="2" t="s">
        <v>148</v>
      </c>
      <c r="E14" s="3">
        <v>300</v>
      </c>
      <c r="F14" s="6" t="s">
        <v>1047</v>
      </c>
      <c r="G14" s="4">
        <v>44271</v>
      </c>
    </row>
    <row r="15" spans="1:19">
      <c r="C15" s="2" t="s">
        <v>18</v>
      </c>
      <c r="D15" s="2" t="s">
        <v>192</v>
      </c>
      <c r="E15" s="3">
        <v>235</v>
      </c>
      <c r="F15" s="6">
        <v>75</v>
      </c>
      <c r="G15" s="4">
        <v>44384</v>
      </c>
    </row>
    <row r="16" spans="1:19">
      <c r="C16" s="2" t="s">
        <v>9</v>
      </c>
      <c r="D16" s="2" t="s">
        <v>52</v>
      </c>
      <c r="E16" s="3">
        <v>220</v>
      </c>
      <c r="F16" s="6">
        <v>80</v>
      </c>
      <c r="G16" s="4">
        <v>44357</v>
      </c>
      <c r="I16" s="1">
        <v>1900</v>
      </c>
      <c r="J16" s="1">
        <v>1900</v>
      </c>
    </row>
    <row r="17" spans="1:18">
      <c r="C17" s="55" t="s">
        <v>8</v>
      </c>
      <c r="D17" s="55" t="s">
        <v>2109</v>
      </c>
      <c r="E17" s="3">
        <v>110</v>
      </c>
      <c r="F17" s="6">
        <v>40</v>
      </c>
      <c r="G17" s="4">
        <v>44567</v>
      </c>
      <c r="I17" s="1">
        <v>790</v>
      </c>
      <c r="J17" s="1">
        <v>790</v>
      </c>
    </row>
    <row r="18" spans="1:18">
      <c r="C18" s="92" t="s">
        <v>18</v>
      </c>
      <c r="D18" s="92" t="s">
        <v>5230</v>
      </c>
      <c r="E18" s="3">
        <v>115</v>
      </c>
      <c r="F18" s="6">
        <v>100</v>
      </c>
      <c r="G18" s="4">
        <v>44469</v>
      </c>
    </row>
    <row r="19" spans="1:18">
      <c r="C19" s="92" t="s">
        <v>18</v>
      </c>
      <c r="D19" s="92" t="s">
        <v>2072</v>
      </c>
      <c r="E19" s="3">
        <v>65</v>
      </c>
      <c r="F19" s="6">
        <v>35</v>
      </c>
      <c r="G19" s="4">
        <v>44644</v>
      </c>
      <c r="I19" s="1">
        <v>500</v>
      </c>
      <c r="J19" s="1">
        <v>500</v>
      </c>
    </row>
    <row r="20" spans="1:18">
      <c r="C20" s="265" t="s">
        <v>1</v>
      </c>
      <c r="D20" s="265" t="s">
        <v>3931</v>
      </c>
      <c r="E20" s="3">
        <v>1200</v>
      </c>
      <c r="F20" s="6">
        <f>E20/4</f>
        <v>300</v>
      </c>
      <c r="G20" s="4">
        <v>43592</v>
      </c>
    </row>
    <row r="21" spans="1:18">
      <c r="C21" s="335" t="s">
        <v>9</v>
      </c>
      <c r="D21" s="335" t="s">
        <v>8309</v>
      </c>
      <c r="E21" s="3">
        <v>65</v>
      </c>
      <c r="F21" s="6">
        <f>E21/3</f>
        <v>21.666666666666668</v>
      </c>
      <c r="G21" s="4">
        <v>45125</v>
      </c>
    </row>
    <row r="22" spans="1:18">
      <c r="G22" s="4"/>
    </row>
    <row r="23" spans="1:18" s="12" customFormat="1">
      <c r="A23" s="12">
        <v>2</v>
      </c>
      <c r="B23" s="12" t="s">
        <v>1147</v>
      </c>
      <c r="C23" s="13" t="s">
        <v>969</v>
      </c>
      <c r="D23" s="13" t="s">
        <v>968</v>
      </c>
      <c r="E23" s="15"/>
      <c r="F23" s="15">
        <f>SUM(F24:F55)</f>
        <v>2100.7673395445136</v>
      </c>
      <c r="G23" s="14">
        <f>G52</f>
        <v>45183</v>
      </c>
      <c r="I23" s="12" t="s">
        <v>1</v>
      </c>
      <c r="J23" s="12" t="s">
        <v>1</v>
      </c>
      <c r="K23" s="12" t="s">
        <v>1</v>
      </c>
      <c r="M23" s="15">
        <f>SUM(F37)</f>
        <v>1.5</v>
      </c>
      <c r="N23" s="15">
        <f>SUM(F30,F35)</f>
        <v>16</v>
      </c>
      <c r="O23" s="15">
        <f>SUM(F29,F32,F33,F34)</f>
        <v>226</v>
      </c>
      <c r="P23" s="15">
        <f>SUM(F28,F31,F36,F39)</f>
        <v>519.16666666666674</v>
      </c>
      <c r="Q23" s="15">
        <f>SUM(F24,F27,F38)</f>
        <v>81</v>
      </c>
      <c r="R23" s="15">
        <f>SUM(F25,F26)</f>
        <v>350</v>
      </c>
    </row>
    <row r="24" spans="1:18">
      <c r="B24" s="238" t="s">
        <v>7631</v>
      </c>
      <c r="C24" s="2" t="s">
        <v>18</v>
      </c>
      <c r="D24" s="2" t="s">
        <v>964</v>
      </c>
      <c r="E24" s="3">
        <v>450</v>
      </c>
      <c r="F24" s="3">
        <f>300/5</f>
        <v>60</v>
      </c>
      <c r="G24" s="4">
        <v>45069</v>
      </c>
    </row>
    <row r="25" spans="1:18">
      <c r="C25" s="2" t="s">
        <v>1089</v>
      </c>
      <c r="D25" s="2" t="s">
        <v>964</v>
      </c>
      <c r="E25" s="3">
        <v>300</v>
      </c>
      <c r="F25" s="3">
        <v>300</v>
      </c>
      <c r="G25" s="4">
        <v>44960</v>
      </c>
    </row>
    <row r="26" spans="1:18">
      <c r="C26" s="265" t="s">
        <v>1040</v>
      </c>
      <c r="D26" s="2" t="s">
        <v>957</v>
      </c>
      <c r="E26" s="3">
        <v>141</v>
      </c>
      <c r="F26" s="3">
        <v>50</v>
      </c>
      <c r="G26" s="4">
        <v>45106</v>
      </c>
      <c r="I26" s="1">
        <v>1400</v>
      </c>
      <c r="J26" s="1">
        <v>1400</v>
      </c>
    </row>
    <row r="27" spans="1:18">
      <c r="C27" s="2" t="s">
        <v>18</v>
      </c>
      <c r="D27" s="2" t="s">
        <v>877</v>
      </c>
      <c r="E27" s="3">
        <v>85</v>
      </c>
      <c r="F27" s="3">
        <v>6</v>
      </c>
      <c r="G27" s="4">
        <v>44417</v>
      </c>
    </row>
    <row r="28" spans="1:18">
      <c r="C28" s="2" t="s">
        <v>7</v>
      </c>
      <c r="D28" s="2" t="s">
        <v>877</v>
      </c>
      <c r="E28" s="3">
        <v>35</v>
      </c>
      <c r="F28" s="3">
        <f>25/6</f>
        <v>4.166666666666667</v>
      </c>
      <c r="G28" s="4">
        <v>44293</v>
      </c>
    </row>
    <row r="29" spans="1:18">
      <c r="C29" s="2" t="s">
        <v>5</v>
      </c>
      <c r="D29" s="2" t="s">
        <v>877</v>
      </c>
      <c r="E29" s="3">
        <v>12</v>
      </c>
      <c r="F29" s="3">
        <v>3</v>
      </c>
      <c r="G29" s="4">
        <v>44026</v>
      </c>
    </row>
    <row r="30" spans="1:18">
      <c r="C30" s="2" t="s">
        <v>4</v>
      </c>
      <c r="D30" s="2" t="s">
        <v>877</v>
      </c>
      <c r="E30" s="3">
        <v>3.3</v>
      </c>
      <c r="F30" s="3">
        <v>1</v>
      </c>
      <c r="G30" s="4">
        <v>44026</v>
      </c>
    </row>
    <row r="31" spans="1:18">
      <c r="C31" s="2" t="s">
        <v>7</v>
      </c>
      <c r="D31" s="2" t="s">
        <v>1125</v>
      </c>
      <c r="E31" s="3">
        <v>2500</v>
      </c>
      <c r="F31" s="3">
        <v>500</v>
      </c>
      <c r="G31" s="4">
        <v>44363</v>
      </c>
    </row>
    <row r="32" spans="1:18">
      <c r="C32" s="2" t="s">
        <v>5</v>
      </c>
      <c r="D32" s="2" t="s">
        <v>1125</v>
      </c>
      <c r="E32" s="3">
        <v>3000</v>
      </c>
      <c r="F32" s="3">
        <f>800/4</f>
        <v>200</v>
      </c>
      <c r="G32" s="4">
        <v>43892</v>
      </c>
      <c r="H32" s="4"/>
    </row>
    <row r="33" spans="3:9">
      <c r="C33" s="2" t="s">
        <v>5</v>
      </c>
      <c r="D33" s="2" t="s">
        <v>1063</v>
      </c>
      <c r="E33" s="3">
        <v>65</v>
      </c>
      <c r="F33" s="3">
        <v>10</v>
      </c>
      <c r="G33" s="4">
        <v>44984</v>
      </c>
      <c r="H33" s="4"/>
    </row>
    <row r="34" spans="3:9">
      <c r="C34" s="2" t="s">
        <v>5</v>
      </c>
      <c r="D34" s="2" t="s">
        <v>994</v>
      </c>
      <c r="E34" s="3">
        <v>23</v>
      </c>
      <c r="F34" s="3">
        <v>13</v>
      </c>
      <c r="G34" s="4">
        <v>44963</v>
      </c>
      <c r="H34" s="4"/>
    </row>
    <row r="35" spans="3:9">
      <c r="C35" s="2" t="s">
        <v>4</v>
      </c>
      <c r="D35" s="2" t="s">
        <v>690</v>
      </c>
      <c r="E35" s="3">
        <v>30</v>
      </c>
      <c r="F35" s="3">
        <v>15</v>
      </c>
      <c r="G35" s="4">
        <v>44742</v>
      </c>
      <c r="H35" s="4"/>
    </row>
    <row r="36" spans="3:9">
      <c r="C36" s="2" t="s">
        <v>7</v>
      </c>
      <c r="D36" s="2" t="s">
        <v>871</v>
      </c>
      <c r="E36" s="3">
        <v>30</v>
      </c>
      <c r="F36" s="3">
        <v>10</v>
      </c>
      <c r="G36" s="4">
        <v>44510</v>
      </c>
      <c r="H36" s="4"/>
    </row>
    <row r="37" spans="3:9">
      <c r="C37" s="2" t="s">
        <v>278</v>
      </c>
      <c r="D37" s="2" t="s">
        <v>776</v>
      </c>
      <c r="E37" s="3">
        <v>4.5</v>
      </c>
      <c r="F37" s="3">
        <v>1.5</v>
      </c>
      <c r="G37" s="4">
        <v>44691</v>
      </c>
      <c r="H37" s="4"/>
    </row>
    <row r="38" spans="3:9">
      <c r="C38" s="2" t="s">
        <v>18</v>
      </c>
      <c r="D38" s="2" t="s">
        <v>403</v>
      </c>
      <c r="E38" s="3">
        <v>90</v>
      </c>
      <c r="F38" s="3">
        <v>15</v>
      </c>
      <c r="G38" s="4">
        <v>45090</v>
      </c>
      <c r="H38" s="4"/>
    </row>
    <row r="39" spans="3:9">
      <c r="C39" s="2" t="s">
        <v>7</v>
      </c>
      <c r="D39" s="2" t="s">
        <v>403</v>
      </c>
      <c r="E39" s="3">
        <v>50</v>
      </c>
      <c r="F39" s="3">
        <v>5</v>
      </c>
      <c r="G39" s="4">
        <v>44538</v>
      </c>
      <c r="H39" s="4"/>
    </row>
    <row r="40" spans="3:9">
      <c r="C40" s="2" t="s">
        <v>7</v>
      </c>
      <c r="D40" s="2" t="s">
        <v>318</v>
      </c>
      <c r="E40" s="3">
        <v>55</v>
      </c>
      <c r="F40" s="3">
        <v>5</v>
      </c>
      <c r="G40" s="4">
        <v>44200</v>
      </c>
      <c r="H40" s="4"/>
    </row>
    <row r="41" spans="3:9">
      <c r="C41" s="2" t="s">
        <v>18</v>
      </c>
      <c r="D41" s="2" t="s">
        <v>318</v>
      </c>
      <c r="E41" s="3">
        <v>91</v>
      </c>
      <c r="F41" s="3">
        <v>8.75</v>
      </c>
      <c r="G41" s="4">
        <v>44867</v>
      </c>
      <c r="H41" s="4"/>
    </row>
    <row r="42" spans="3:9">
      <c r="C42" s="2" t="s">
        <v>18</v>
      </c>
      <c r="D42" s="2" t="s">
        <v>1056</v>
      </c>
      <c r="E42" s="3">
        <v>40</v>
      </c>
      <c r="F42" s="3">
        <f>20/3</f>
        <v>6.666666666666667</v>
      </c>
      <c r="G42" s="4">
        <v>44599</v>
      </c>
      <c r="H42" s="4"/>
    </row>
    <row r="43" spans="3:9">
      <c r="C43" s="2" t="s">
        <v>8</v>
      </c>
      <c r="D43" s="2" t="s">
        <v>253</v>
      </c>
      <c r="E43" s="3">
        <v>600</v>
      </c>
      <c r="F43" s="3">
        <f>500/8</f>
        <v>62.5</v>
      </c>
      <c r="G43" s="4">
        <v>44502</v>
      </c>
      <c r="H43" s="4"/>
    </row>
    <row r="44" spans="3:9">
      <c r="C44" s="2" t="s">
        <v>8</v>
      </c>
      <c r="D44" s="2" t="s">
        <v>208</v>
      </c>
      <c r="E44" s="3">
        <v>676</v>
      </c>
      <c r="F44" s="3">
        <f>500/7</f>
        <v>71.428571428571431</v>
      </c>
      <c r="G44" s="4">
        <v>44299</v>
      </c>
      <c r="H44" s="4"/>
      <c r="I44" s="1">
        <v>4400</v>
      </c>
    </row>
    <row r="45" spans="3:9">
      <c r="C45" s="2" t="s">
        <v>18</v>
      </c>
      <c r="D45" s="2" t="s">
        <v>208</v>
      </c>
      <c r="E45" s="3">
        <v>250</v>
      </c>
      <c r="F45" s="3">
        <f>170/5</f>
        <v>34</v>
      </c>
      <c r="G45" s="4">
        <v>43886</v>
      </c>
      <c r="H45" s="4"/>
      <c r="I45" s="1">
        <v>2300</v>
      </c>
    </row>
    <row r="46" spans="3:9">
      <c r="C46" s="2" t="s">
        <v>7</v>
      </c>
      <c r="D46" s="2" t="s">
        <v>208</v>
      </c>
      <c r="E46" s="3">
        <v>150</v>
      </c>
      <c r="F46" s="3">
        <v>20</v>
      </c>
      <c r="G46" s="4">
        <v>43556</v>
      </c>
      <c r="H46" s="4"/>
    </row>
    <row r="47" spans="3:9">
      <c r="C47" s="2" t="s">
        <v>9</v>
      </c>
      <c r="D47" s="2" t="s">
        <v>154</v>
      </c>
      <c r="E47" s="3">
        <v>400</v>
      </c>
      <c r="F47" s="3">
        <v>36</v>
      </c>
      <c r="G47" s="4">
        <v>44413</v>
      </c>
      <c r="H47" s="4"/>
      <c r="I47" s="1">
        <v>4200</v>
      </c>
    </row>
    <row r="48" spans="3:9">
      <c r="C48" s="2" t="s">
        <v>8</v>
      </c>
      <c r="D48" s="2" t="s">
        <v>154</v>
      </c>
      <c r="E48" s="3">
        <v>100</v>
      </c>
      <c r="F48" s="3">
        <f>75/6</f>
        <v>12.5</v>
      </c>
      <c r="G48" s="4">
        <v>44067</v>
      </c>
      <c r="H48" s="4"/>
    </row>
    <row r="49" spans="1:18">
      <c r="C49" s="2" t="s">
        <v>7</v>
      </c>
      <c r="D49" s="2" t="s">
        <v>1063</v>
      </c>
      <c r="E49" s="3">
        <v>100</v>
      </c>
      <c r="F49" s="3">
        <v>15</v>
      </c>
      <c r="G49" s="4">
        <v>45106</v>
      </c>
      <c r="H49" s="4"/>
    </row>
    <row r="50" spans="1:18">
      <c r="C50" s="92" t="s">
        <v>18</v>
      </c>
      <c r="D50" s="92" t="s">
        <v>2072</v>
      </c>
      <c r="E50" s="3">
        <v>65</v>
      </c>
      <c r="F50" s="3">
        <v>10</v>
      </c>
      <c r="G50" s="4">
        <v>44644</v>
      </c>
      <c r="H50" s="4"/>
      <c r="I50" s="1">
        <v>500</v>
      </c>
      <c r="J50" s="1">
        <v>500</v>
      </c>
    </row>
    <row r="51" spans="1:18">
      <c r="C51" s="92" t="s">
        <v>7</v>
      </c>
      <c r="D51" s="92" t="s">
        <v>2072</v>
      </c>
      <c r="E51" s="3">
        <v>22</v>
      </c>
      <c r="F51" s="3">
        <v>12</v>
      </c>
      <c r="G51" s="4">
        <v>43944</v>
      </c>
      <c r="H51" s="4"/>
      <c r="J51" s="1">
        <v>500</v>
      </c>
    </row>
    <row r="52" spans="1:18">
      <c r="C52" s="265" t="s">
        <v>7890</v>
      </c>
      <c r="D52" s="265" t="s">
        <v>1006</v>
      </c>
      <c r="E52" s="3">
        <v>684.6</v>
      </c>
      <c r="F52" s="266">
        <f>28+23</f>
        <v>51</v>
      </c>
      <c r="G52" s="4">
        <v>45183</v>
      </c>
      <c r="H52" s="4"/>
      <c r="I52" s="1">
        <v>36000</v>
      </c>
      <c r="J52" s="1">
        <v>42500</v>
      </c>
    </row>
    <row r="53" spans="1:18">
      <c r="C53" s="265" t="s">
        <v>504</v>
      </c>
      <c r="D53" s="265" t="s">
        <v>1006</v>
      </c>
      <c r="E53" s="3">
        <v>1000</v>
      </c>
      <c r="F53" s="266">
        <f>900/23</f>
        <v>39.130434782608695</v>
      </c>
      <c r="G53" s="4">
        <v>44228</v>
      </c>
      <c r="H53" s="4"/>
      <c r="I53" s="1">
        <v>27000</v>
      </c>
      <c r="J53" s="1">
        <v>42500</v>
      </c>
    </row>
    <row r="54" spans="1:18">
      <c r="C54" s="265" t="s">
        <v>8</v>
      </c>
      <c r="D54" s="265" t="s">
        <v>3733</v>
      </c>
      <c r="E54" s="3">
        <v>235</v>
      </c>
      <c r="F54" s="266">
        <f>185/8</f>
        <v>23.125</v>
      </c>
      <c r="G54" s="4">
        <v>45161</v>
      </c>
      <c r="H54" s="4"/>
      <c r="I54" s="1">
        <v>4300</v>
      </c>
      <c r="J54" s="1">
        <v>4300</v>
      </c>
    </row>
    <row r="55" spans="1:18">
      <c r="C55" s="265" t="s">
        <v>1</v>
      </c>
      <c r="D55" s="265" t="s">
        <v>964</v>
      </c>
      <c r="E55" s="3">
        <v>500</v>
      </c>
      <c r="F55" s="266">
        <v>500</v>
      </c>
      <c r="G55" s="4">
        <v>45226</v>
      </c>
      <c r="H55" s="4"/>
    </row>
    <row r="56" spans="1:18">
      <c r="G56" s="4"/>
    </row>
    <row r="57" spans="1:18" s="12" customFormat="1">
      <c r="A57" s="12">
        <v>3</v>
      </c>
      <c r="B57" s="12" t="s">
        <v>7376</v>
      </c>
      <c r="C57" s="13" t="s">
        <v>969</v>
      </c>
      <c r="D57" s="13" t="s">
        <v>968</v>
      </c>
      <c r="E57" s="15"/>
      <c r="F57" s="15">
        <f>SUM(F58:F107)</f>
        <v>1270.4214285714288</v>
      </c>
      <c r="G57" s="14">
        <f>G69</f>
        <v>45062</v>
      </c>
      <c r="I57" s="12">
        <v>32400</v>
      </c>
      <c r="J57" s="22">
        <f>+F57/I57</f>
        <v>3.921053791887126E-2</v>
      </c>
      <c r="K57" s="12">
        <v>2009</v>
      </c>
      <c r="M57" s="13">
        <v>0</v>
      </c>
      <c r="N57" s="15">
        <f>SUM(F65,F69,F73)</f>
        <v>30.5</v>
      </c>
      <c r="O57" s="15">
        <f>SUM(F58,F61,F64,F68,F72,F74,F75)</f>
        <v>322.66666666666669</v>
      </c>
      <c r="P57" s="15">
        <f>SUM(F59,F60,F63,F67,F71,F77)</f>
        <v>357.5</v>
      </c>
      <c r="Q57" s="15">
        <f>SUM(F62,F66,F76)</f>
        <v>45</v>
      </c>
      <c r="R57" s="13">
        <v>0</v>
      </c>
    </row>
    <row r="58" spans="1:18">
      <c r="C58" s="2" t="s">
        <v>5</v>
      </c>
      <c r="D58" s="2" t="s">
        <v>935</v>
      </c>
      <c r="E58" s="3">
        <v>150</v>
      </c>
      <c r="F58" s="3">
        <v>90</v>
      </c>
      <c r="G58" s="4">
        <v>45008</v>
      </c>
      <c r="K58" s="91" t="s">
        <v>5912</v>
      </c>
    </row>
    <row r="59" spans="1:18">
      <c r="C59" s="2" t="s">
        <v>7</v>
      </c>
      <c r="D59" s="2" t="s">
        <v>1086</v>
      </c>
      <c r="E59" s="3">
        <v>100</v>
      </c>
      <c r="F59" s="3">
        <v>85</v>
      </c>
      <c r="G59" s="4">
        <v>45042</v>
      </c>
      <c r="K59" s="91" t="s">
        <v>5913</v>
      </c>
    </row>
    <row r="60" spans="1:18">
      <c r="C60" s="2" t="s">
        <v>7</v>
      </c>
      <c r="D60" s="2" t="s">
        <v>1125</v>
      </c>
      <c r="E60" s="3">
        <v>2500</v>
      </c>
      <c r="F60" s="3">
        <v>182</v>
      </c>
      <c r="G60" s="4">
        <v>44363</v>
      </c>
      <c r="K60" s="91" t="s">
        <v>5914</v>
      </c>
    </row>
    <row r="61" spans="1:18">
      <c r="C61" s="2" t="s">
        <v>5</v>
      </c>
      <c r="D61" s="2" t="s">
        <v>1125</v>
      </c>
      <c r="E61" s="3">
        <v>3000</v>
      </c>
      <c r="F61" s="3">
        <f>800/4</f>
        <v>200</v>
      </c>
      <c r="G61" s="4">
        <v>43892</v>
      </c>
      <c r="K61" s="176" t="s">
        <v>7070</v>
      </c>
    </row>
    <row r="62" spans="1:18">
      <c r="C62" s="2" t="s">
        <v>18</v>
      </c>
      <c r="D62" s="2" t="s">
        <v>1005</v>
      </c>
      <c r="E62" s="3">
        <v>100</v>
      </c>
      <c r="F62" s="3">
        <v>10</v>
      </c>
      <c r="G62" s="4">
        <v>44754</v>
      </c>
      <c r="K62" s="176" t="s">
        <v>7072</v>
      </c>
    </row>
    <row r="63" spans="1:18">
      <c r="C63" s="2" t="s">
        <v>7</v>
      </c>
      <c r="D63" s="2" t="s">
        <v>1005</v>
      </c>
      <c r="E63" s="3">
        <v>35</v>
      </c>
      <c r="F63" s="3">
        <f>E63/2</f>
        <v>17.5</v>
      </c>
      <c r="G63" s="4">
        <v>44172</v>
      </c>
      <c r="K63" s="176" t="s">
        <v>7071</v>
      </c>
    </row>
    <row r="64" spans="1:18">
      <c r="C64" s="2" t="s">
        <v>5</v>
      </c>
      <c r="D64" s="2" t="s">
        <v>1005</v>
      </c>
      <c r="E64" s="3">
        <v>20</v>
      </c>
      <c r="F64" s="3">
        <v>8</v>
      </c>
      <c r="G64" s="4">
        <v>43949</v>
      </c>
      <c r="K64" s="238" t="s">
        <v>7495</v>
      </c>
    </row>
    <row r="65" spans="3:15">
      <c r="C65" s="2" t="s">
        <v>4</v>
      </c>
      <c r="D65" s="2" t="s">
        <v>1005</v>
      </c>
      <c r="E65" s="3">
        <v>5</v>
      </c>
      <c r="F65" s="3">
        <v>1</v>
      </c>
      <c r="G65" s="4">
        <v>43438</v>
      </c>
      <c r="L65" s="238" t="s">
        <v>7482</v>
      </c>
      <c r="M65" s="1"/>
      <c r="N65" s="1"/>
      <c r="O65" s="238" t="s">
        <v>7488</v>
      </c>
    </row>
    <row r="66" spans="3:15">
      <c r="C66" s="2" t="s">
        <v>1116</v>
      </c>
      <c r="D66" s="2" t="s">
        <v>832</v>
      </c>
      <c r="E66" s="3">
        <v>100</v>
      </c>
      <c r="F66" s="3">
        <v>30</v>
      </c>
      <c r="G66" s="4">
        <v>44537</v>
      </c>
      <c r="L66" s="238" t="s">
        <v>7483</v>
      </c>
      <c r="M66" s="1"/>
      <c r="N66" s="1"/>
      <c r="O66" s="238" t="s">
        <v>7489</v>
      </c>
    </row>
    <row r="67" spans="3:15">
      <c r="C67" s="2" t="s">
        <v>7</v>
      </c>
      <c r="D67" s="2" t="s">
        <v>832</v>
      </c>
      <c r="E67" s="3">
        <v>40</v>
      </c>
      <c r="F67" s="3">
        <v>8</v>
      </c>
      <c r="G67" s="4">
        <v>44125</v>
      </c>
      <c r="L67" s="238" t="s">
        <v>7484</v>
      </c>
      <c r="M67" s="1"/>
      <c r="N67" s="1"/>
      <c r="O67" s="238" t="s">
        <v>7490</v>
      </c>
    </row>
    <row r="68" spans="3:15">
      <c r="C68" s="2" t="s">
        <v>5</v>
      </c>
      <c r="D68" s="2" t="s">
        <v>832</v>
      </c>
      <c r="E68" s="3">
        <v>20</v>
      </c>
      <c r="F68" s="3">
        <v>8</v>
      </c>
      <c r="G68" s="4">
        <v>43816</v>
      </c>
      <c r="L68" s="238" t="s">
        <v>7472</v>
      </c>
      <c r="M68" s="1"/>
      <c r="N68" s="1"/>
      <c r="O68" s="238" t="s">
        <v>7491</v>
      </c>
    </row>
    <row r="69" spans="3:15">
      <c r="C69" s="2" t="s">
        <v>4</v>
      </c>
      <c r="D69" s="2" t="s">
        <v>1145</v>
      </c>
      <c r="E69" s="3">
        <v>50</v>
      </c>
      <c r="F69" s="3">
        <v>25</v>
      </c>
      <c r="G69" s="4">
        <v>45062</v>
      </c>
      <c r="L69" s="238" t="s">
        <v>7473</v>
      </c>
      <c r="M69" s="1"/>
      <c r="N69" s="1"/>
      <c r="O69" s="238" t="s">
        <v>7492</v>
      </c>
    </row>
    <row r="70" spans="3:15">
      <c r="C70" s="2" t="s">
        <v>5</v>
      </c>
      <c r="D70" s="2" t="s">
        <v>1144</v>
      </c>
      <c r="E70" s="3">
        <v>19</v>
      </c>
      <c r="F70" s="3">
        <v>5</v>
      </c>
      <c r="G70" s="4">
        <v>45097</v>
      </c>
      <c r="I70" s="1">
        <v>100</v>
      </c>
      <c r="J70" s="1">
        <v>100</v>
      </c>
      <c r="L70" s="238" t="s">
        <v>7474</v>
      </c>
      <c r="M70" s="1"/>
      <c r="N70" s="1"/>
      <c r="O70" s="238" t="s">
        <v>7493</v>
      </c>
    </row>
    <row r="71" spans="3:15">
      <c r="C71" s="2" t="s">
        <v>7</v>
      </c>
      <c r="D71" s="2" t="s">
        <v>907</v>
      </c>
      <c r="E71" s="3">
        <v>97.4</v>
      </c>
      <c r="F71" s="3">
        <v>50</v>
      </c>
      <c r="G71" s="4">
        <v>45041</v>
      </c>
      <c r="L71" s="238" t="s">
        <v>7476</v>
      </c>
      <c r="M71" s="1"/>
      <c r="N71" s="1"/>
      <c r="O71" s="238" t="s">
        <v>7494</v>
      </c>
    </row>
    <row r="72" spans="3:15">
      <c r="C72" s="2" t="s">
        <v>5</v>
      </c>
      <c r="D72" s="2" t="s">
        <v>907</v>
      </c>
      <c r="E72" s="3">
        <v>80</v>
      </c>
      <c r="F72" s="3">
        <f>40/6</f>
        <v>6.666666666666667</v>
      </c>
      <c r="G72" s="4">
        <v>44539</v>
      </c>
      <c r="L72" s="238" t="s">
        <v>7471</v>
      </c>
      <c r="M72" s="1"/>
      <c r="N72" s="1"/>
      <c r="O72" s="1"/>
    </row>
    <row r="73" spans="3:15">
      <c r="C73" s="2" t="s">
        <v>4</v>
      </c>
      <c r="D73" s="2" t="s">
        <v>907</v>
      </c>
      <c r="E73" s="3">
        <v>4.5</v>
      </c>
      <c r="F73" s="3">
        <v>4.5</v>
      </c>
      <c r="G73" s="4">
        <v>43395</v>
      </c>
      <c r="L73" s="238" t="s">
        <v>7477</v>
      </c>
      <c r="M73" s="1"/>
      <c r="N73" s="1"/>
      <c r="O73" s="238"/>
    </row>
    <row r="74" spans="3:15">
      <c r="C74" s="2" t="s">
        <v>5</v>
      </c>
      <c r="D74" s="2" t="s">
        <v>697</v>
      </c>
      <c r="E74" s="3">
        <v>5.6</v>
      </c>
      <c r="F74" s="3">
        <v>3</v>
      </c>
      <c r="G74" s="4">
        <v>44292</v>
      </c>
      <c r="L74" s="238" t="s">
        <v>7478</v>
      </c>
      <c r="M74" s="1"/>
      <c r="N74" s="1"/>
      <c r="O74" s="1"/>
    </row>
    <row r="75" spans="3:15">
      <c r="C75" s="2" t="s">
        <v>5</v>
      </c>
      <c r="D75" s="2" t="s">
        <v>1069</v>
      </c>
      <c r="E75" s="3">
        <v>12.5</v>
      </c>
      <c r="F75" s="3">
        <v>7</v>
      </c>
      <c r="G75" s="4">
        <v>44978</v>
      </c>
      <c r="L75" s="238" t="s">
        <v>7475</v>
      </c>
      <c r="M75" s="1"/>
      <c r="N75" s="1"/>
      <c r="O75" s="1"/>
    </row>
    <row r="76" spans="3:15">
      <c r="C76" s="2" t="s">
        <v>18</v>
      </c>
      <c r="D76" s="2" t="s">
        <v>520</v>
      </c>
      <c r="E76" s="3">
        <v>60</v>
      </c>
      <c r="F76" s="3">
        <v>5</v>
      </c>
      <c r="G76" s="4">
        <v>43606</v>
      </c>
      <c r="L76" s="238" t="s">
        <v>7479</v>
      </c>
      <c r="M76" s="1"/>
      <c r="N76" s="1"/>
      <c r="O76" s="1"/>
    </row>
    <row r="77" spans="3:15">
      <c r="C77" s="2" t="s">
        <v>7</v>
      </c>
      <c r="D77" s="2" t="s">
        <v>520</v>
      </c>
      <c r="E77" s="3">
        <v>30</v>
      </c>
      <c r="F77" s="3">
        <v>15</v>
      </c>
      <c r="G77" s="4">
        <v>43396</v>
      </c>
      <c r="L77" s="238" t="s">
        <v>7480</v>
      </c>
      <c r="M77" s="1"/>
      <c r="N77" s="1"/>
      <c r="O77" s="1"/>
    </row>
    <row r="78" spans="3:15">
      <c r="C78" s="2" t="s">
        <v>5</v>
      </c>
      <c r="D78" s="2" t="s">
        <v>289</v>
      </c>
      <c r="E78" s="3">
        <v>30</v>
      </c>
      <c r="F78" s="3">
        <v>4</v>
      </c>
      <c r="G78" s="4">
        <v>44474</v>
      </c>
      <c r="L78" s="238" t="s">
        <v>7481</v>
      </c>
      <c r="M78" s="1"/>
      <c r="N78" s="1"/>
      <c r="O78" s="1"/>
    </row>
    <row r="79" spans="3:15">
      <c r="C79" s="2" t="s">
        <v>4</v>
      </c>
      <c r="D79" s="2" t="s">
        <v>289</v>
      </c>
      <c r="E79" s="3">
        <v>15</v>
      </c>
      <c r="F79" s="3">
        <f>10/4</f>
        <v>2.5</v>
      </c>
      <c r="G79" s="4">
        <v>43775</v>
      </c>
      <c r="L79" s="238" t="s">
        <v>7485</v>
      </c>
      <c r="M79" s="1"/>
      <c r="N79" s="1"/>
      <c r="O79" s="1"/>
    </row>
    <row r="80" spans="3:15">
      <c r="C80" s="2" t="s">
        <v>9</v>
      </c>
      <c r="D80" s="2" t="s">
        <v>39</v>
      </c>
      <c r="E80" s="3">
        <v>230</v>
      </c>
      <c r="F80" s="3">
        <v>24</v>
      </c>
      <c r="G80" s="4">
        <v>44984</v>
      </c>
      <c r="I80" s="1">
        <v>2000</v>
      </c>
      <c r="J80" s="1">
        <v>2000</v>
      </c>
      <c r="L80" s="238" t="s">
        <v>7486</v>
      </c>
      <c r="M80" s="1"/>
      <c r="N80" s="1"/>
      <c r="O80" s="1"/>
    </row>
    <row r="81" spans="3:15">
      <c r="C81" s="2" t="s">
        <v>8</v>
      </c>
      <c r="D81" s="2" t="s">
        <v>39</v>
      </c>
      <c r="E81" s="3">
        <v>170</v>
      </c>
      <c r="F81" s="3">
        <v>60</v>
      </c>
      <c r="G81" s="4">
        <v>44255</v>
      </c>
      <c r="I81" s="1">
        <v>830</v>
      </c>
      <c r="J81" s="1">
        <v>2000</v>
      </c>
      <c r="L81" s="238" t="s">
        <v>7487</v>
      </c>
      <c r="M81" s="1"/>
      <c r="N81" s="1"/>
      <c r="O81" s="1"/>
    </row>
    <row r="82" spans="3:15">
      <c r="C82" s="2" t="s">
        <v>7</v>
      </c>
      <c r="D82" s="2" t="s">
        <v>39</v>
      </c>
      <c r="E82" s="3">
        <v>42</v>
      </c>
      <c r="F82" s="3">
        <f>22/3</f>
        <v>7.333333333333333</v>
      </c>
      <c r="G82" s="4">
        <v>43144</v>
      </c>
      <c r="J82" s="1">
        <v>2000</v>
      </c>
    </row>
    <row r="83" spans="3:15">
      <c r="C83" s="2" t="s">
        <v>5</v>
      </c>
      <c r="D83" s="2" t="s">
        <v>39</v>
      </c>
      <c r="E83" s="3">
        <v>25</v>
      </c>
      <c r="F83" s="3">
        <v>15</v>
      </c>
      <c r="G83" s="4">
        <v>42374</v>
      </c>
      <c r="J83" s="1">
        <v>2000</v>
      </c>
      <c r="L83" s="238" t="s">
        <v>7500</v>
      </c>
    </row>
    <row r="84" spans="3:15">
      <c r="C84" s="2" t="s">
        <v>4</v>
      </c>
      <c r="D84" s="2" t="s">
        <v>39</v>
      </c>
      <c r="E84" s="3">
        <v>3</v>
      </c>
      <c r="F84" s="3">
        <v>2</v>
      </c>
      <c r="G84" s="4">
        <v>42019</v>
      </c>
      <c r="J84" s="1">
        <v>2000</v>
      </c>
      <c r="L84" s="238" t="s">
        <v>7499</v>
      </c>
    </row>
    <row r="85" spans="3:15">
      <c r="C85" s="2" t="s">
        <v>9</v>
      </c>
      <c r="D85" s="2" t="s">
        <v>3</v>
      </c>
      <c r="E85" s="3">
        <v>90</v>
      </c>
      <c r="F85" s="3">
        <v>10</v>
      </c>
      <c r="G85" s="4">
        <v>44721</v>
      </c>
      <c r="I85" s="1">
        <v>2200</v>
      </c>
      <c r="J85" s="1">
        <v>2200</v>
      </c>
      <c r="L85" s="238" t="s">
        <v>7498</v>
      </c>
    </row>
    <row r="86" spans="3:15">
      <c r="C86" s="2" t="s">
        <v>8</v>
      </c>
      <c r="D86" s="2" t="s">
        <v>3</v>
      </c>
      <c r="E86" s="3">
        <v>210</v>
      </c>
      <c r="F86" s="3">
        <v>33.333333333333336</v>
      </c>
      <c r="G86" s="4">
        <v>44432</v>
      </c>
      <c r="I86" s="1">
        <v>1000</v>
      </c>
      <c r="J86" s="1">
        <v>2200</v>
      </c>
      <c r="L86" s="238" t="s">
        <v>7497</v>
      </c>
    </row>
    <row r="87" spans="3:15">
      <c r="C87" s="2" t="s">
        <v>7</v>
      </c>
      <c r="D87" s="2" t="s">
        <v>3</v>
      </c>
      <c r="E87" s="3">
        <v>25</v>
      </c>
      <c r="F87" s="3">
        <v>4</v>
      </c>
      <c r="G87" s="4">
        <v>43697</v>
      </c>
      <c r="J87" s="1">
        <v>2200</v>
      </c>
      <c r="L87" s="238" t="s">
        <v>7496</v>
      </c>
    </row>
    <row r="88" spans="3:15">
      <c r="C88" s="2" t="s">
        <v>5</v>
      </c>
      <c r="D88" s="2" t="s">
        <v>3</v>
      </c>
      <c r="E88" s="3">
        <v>10</v>
      </c>
      <c r="F88" s="3">
        <v>2.5</v>
      </c>
      <c r="G88" s="4">
        <v>43456</v>
      </c>
      <c r="J88" s="1">
        <v>2200</v>
      </c>
    </row>
    <row r="89" spans="3:15">
      <c r="C89" s="2" t="s">
        <v>5</v>
      </c>
      <c r="D89" s="2" t="s">
        <v>3</v>
      </c>
      <c r="E89" s="3">
        <v>10.5</v>
      </c>
      <c r="F89" s="3">
        <v>4.5</v>
      </c>
      <c r="G89" s="4">
        <v>42828</v>
      </c>
      <c r="J89" s="1">
        <v>2200</v>
      </c>
    </row>
    <row r="90" spans="3:15">
      <c r="C90" s="2" t="s">
        <v>1</v>
      </c>
      <c r="D90" s="2" t="s">
        <v>0</v>
      </c>
      <c r="E90" s="3">
        <v>300</v>
      </c>
      <c r="F90" s="3">
        <v>50</v>
      </c>
      <c r="G90" s="4">
        <v>45044</v>
      </c>
      <c r="I90" s="1">
        <v>28700</v>
      </c>
      <c r="J90" s="1">
        <v>28700</v>
      </c>
    </row>
    <row r="91" spans="3:15">
      <c r="C91" s="52" t="s">
        <v>8</v>
      </c>
      <c r="D91" s="52" t="s">
        <v>2116</v>
      </c>
      <c r="E91" s="3">
        <v>175</v>
      </c>
      <c r="F91" s="3">
        <f>75/4</f>
        <v>18.75</v>
      </c>
      <c r="G91" s="4">
        <v>44511</v>
      </c>
      <c r="I91" s="1">
        <v>3400</v>
      </c>
      <c r="J91" s="1">
        <v>3400</v>
      </c>
    </row>
    <row r="92" spans="3:15">
      <c r="C92" s="52" t="s">
        <v>18</v>
      </c>
      <c r="D92" s="52" t="s">
        <v>2116</v>
      </c>
      <c r="E92" s="3">
        <v>125</v>
      </c>
      <c r="F92" s="3">
        <v>35</v>
      </c>
      <c r="G92" s="4">
        <v>44126</v>
      </c>
      <c r="I92" s="1">
        <v>1100</v>
      </c>
      <c r="J92" s="1">
        <v>3400</v>
      </c>
    </row>
    <row r="93" spans="3:15">
      <c r="C93" s="52" t="s">
        <v>7</v>
      </c>
      <c r="D93" s="52" t="s">
        <v>2116</v>
      </c>
      <c r="E93" s="3">
        <v>40</v>
      </c>
      <c r="F93" s="3">
        <v>3</v>
      </c>
      <c r="G93" s="4">
        <v>43720</v>
      </c>
      <c r="J93" s="1">
        <v>3400</v>
      </c>
    </row>
    <row r="94" spans="3:15">
      <c r="C94" s="52" t="s">
        <v>5</v>
      </c>
      <c r="D94" s="52" t="s">
        <v>2116</v>
      </c>
      <c r="E94" s="3">
        <v>11.5</v>
      </c>
      <c r="F94" s="3">
        <v>3</v>
      </c>
      <c r="G94" s="4">
        <v>43355</v>
      </c>
      <c r="J94" s="1">
        <v>3400</v>
      </c>
    </row>
    <row r="95" spans="3:15">
      <c r="C95" s="55" t="s">
        <v>8</v>
      </c>
      <c r="D95" s="55" t="s">
        <v>2109</v>
      </c>
      <c r="E95" s="3">
        <v>110</v>
      </c>
      <c r="F95" s="3">
        <f>70/4</f>
        <v>17.5</v>
      </c>
      <c r="G95" s="4">
        <v>44567</v>
      </c>
      <c r="I95" s="1">
        <v>790</v>
      </c>
      <c r="J95" s="1">
        <v>790</v>
      </c>
    </row>
    <row r="96" spans="3:15">
      <c r="C96" s="55" t="s">
        <v>18</v>
      </c>
      <c r="D96" s="55" t="s">
        <v>2109</v>
      </c>
      <c r="E96" s="3">
        <v>40</v>
      </c>
      <c r="F96" s="3">
        <v>5</v>
      </c>
      <c r="G96" s="4">
        <v>44238</v>
      </c>
      <c r="J96" s="1">
        <v>790</v>
      </c>
    </row>
    <row r="97" spans="1:18">
      <c r="C97" s="55" t="s">
        <v>7</v>
      </c>
      <c r="D97" s="55" t="s">
        <v>2109</v>
      </c>
      <c r="E97" s="3">
        <v>25</v>
      </c>
      <c r="F97" s="3">
        <v>10</v>
      </c>
      <c r="G97" s="4">
        <v>43865</v>
      </c>
      <c r="J97" s="1">
        <v>790</v>
      </c>
    </row>
    <row r="98" spans="1:18">
      <c r="C98" s="92" t="s">
        <v>18</v>
      </c>
      <c r="D98" s="92" t="s">
        <v>2090</v>
      </c>
      <c r="E98" s="3">
        <v>80</v>
      </c>
      <c r="F98" s="3">
        <v>7</v>
      </c>
      <c r="G98" s="4">
        <v>44637</v>
      </c>
      <c r="I98" s="1">
        <v>1500</v>
      </c>
      <c r="J98" s="1">
        <v>1500</v>
      </c>
    </row>
    <row r="99" spans="1:18">
      <c r="C99" s="92" t="s">
        <v>7</v>
      </c>
      <c r="D99" s="92" t="s">
        <v>2090</v>
      </c>
      <c r="E99" s="3">
        <v>50</v>
      </c>
      <c r="F99" s="3">
        <f>35/4</f>
        <v>8.75</v>
      </c>
      <c r="G99" s="4">
        <v>44286</v>
      </c>
      <c r="J99" s="1">
        <v>1500</v>
      </c>
    </row>
    <row r="100" spans="1:18">
      <c r="C100" s="92" t="s">
        <v>5</v>
      </c>
      <c r="D100" s="92" t="s">
        <v>2090</v>
      </c>
      <c r="E100" s="3">
        <v>15</v>
      </c>
      <c r="F100" s="3">
        <f>E100/4</f>
        <v>3.75</v>
      </c>
      <c r="G100" s="4">
        <v>43864</v>
      </c>
      <c r="J100" s="1">
        <v>1500</v>
      </c>
    </row>
    <row r="101" spans="1:18">
      <c r="C101" s="92" t="s">
        <v>4</v>
      </c>
      <c r="D101" s="92" t="s">
        <v>2090</v>
      </c>
      <c r="E101" s="3">
        <v>6</v>
      </c>
      <c r="F101" s="3">
        <v>6</v>
      </c>
      <c r="G101" s="4">
        <v>43863</v>
      </c>
      <c r="J101" s="1">
        <v>1500</v>
      </c>
    </row>
    <row r="102" spans="1:18">
      <c r="C102" s="92" t="s">
        <v>7</v>
      </c>
      <c r="D102" s="92" t="s">
        <v>2069</v>
      </c>
      <c r="E102" s="3">
        <v>60</v>
      </c>
      <c r="F102" s="3">
        <v>20</v>
      </c>
      <c r="G102" s="4">
        <v>44278</v>
      </c>
    </row>
    <row r="103" spans="1:18">
      <c r="C103" s="92" t="s">
        <v>5</v>
      </c>
      <c r="D103" s="92" t="s">
        <v>2069</v>
      </c>
      <c r="E103" s="3">
        <v>20</v>
      </c>
      <c r="F103" s="3">
        <v>15</v>
      </c>
      <c r="G103" s="4">
        <v>43992</v>
      </c>
    </row>
    <row r="104" spans="1:18">
      <c r="C104" s="92" t="s">
        <v>4</v>
      </c>
      <c r="D104" s="92" t="s">
        <v>2069</v>
      </c>
      <c r="E104" s="3">
        <v>5</v>
      </c>
      <c r="F104" s="3">
        <v>3</v>
      </c>
      <c r="G104" s="4">
        <v>43466</v>
      </c>
    </row>
    <row r="105" spans="1:18">
      <c r="C105" s="177" t="s">
        <v>4</v>
      </c>
      <c r="D105" s="177" t="s">
        <v>6759</v>
      </c>
      <c r="E105" s="3">
        <v>10</v>
      </c>
      <c r="F105" s="3">
        <v>8</v>
      </c>
      <c r="G105" s="4">
        <v>44866</v>
      </c>
      <c r="I105" s="1">
        <v>65</v>
      </c>
      <c r="J105" s="1">
        <v>350</v>
      </c>
    </row>
    <row r="106" spans="1:18">
      <c r="C106" s="265" t="s">
        <v>7890</v>
      </c>
      <c r="D106" s="265" t="s">
        <v>1006</v>
      </c>
      <c r="E106" s="3">
        <v>684.6</v>
      </c>
      <c r="F106" s="3">
        <f>584.6/21</f>
        <v>27.838095238095239</v>
      </c>
      <c r="G106" s="4">
        <v>45183</v>
      </c>
      <c r="I106" s="1">
        <v>42500</v>
      </c>
      <c r="J106" s="1">
        <v>42500</v>
      </c>
    </row>
    <row r="107" spans="1:18">
      <c r="C107" s="265" t="s">
        <v>2486</v>
      </c>
      <c r="D107" s="265" t="s">
        <v>1006</v>
      </c>
      <c r="E107" s="3">
        <v>1600</v>
      </c>
      <c r="F107" s="3">
        <f>52+47</f>
        <v>99</v>
      </c>
      <c r="G107" s="4">
        <v>44439</v>
      </c>
      <c r="I107" s="1">
        <v>36400</v>
      </c>
      <c r="J107" s="1">
        <v>42500</v>
      </c>
    </row>
    <row r="108" spans="1:18">
      <c r="C108" s="265" t="s">
        <v>504</v>
      </c>
      <c r="D108" s="265" t="s">
        <v>1006</v>
      </c>
      <c r="E108" s="3">
        <v>1000</v>
      </c>
      <c r="F108" s="3">
        <f>900/23</f>
        <v>39.130434782608695</v>
      </c>
      <c r="G108" s="4">
        <v>44228</v>
      </c>
      <c r="I108" s="1">
        <v>27000</v>
      </c>
      <c r="J108" s="1">
        <v>42500</v>
      </c>
    </row>
    <row r="109" spans="1:18">
      <c r="G109" s="4"/>
    </row>
    <row r="110" spans="1:18" s="12" customFormat="1">
      <c r="A110" s="12">
        <v>4</v>
      </c>
      <c r="B110" s="12" t="s">
        <v>7377</v>
      </c>
      <c r="C110" s="13" t="s">
        <v>969</v>
      </c>
      <c r="D110" s="13" t="s">
        <v>968</v>
      </c>
      <c r="E110" s="15"/>
      <c r="F110" s="15">
        <f>SUM(F111:F143)</f>
        <v>1217.7576113097855</v>
      </c>
      <c r="G110" s="14">
        <f>G141</f>
        <v>45240</v>
      </c>
      <c r="I110" s="12">
        <v>58000</v>
      </c>
      <c r="J110" s="23">
        <f>+F110/I110</f>
        <v>2.0995820884651475E-2</v>
      </c>
      <c r="K110" s="12">
        <v>2001</v>
      </c>
      <c r="M110" s="13">
        <v>0</v>
      </c>
      <c r="N110" s="13">
        <v>0</v>
      </c>
      <c r="O110" s="15">
        <f>SUM(F114,F121,F122,F124)</f>
        <v>23.333333333333332</v>
      </c>
      <c r="P110" s="15">
        <f>SUM(F113,F116,F119,F120)</f>
        <v>260.81818181818181</v>
      </c>
      <c r="Q110" s="15">
        <f>SUM(F117,F118,F123,F127)</f>
        <v>99.285714285714292</v>
      </c>
      <c r="R110" s="15">
        <f>SUM(F111,F112,F125,F126)</f>
        <v>179</v>
      </c>
    </row>
    <row r="111" spans="1:18">
      <c r="C111" s="2" t="s">
        <v>9</v>
      </c>
      <c r="D111" s="2" t="s">
        <v>803</v>
      </c>
      <c r="E111" s="3">
        <v>325</v>
      </c>
      <c r="F111" s="3">
        <v>65</v>
      </c>
      <c r="G111" s="4">
        <v>44299</v>
      </c>
    </row>
    <row r="112" spans="1:18">
      <c r="B112" s="238" t="s">
        <v>7501</v>
      </c>
      <c r="C112" s="2" t="s">
        <v>8</v>
      </c>
      <c r="D112" s="2" t="s">
        <v>803</v>
      </c>
      <c r="E112" s="3">
        <v>155</v>
      </c>
      <c r="F112" s="3">
        <v>50</v>
      </c>
      <c r="G112" s="4">
        <v>44166</v>
      </c>
    </row>
    <row r="113" spans="3:13">
      <c r="C113" s="2" t="s">
        <v>7</v>
      </c>
      <c r="D113" s="2" t="s">
        <v>952</v>
      </c>
      <c r="E113" s="3">
        <v>130</v>
      </c>
      <c r="F113" s="3">
        <v>60</v>
      </c>
      <c r="G113" s="4">
        <v>44607</v>
      </c>
      <c r="I113" s="91" t="s">
        <v>5919</v>
      </c>
      <c r="K113" s="1">
        <v>12700</v>
      </c>
      <c r="M113" s="91" t="s">
        <v>5911</v>
      </c>
    </row>
    <row r="114" spans="3:13">
      <c r="C114" s="2" t="s">
        <v>5</v>
      </c>
      <c r="D114" s="2" t="s">
        <v>1086</v>
      </c>
      <c r="E114" s="3">
        <v>28</v>
      </c>
      <c r="F114" s="3">
        <v>6</v>
      </c>
      <c r="G114" s="4">
        <v>44649</v>
      </c>
      <c r="I114" s="91" t="s">
        <v>5922</v>
      </c>
      <c r="K114" s="1">
        <v>6700</v>
      </c>
      <c r="M114" s="238" t="s">
        <v>7512</v>
      </c>
    </row>
    <row r="115" spans="3:13">
      <c r="C115" s="2" t="s">
        <v>18</v>
      </c>
      <c r="D115" s="2" t="s">
        <v>1064</v>
      </c>
      <c r="E115" s="3">
        <v>85</v>
      </c>
      <c r="F115" s="3">
        <v>55</v>
      </c>
      <c r="G115" s="4">
        <v>44501</v>
      </c>
      <c r="I115" s="91" t="s">
        <v>5918</v>
      </c>
      <c r="K115" s="1">
        <v>3750</v>
      </c>
      <c r="M115" s="240" t="s">
        <v>7595</v>
      </c>
    </row>
    <row r="116" spans="3:13">
      <c r="C116" s="2" t="s">
        <v>7</v>
      </c>
      <c r="D116" s="2" t="s">
        <v>1125</v>
      </c>
      <c r="E116" s="3">
        <v>2500</v>
      </c>
      <c r="F116" s="3">
        <f>2000/11</f>
        <v>181.81818181818181</v>
      </c>
      <c r="G116" s="4">
        <v>44363</v>
      </c>
      <c r="I116" s="91" t="s">
        <v>5917</v>
      </c>
      <c r="J116" s="104">
        <v>0.09</v>
      </c>
      <c r="K116" s="1">
        <v>5000</v>
      </c>
    </row>
    <row r="117" spans="3:13">
      <c r="C117" s="2" t="s">
        <v>18</v>
      </c>
      <c r="D117" s="2" t="s">
        <v>1005</v>
      </c>
      <c r="E117" s="3">
        <v>100</v>
      </c>
      <c r="F117" s="3">
        <v>10</v>
      </c>
      <c r="G117" s="4">
        <v>44754</v>
      </c>
      <c r="I117" s="91" t="s">
        <v>5920</v>
      </c>
      <c r="J117" s="19">
        <v>0.13</v>
      </c>
    </row>
    <row r="118" spans="3:13">
      <c r="C118" s="2" t="s">
        <v>18</v>
      </c>
      <c r="D118" s="2" t="s">
        <v>798</v>
      </c>
      <c r="E118" s="3">
        <v>50</v>
      </c>
      <c r="F118" s="3">
        <v>25</v>
      </c>
      <c r="G118" s="4">
        <v>44496</v>
      </c>
      <c r="I118" s="91" t="s">
        <v>5921</v>
      </c>
      <c r="J118" s="19">
        <v>0.35</v>
      </c>
    </row>
    <row r="119" spans="3:13">
      <c r="C119" s="2" t="s">
        <v>7</v>
      </c>
      <c r="D119" s="2" t="s">
        <v>864</v>
      </c>
      <c r="E119" s="3">
        <v>50</v>
      </c>
      <c r="F119" s="3">
        <v>7</v>
      </c>
      <c r="G119" s="4">
        <v>44628</v>
      </c>
      <c r="I119" s="91" t="s">
        <v>5923</v>
      </c>
    </row>
    <row r="120" spans="3:13">
      <c r="C120" s="2" t="s">
        <v>7</v>
      </c>
      <c r="D120" s="2" t="s">
        <v>1008</v>
      </c>
      <c r="E120" s="3">
        <v>30</v>
      </c>
      <c r="F120" s="3">
        <v>12</v>
      </c>
      <c r="G120" s="4">
        <v>44539</v>
      </c>
    </row>
    <row r="121" spans="3:13">
      <c r="C121" s="2" t="s">
        <v>5</v>
      </c>
      <c r="D121" s="2" t="s">
        <v>986</v>
      </c>
      <c r="E121" s="3">
        <v>25</v>
      </c>
      <c r="F121" s="3">
        <v>10</v>
      </c>
      <c r="G121" s="4">
        <v>44615</v>
      </c>
    </row>
    <row r="122" spans="3:13">
      <c r="C122" s="2" t="s">
        <v>5</v>
      </c>
      <c r="D122" s="2" t="s">
        <v>669</v>
      </c>
      <c r="E122" s="3">
        <v>14</v>
      </c>
      <c r="F122" s="3">
        <v>5</v>
      </c>
      <c r="G122" s="4">
        <v>44705</v>
      </c>
    </row>
    <row r="123" spans="3:13">
      <c r="C123" s="2" t="s">
        <v>18</v>
      </c>
      <c r="D123" s="2" t="s">
        <v>883</v>
      </c>
      <c r="E123" s="3">
        <v>200</v>
      </c>
      <c r="F123" s="3">
        <v>50</v>
      </c>
      <c r="G123" s="4">
        <v>44377</v>
      </c>
    </row>
    <row r="124" spans="3:13">
      <c r="C124" s="2" t="s">
        <v>5</v>
      </c>
      <c r="D124" s="2" t="s">
        <v>719</v>
      </c>
      <c r="E124" s="3">
        <v>11</v>
      </c>
      <c r="F124" s="3">
        <f>7/3</f>
        <v>2.3333333333333335</v>
      </c>
      <c r="G124" s="4">
        <v>44483</v>
      </c>
    </row>
    <row r="125" spans="3:13">
      <c r="C125" s="2" t="s">
        <v>504</v>
      </c>
      <c r="D125" s="2" t="s">
        <v>489</v>
      </c>
      <c r="E125" s="3">
        <v>250</v>
      </c>
      <c r="F125" s="3">
        <v>50</v>
      </c>
      <c r="G125" s="4">
        <v>44376</v>
      </c>
    </row>
    <row r="126" spans="3:13">
      <c r="C126" s="2" t="s">
        <v>9</v>
      </c>
      <c r="D126" s="2" t="s">
        <v>489</v>
      </c>
      <c r="E126" s="3">
        <v>206</v>
      </c>
      <c r="F126" s="3">
        <v>14</v>
      </c>
      <c r="G126" s="4">
        <v>43725</v>
      </c>
    </row>
    <row r="127" spans="3:13">
      <c r="C127" s="2" t="s">
        <v>18</v>
      </c>
      <c r="D127" s="2" t="s">
        <v>374</v>
      </c>
      <c r="E127" s="3">
        <v>130</v>
      </c>
      <c r="F127" s="3">
        <f>100/7</f>
        <v>14.285714285714286</v>
      </c>
      <c r="G127" s="4">
        <v>44323</v>
      </c>
    </row>
    <row r="128" spans="3:13">
      <c r="C128" s="2" t="s">
        <v>5</v>
      </c>
      <c r="D128" s="2" t="s">
        <v>281</v>
      </c>
      <c r="E128" s="3">
        <v>32</v>
      </c>
      <c r="F128" s="3">
        <v>11</v>
      </c>
      <c r="G128" s="4">
        <v>44851</v>
      </c>
    </row>
    <row r="129" spans="3:10">
      <c r="C129" s="2" t="s">
        <v>5</v>
      </c>
      <c r="D129" s="2" t="s">
        <v>281</v>
      </c>
      <c r="E129" s="3">
        <v>26</v>
      </c>
      <c r="F129" s="3">
        <v>13</v>
      </c>
      <c r="G129" s="4">
        <v>44453</v>
      </c>
    </row>
    <row r="130" spans="3:10">
      <c r="C130" s="2" t="s">
        <v>8</v>
      </c>
      <c r="D130" s="2" t="s">
        <v>253</v>
      </c>
      <c r="E130" s="3">
        <v>600</v>
      </c>
      <c r="F130" s="3">
        <v>100</v>
      </c>
      <c r="G130" s="4">
        <v>44502</v>
      </c>
      <c r="I130" s="1">
        <v>8600</v>
      </c>
      <c r="J130" s="1">
        <v>8600</v>
      </c>
    </row>
    <row r="131" spans="3:10">
      <c r="C131" s="2" t="s">
        <v>9</v>
      </c>
      <c r="D131" s="2" t="s">
        <v>154</v>
      </c>
      <c r="E131" s="3">
        <v>400</v>
      </c>
      <c r="F131" s="3">
        <v>80</v>
      </c>
      <c r="G131" s="4">
        <v>44413</v>
      </c>
    </row>
    <row r="132" spans="3:10">
      <c r="C132" s="2" t="s">
        <v>8</v>
      </c>
      <c r="D132" s="2" t="s">
        <v>154</v>
      </c>
      <c r="E132" s="3">
        <v>100</v>
      </c>
      <c r="F132" s="3">
        <f>75/6</f>
        <v>12.5</v>
      </c>
      <c r="G132" s="4">
        <v>44067</v>
      </c>
    </row>
    <row r="133" spans="3:10">
      <c r="C133" s="2" t="s">
        <v>9</v>
      </c>
      <c r="D133" s="2" t="s">
        <v>55</v>
      </c>
      <c r="E133" s="3">
        <v>250</v>
      </c>
      <c r="F133" s="3">
        <f>150/5</f>
        <v>30</v>
      </c>
      <c r="G133" s="4">
        <v>44350</v>
      </c>
      <c r="I133" s="1">
        <v>7000</v>
      </c>
      <c r="J133" s="1">
        <v>7000</v>
      </c>
    </row>
    <row r="134" spans="3:10">
      <c r="C134" s="52" t="s">
        <v>18</v>
      </c>
      <c r="D134" s="52" t="s">
        <v>2118</v>
      </c>
      <c r="E134" s="3">
        <v>300</v>
      </c>
      <c r="F134" s="3">
        <v>50</v>
      </c>
      <c r="G134" s="4">
        <v>44300</v>
      </c>
      <c r="I134" s="1">
        <v>700</v>
      </c>
      <c r="J134" s="1">
        <v>700</v>
      </c>
    </row>
    <row r="135" spans="3:10">
      <c r="C135" s="52" t="s">
        <v>8</v>
      </c>
      <c r="D135" s="52" t="s">
        <v>4882</v>
      </c>
      <c r="E135" s="3">
        <v>83</v>
      </c>
      <c r="F135" s="3">
        <v>15</v>
      </c>
      <c r="G135" s="4">
        <v>44320</v>
      </c>
      <c r="I135" s="1">
        <v>3600</v>
      </c>
      <c r="J135" s="1">
        <v>3600</v>
      </c>
    </row>
    <row r="136" spans="3:10">
      <c r="C136" s="92" t="s">
        <v>18</v>
      </c>
      <c r="D136" s="92" t="s">
        <v>2101</v>
      </c>
      <c r="E136" s="3">
        <v>100</v>
      </c>
      <c r="F136" s="3">
        <v>60</v>
      </c>
      <c r="G136" s="4">
        <v>44397</v>
      </c>
    </row>
    <row r="137" spans="3:10">
      <c r="C137" s="92" t="s">
        <v>18</v>
      </c>
      <c r="D137" s="92" t="s">
        <v>2090</v>
      </c>
      <c r="E137" s="3">
        <v>80</v>
      </c>
      <c r="F137" s="3">
        <v>10</v>
      </c>
      <c r="G137" s="4">
        <v>44637</v>
      </c>
      <c r="I137" s="1">
        <v>1500</v>
      </c>
      <c r="J137" s="1">
        <v>1500</v>
      </c>
    </row>
    <row r="138" spans="3:10">
      <c r="C138" s="92" t="s">
        <v>7</v>
      </c>
      <c r="D138" s="92" t="s">
        <v>5440</v>
      </c>
      <c r="E138" s="3">
        <v>75</v>
      </c>
      <c r="F138" s="3">
        <v>25</v>
      </c>
      <c r="G138" s="4">
        <v>44677</v>
      </c>
    </row>
    <row r="139" spans="3:10">
      <c r="C139" s="92" t="s">
        <v>5915</v>
      </c>
      <c r="D139" s="92" t="s">
        <v>0</v>
      </c>
      <c r="E139" s="3">
        <v>50</v>
      </c>
      <c r="F139" s="3">
        <v>50</v>
      </c>
      <c r="G139" s="103" t="s">
        <v>5916</v>
      </c>
    </row>
    <row r="140" spans="3:10">
      <c r="C140" s="92" t="s">
        <v>18</v>
      </c>
      <c r="D140" s="92" t="s">
        <v>5649</v>
      </c>
      <c r="E140" s="3">
        <v>75</v>
      </c>
      <c r="F140" s="3">
        <v>25</v>
      </c>
      <c r="G140" s="4">
        <v>44627</v>
      </c>
    </row>
    <row r="141" spans="3:10">
      <c r="C141" s="265" t="s">
        <v>7890</v>
      </c>
      <c r="D141" s="265" t="s">
        <v>1006</v>
      </c>
      <c r="E141" s="3">
        <v>684.6</v>
      </c>
      <c r="F141" s="266">
        <f>584.6/21</f>
        <v>27.838095238095239</v>
      </c>
      <c r="G141" s="4">
        <v>45240</v>
      </c>
      <c r="I141" s="1">
        <v>42500</v>
      </c>
      <c r="J141" s="1">
        <v>42500</v>
      </c>
    </row>
    <row r="142" spans="3:10">
      <c r="C142" s="265" t="s">
        <v>2486</v>
      </c>
      <c r="D142" s="265" t="s">
        <v>1006</v>
      </c>
      <c r="E142" s="3">
        <v>1600</v>
      </c>
      <c r="F142" s="3">
        <v>51.851851851851855</v>
      </c>
      <c r="G142" s="4">
        <v>44439</v>
      </c>
      <c r="I142" s="1">
        <v>36400</v>
      </c>
      <c r="J142" s="1">
        <v>42500</v>
      </c>
    </row>
    <row r="143" spans="3:10">
      <c r="C143" s="265" t="s">
        <v>504</v>
      </c>
      <c r="D143" s="265" t="s">
        <v>1006</v>
      </c>
      <c r="E143" s="3">
        <v>1000</v>
      </c>
      <c r="F143" s="3">
        <f>900/23</f>
        <v>39.130434782608695</v>
      </c>
      <c r="G143" s="4">
        <v>44228</v>
      </c>
      <c r="I143" s="1">
        <v>27000</v>
      </c>
      <c r="J143" s="1">
        <v>42500</v>
      </c>
    </row>
    <row r="144" spans="3:10">
      <c r="G144" s="4"/>
    </row>
    <row r="145" spans="1:18" s="12" customFormat="1">
      <c r="A145" s="12">
        <v>5</v>
      </c>
      <c r="B145" s="12" t="s">
        <v>1141</v>
      </c>
      <c r="C145" s="13" t="s">
        <v>969</v>
      </c>
      <c r="D145" s="13" t="s">
        <v>968</v>
      </c>
      <c r="E145" s="15"/>
      <c r="F145" s="15">
        <f>SUM(F146:F154)</f>
        <v>1207.3004684526422</v>
      </c>
      <c r="G145" s="14">
        <f>G149</f>
        <v>44502</v>
      </c>
      <c r="I145" s="13" t="s">
        <v>1</v>
      </c>
      <c r="J145" s="13" t="s">
        <v>1</v>
      </c>
      <c r="K145" s="13" t="s">
        <v>1</v>
      </c>
      <c r="M145" s="13">
        <v>0</v>
      </c>
      <c r="N145" s="13">
        <v>0</v>
      </c>
      <c r="O145" s="15">
        <f>F147</f>
        <v>250</v>
      </c>
      <c r="P145" s="15">
        <f>F146</f>
        <v>181.81818181818181</v>
      </c>
      <c r="Q145" s="13">
        <v>0</v>
      </c>
      <c r="R145" s="15">
        <f>F148</f>
        <v>22</v>
      </c>
    </row>
    <row r="146" spans="1:18">
      <c r="B146" s="238" t="s">
        <v>7526</v>
      </c>
      <c r="C146" s="2" t="s">
        <v>7</v>
      </c>
      <c r="D146" s="2" t="s">
        <v>1125</v>
      </c>
      <c r="E146" s="3">
        <v>2500</v>
      </c>
      <c r="F146" s="3">
        <f>2000/11</f>
        <v>181.81818181818181</v>
      </c>
      <c r="G146" s="4">
        <v>44363</v>
      </c>
      <c r="I146" s="265" t="s">
        <v>7891</v>
      </c>
    </row>
    <row r="147" spans="1:18">
      <c r="B147" s="254" t="s">
        <v>7631</v>
      </c>
      <c r="C147" s="2" t="s">
        <v>5</v>
      </c>
      <c r="D147" s="2" t="s">
        <v>1125</v>
      </c>
      <c r="E147" s="3">
        <v>3000</v>
      </c>
      <c r="F147" s="3">
        <v>250</v>
      </c>
      <c r="G147" s="4">
        <v>43963</v>
      </c>
    </row>
    <row r="148" spans="1:18">
      <c r="C148" s="2" t="s">
        <v>53</v>
      </c>
      <c r="D148" s="2" t="s">
        <v>489</v>
      </c>
      <c r="E148" s="3">
        <v>270</v>
      </c>
      <c r="F148" s="3">
        <v>22</v>
      </c>
      <c r="G148" s="4">
        <v>44152</v>
      </c>
    </row>
    <row r="149" spans="1:18">
      <c r="C149" s="2" t="s">
        <v>8</v>
      </c>
      <c r="D149" s="2" t="s">
        <v>253</v>
      </c>
      <c r="E149" s="3">
        <v>600</v>
      </c>
      <c r="F149" s="3">
        <f>500/8</f>
        <v>62.5</v>
      </c>
      <c r="G149" s="4">
        <v>44502</v>
      </c>
    </row>
    <row r="150" spans="1:18">
      <c r="C150" s="2" t="s">
        <v>18</v>
      </c>
      <c r="D150" s="2" t="s">
        <v>253</v>
      </c>
      <c r="E150" s="3">
        <v>500</v>
      </c>
      <c r="F150" s="3">
        <v>200</v>
      </c>
      <c r="G150" s="4">
        <v>44144</v>
      </c>
    </row>
    <row r="151" spans="1:18">
      <c r="C151" s="265" t="s">
        <v>7890</v>
      </c>
      <c r="D151" s="265" t="s">
        <v>1006</v>
      </c>
      <c r="E151" s="3">
        <v>684.6</v>
      </c>
      <c r="F151" s="3">
        <v>100</v>
      </c>
      <c r="G151" s="4">
        <v>45183</v>
      </c>
      <c r="I151" s="1">
        <v>42500</v>
      </c>
      <c r="J151" s="1">
        <v>42500</v>
      </c>
    </row>
    <row r="152" spans="1:18">
      <c r="C152" s="265" t="s">
        <v>2486</v>
      </c>
      <c r="D152" s="265" t="s">
        <v>1006</v>
      </c>
      <c r="E152" s="3">
        <v>1600</v>
      </c>
      <c r="F152" s="3">
        <v>51.851851851851855</v>
      </c>
      <c r="G152" s="4">
        <v>44439</v>
      </c>
      <c r="I152" s="1">
        <v>36400</v>
      </c>
      <c r="J152" s="1">
        <v>42500</v>
      </c>
    </row>
    <row r="153" spans="1:18">
      <c r="C153" s="265" t="s">
        <v>504</v>
      </c>
      <c r="D153" s="265" t="s">
        <v>1006</v>
      </c>
      <c r="E153" s="3">
        <v>1000</v>
      </c>
      <c r="F153" s="3">
        <f>900/23</f>
        <v>39.130434782608695</v>
      </c>
      <c r="G153" s="4">
        <v>44228</v>
      </c>
      <c r="I153" s="1">
        <v>27000</v>
      </c>
      <c r="J153" s="1">
        <v>42500</v>
      </c>
    </row>
    <row r="154" spans="1:18">
      <c r="C154" s="265" t="s">
        <v>1</v>
      </c>
      <c r="D154" s="265" t="s">
        <v>3931</v>
      </c>
      <c r="E154" s="3">
        <v>1200</v>
      </c>
      <c r="F154" s="3">
        <f>E154/4</f>
        <v>300</v>
      </c>
      <c r="G154" s="4">
        <v>43592</v>
      </c>
      <c r="I154" s="1">
        <v>17900</v>
      </c>
    </row>
    <row r="155" spans="1:18">
      <c r="G155" s="4"/>
    </row>
    <row r="156" spans="1:18" s="12" customFormat="1">
      <c r="A156" s="12">
        <v>6</v>
      </c>
      <c r="B156" s="12" t="s">
        <v>1143</v>
      </c>
      <c r="C156" s="13" t="s">
        <v>969</v>
      </c>
      <c r="D156" s="13" t="s">
        <v>968</v>
      </c>
      <c r="E156" s="15"/>
      <c r="F156" s="15">
        <f>SUM(F157:F163)</f>
        <v>753.15151515151513</v>
      </c>
      <c r="G156" s="14">
        <f>+G157</f>
        <v>44363</v>
      </c>
      <c r="I156" s="13" t="s">
        <v>1</v>
      </c>
      <c r="J156" s="13" t="s">
        <v>1</v>
      </c>
      <c r="K156" s="13" t="s">
        <v>1</v>
      </c>
      <c r="M156" s="13">
        <v>0</v>
      </c>
      <c r="N156" s="13">
        <v>0</v>
      </c>
      <c r="O156" s="15">
        <f>F158</f>
        <v>500</v>
      </c>
      <c r="P156" s="15">
        <f>F157</f>
        <v>181.81818181818181</v>
      </c>
      <c r="Q156" s="13">
        <v>0</v>
      </c>
      <c r="R156" s="15">
        <f>F159</f>
        <v>25</v>
      </c>
    </row>
    <row r="157" spans="1:18">
      <c r="B157" s="238" t="s">
        <v>7454</v>
      </c>
      <c r="C157" s="2" t="s">
        <v>7</v>
      </c>
      <c r="D157" s="2" t="s">
        <v>1125</v>
      </c>
      <c r="E157" s="3">
        <v>2500</v>
      </c>
      <c r="F157" s="3">
        <f>2000/11</f>
        <v>181.81818181818181</v>
      </c>
      <c r="G157" s="4">
        <v>44363</v>
      </c>
    </row>
    <row r="158" spans="1:18">
      <c r="B158" s="238" t="s">
        <v>7527</v>
      </c>
      <c r="C158" s="2" t="s">
        <v>5</v>
      </c>
      <c r="D158" s="2" t="s">
        <v>1125</v>
      </c>
      <c r="E158" s="3">
        <v>3000</v>
      </c>
      <c r="F158" s="3">
        <v>500</v>
      </c>
      <c r="G158" s="4">
        <v>43892</v>
      </c>
    </row>
    <row r="159" spans="1:18">
      <c r="B159" s="253" t="s">
        <v>7632</v>
      </c>
      <c r="C159" s="2" t="s">
        <v>8</v>
      </c>
      <c r="D159" s="2" t="s">
        <v>520</v>
      </c>
      <c r="E159" s="3">
        <v>100</v>
      </c>
      <c r="F159" s="3">
        <v>25</v>
      </c>
      <c r="G159" s="4">
        <v>44419</v>
      </c>
    </row>
    <row r="160" spans="1:18">
      <c r="C160" s="2" t="s">
        <v>7</v>
      </c>
      <c r="D160" s="2" t="s">
        <v>310</v>
      </c>
      <c r="E160" s="3">
        <v>40</v>
      </c>
      <c r="F160" s="3">
        <v>4</v>
      </c>
      <c r="G160" s="4">
        <v>43419</v>
      </c>
    </row>
    <row r="161" spans="1:18">
      <c r="C161" s="2" t="s">
        <v>8</v>
      </c>
      <c r="D161" s="2" t="s">
        <v>211</v>
      </c>
      <c r="E161" s="3">
        <v>700</v>
      </c>
      <c r="F161" s="3">
        <f>400/12</f>
        <v>33.333333333333336</v>
      </c>
      <c r="G161" s="4">
        <v>44218</v>
      </c>
    </row>
    <row r="162" spans="1:18">
      <c r="C162" s="92" t="s">
        <v>7</v>
      </c>
      <c r="D162" s="92" t="s">
        <v>5990</v>
      </c>
      <c r="E162" s="3">
        <v>50</v>
      </c>
      <c r="F162" s="3">
        <v>7</v>
      </c>
      <c r="G162" s="4">
        <v>44670</v>
      </c>
      <c r="J162" s="1">
        <v>250</v>
      </c>
    </row>
    <row r="163" spans="1:18">
      <c r="C163" s="92" t="s">
        <v>5</v>
      </c>
      <c r="D163" s="92" t="s">
        <v>5990</v>
      </c>
      <c r="E163" s="3">
        <v>12</v>
      </c>
      <c r="F163" s="3">
        <v>2</v>
      </c>
      <c r="G163" s="4">
        <v>43941</v>
      </c>
      <c r="J163" s="1">
        <v>250</v>
      </c>
    </row>
    <row r="164" spans="1:18">
      <c r="G164" s="4"/>
    </row>
    <row r="165" spans="1:18" s="12" customFormat="1">
      <c r="A165" s="12">
        <v>7</v>
      </c>
      <c r="B165" s="12" t="s">
        <v>1142</v>
      </c>
      <c r="C165" s="13" t="s">
        <v>969</v>
      </c>
      <c r="D165" s="13" t="s">
        <v>968</v>
      </c>
      <c r="E165" s="15"/>
      <c r="F165" s="15">
        <f>SUM(F166:F170)</f>
        <v>744.31818181818176</v>
      </c>
      <c r="G165" s="14">
        <f>G168</f>
        <v>44819</v>
      </c>
      <c r="I165" s="12">
        <v>92000</v>
      </c>
      <c r="J165" s="22">
        <f>+F165/I165</f>
        <v>8.090415019762846E-3</v>
      </c>
      <c r="K165" s="12">
        <v>1999</v>
      </c>
      <c r="M165" s="13">
        <v>0</v>
      </c>
      <c r="N165" s="13">
        <v>0</v>
      </c>
      <c r="O165" s="15">
        <f>SUM(F167:F168)</f>
        <v>503</v>
      </c>
      <c r="P165" s="15">
        <f>SUM(F166)</f>
        <v>181.81818181818181</v>
      </c>
      <c r="Q165" s="13">
        <v>0</v>
      </c>
      <c r="R165" s="15">
        <f>SUM(F169)</f>
        <v>22</v>
      </c>
    </row>
    <row r="166" spans="1:18">
      <c r="B166" s="238" t="s">
        <v>7455</v>
      </c>
      <c r="C166" s="2" t="s">
        <v>7</v>
      </c>
      <c r="D166" s="2" t="s">
        <v>1125</v>
      </c>
      <c r="E166" s="3">
        <v>2500</v>
      </c>
      <c r="F166" s="3">
        <f>2000/11</f>
        <v>181.81818181818181</v>
      </c>
      <c r="G166" s="4">
        <v>44363</v>
      </c>
    </row>
    <row r="167" spans="1:18">
      <c r="B167" s="254" t="s">
        <v>7631</v>
      </c>
      <c r="C167" s="2" t="s">
        <v>5</v>
      </c>
      <c r="D167" s="2" t="s">
        <v>1125</v>
      </c>
      <c r="E167" s="3">
        <v>3000</v>
      </c>
      <c r="F167" s="3">
        <v>500</v>
      </c>
      <c r="G167" s="4">
        <v>43892</v>
      </c>
    </row>
    <row r="168" spans="1:18">
      <c r="C168" s="2" t="s">
        <v>5</v>
      </c>
      <c r="D168" s="2" t="s">
        <v>1017</v>
      </c>
      <c r="E168" s="3">
        <v>10.6</v>
      </c>
      <c r="F168" s="3">
        <v>3</v>
      </c>
      <c r="G168" s="4">
        <v>44819</v>
      </c>
    </row>
    <row r="169" spans="1:18">
      <c r="C169" s="2" t="s">
        <v>53</v>
      </c>
      <c r="D169" s="2" t="s">
        <v>489</v>
      </c>
      <c r="E169" s="3">
        <v>270</v>
      </c>
      <c r="F169" s="3">
        <v>22</v>
      </c>
      <c r="G169" s="4">
        <v>44152</v>
      </c>
    </row>
    <row r="170" spans="1:18">
      <c r="C170" s="2" t="s">
        <v>9</v>
      </c>
      <c r="D170" s="2" t="s">
        <v>47</v>
      </c>
      <c r="E170" s="3">
        <v>248</v>
      </c>
      <c r="F170" s="3">
        <f>150/4</f>
        <v>37.5</v>
      </c>
      <c r="G170" s="4">
        <v>43678</v>
      </c>
    </row>
    <row r="171" spans="1:18">
      <c r="G171" s="4"/>
    </row>
    <row r="172" spans="1:18" s="12" customFormat="1">
      <c r="A172" s="12">
        <v>8</v>
      </c>
      <c r="B172" s="12" t="s">
        <v>1140</v>
      </c>
      <c r="C172" s="13" t="s">
        <v>969</v>
      </c>
      <c r="D172" s="13" t="s">
        <v>968</v>
      </c>
      <c r="E172" s="15"/>
      <c r="F172" s="15">
        <f>SUM(F173:F178)</f>
        <v>756.6700336700336</v>
      </c>
      <c r="G172" s="14">
        <f>+G175</f>
        <v>45020</v>
      </c>
      <c r="I172" s="13" t="s">
        <v>1</v>
      </c>
      <c r="J172" s="13" t="s">
        <v>1</v>
      </c>
      <c r="K172" s="13" t="s">
        <v>1</v>
      </c>
      <c r="M172" s="13">
        <v>0</v>
      </c>
      <c r="N172" s="13">
        <v>0</v>
      </c>
      <c r="O172" s="15">
        <f>F174</f>
        <v>500</v>
      </c>
      <c r="P172" s="15">
        <f>F173</f>
        <v>181.81818181818181</v>
      </c>
      <c r="Q172" s="15">
        <f>SUM(F175:F176)</f>
        <v>17</v>
      </c>
      <c r="R172" s="13">
        <v>0</v>
      </c>
    </row>
    <row r="173" spans="1:18">
      <c r="B173" s="238" t="s">
        <v>7456</v>
      </c>
      <c r="C173" s="2" t="s">
        <v>7</v>
      </c>
      <c r="D173" s="2" t="s">
        <v>1125</v>
      </c>
      <c r="E173" s="3">
        <v>2500</v>
      </c>
      <c r="F173" s="3">
        <f>2000/11</f>
        <v>181.81818181818181</v>
      </c>
      <c r="G173" s="4">
        <v>44363</v>
      </c>
    </row>
    <row r="174" spans="1:18">
      <c r="B174" s="254" t="s">
        <v>7631</v>
      </c>
      <c r="C174" s="2" t="s">
        <v>5</v>
      </c>
      <c r="D174" s="2" t="s">
        <v>1125</v>
      </c>
      <c r="E174" s="3">
        <v>3000</v>
      </c>
      <c r="F174" s="3">
        <v>500</v>
      </c>
      <c r="G174" s="4">
        <v>43892</v>
      </c>
    </row>
    <row r="175" spans="1:18">
      <c r="C175" s="2" t="s">
        <v>18</v>
      </c>
      <c r="D175" s="2" t="s">
        <v>424</v>
      </c>
      <c r="E175" s="3">
        <v>75</v>
      </c>
      <c r="F175" s="3">
        <v>7</v>
      </c>
      <c r="G175" s="4">
        <v>45020</v>
      </c>
    </row>
    <row r="176" spans="1:18">
      <c r="C176" s="2" t="s">
        <v>18</v>
      </c>
      <c r="D176" s="2" t="s">
        <v>424</v>
      </c>
      <c r="E176" s="3">
        <v>80</v>
      </c>
      <c r="F176" s="3">
        <v>10</v>
      </c>
      <c r="G176" s="4">
        <v>44404</v>
      </c>
    </row>
    <row r="177" spans="1:18">
      <c r="C177" s="2" t="s">
        <v>5</v>
      </c>
      <c r="D177" s="2" t="s">
        <v>313</v>
      </c>
      <c r="E177" s="3">
        <v>57</v>
      </c>
      <c r="F177" s="3">
        <v>6</v>
      </c>
      <c r="G177" s="4">
        <v>44508</v>
      </c>
    </row>
    <row r="178" spans="1:18">
      <c r="C178" s="265" t="s">
        <v>2486</v>
      </c>
      <c r="D178" s="265" t="s">
        <v>1006</v>
      </c>
      <c r="E178" s="3">
        <f>1600</f>
        <v>1600</v>
      </c>
      <c r="F178" s="3">
        <f>1400/27</f>
        <v>51.851851851851855</v>
      </c>
      <c r="G178" s="4">
        <v>44439</v>
      </c>
      <c r="I178" s="1">
        <v>36400</v>
      </c>
      <c r="J178" s="1">
        <v>42500</v>
      </c>
    </row>
    <row r="179" spans="1:18">
      <c r="C179" s="265" t="s">
        <v>504</v>
      </c>
      <c r="D179" s="265" t="s">
        <v>1006</v>
      </c>
      <c r="E179" s="3">
        <v>1000</v>
      </c>
      <c r="F179" s="3">
        <f>900/23</f>
        <v>39.130434782608695</v>
      </c>
      <c r="G179" s="4">
        <v>44228</v>
      </c>
      <c r="I179" s="1">
        <v>27000</v>
      </c>
      <c r="J179" s="1">
        <v>42500</v>
      </c>
    </row>
    <row r="180" spans="1:18">
      <c r="G180" s="4"/>
    </row>
    <row r="181" spans="1:18" s="12" customFormat="1">
      <c r="A181" s="12">
        <v>9</v>
      </c>
      <c r="B181" s="12" t="s">
        <v>1139</v>
      </c>
      <c r="C181" s="13" t="s">
        <v>969</v>
      </c>
      <c r="D181" s="13" t="s">
        <v>968</v>
      </c>
      <c r="E181" s="15"/>
      <c r="F181" s="15">
        <f>SUM(F182:F193)</f>
        <v>795.82427797645187</v>
      </c>
      <c r="G181" s="14">
        <f>G193</f>
        <v>45265</v>
      </c>
      <c r="I181" s="2" t="s">
        <v>1</v>
      </c>
      <c r="J181" s="2" t="s">
        <v>1</v>
      </c>
      <c r="K181" s="2" t="s">
        <v>1</v>
      </c>
      <c r="M181" s="13">
        <v>0</v>
      </c>
      <c r="N181" s="13">
        <v>0</v>
      </c>
      <c r="O181" s="15">
        <f>F183</f>
        <v>250</v>
      </c>
      <c r="P181" s="15">
        <f>SUM(F182,F184,F185,F186)</f>
        <v>235.81818181818181</v>
      </c>
      <c r="Q181" s="13">
        <v>0</v>
      </c>
      <c r="R181" s="13">
        <v>0</v>
      </c>
    </row>
    <row r="182" spans="1:18">
      <c r="B182" s="238" t="s">
        <v>7526</v>
      </c>
      <c r="C182" s="2" t="s">
        <v>7</v>
      </c>
      <c r="D182" s="2" t="s">
        <v>1125</v>
      </c>
      <c r="E182" s="3">
        <v>2500</v>
      </c>
      <c r="F182" s="3">
        <f>2000/11</f>
        <v>181.81818181818181</v>
      </c>
      <c r="G182" s="4">
        <v>44363</v>
      </c>
    </row>
    <row r="183" spans="1:18">
      <c r="B183" s="254" t="s">
        <v>7631</v>
      </c>
      <c r="C183" s="2" t="s">
        <v>5</v>
      </c>
      <c r="D183" s="2" t="s">
        <v>1125</v>
      </c>
      <c r="E183" s="3">
        <v>3000</v>
      </c>
      <c r="F183" s="3">
        <v>250</v>
      </c>
      <c r="G183" s="4">
        <v>43963</v>
      </c>
    </row>
    <row r="184" spans="1:18">
      <c r="C184" s="2" t="s">
        <v>7</v>
      </c>
      <c r="D184" s="2" t="s">
        <v>1072</v>
      </c>
      <c r="E184" s="3">
        <v>37</v>
      </c>
      <c r="F184" s="3">
        <v>4</v>
      </c>
      <c r="G184" s="4">
        <v>44860</v>
      </c>
    </row>
    <row r="185" spans="1:18">
      <c r="C185" s="2" t="s">
        <v>7</v>
      </c>
      <c r="D185" s="2" t="s">
        <v>1072</v>
      </c>
      <c r="E185" s="3">
        <v>30</v>
      </c>
      <c r="F185" s="3">
        <v>30</v>
      </c>
      <c r="G185" s="4">
        <v>44706</v>
      </c>
    </row>
    <row r="186" spans="1:18">
      <c r="C186" s="2" t="s">
        <v>7</v>
      </c>
      <c r="D186" s="2" t="s">
        <v>1072</v>
      </c>
      <c r="E186" s="3">
        <v>80</v>
      </c>
      <c r="F186" s="3">
        <v>20</v>
      </c>
      <c r="G186" s="4">
        <v>44327</v>
      </c>
    </row>
    <row r="187" spans="1:18">
      <c r="C187" s="2" t="s">
        <v>8</v>
      </c>
      <c r="D187" s="2" t="s">
        <v>253</v>
      </c>
      <c r="E187" s="3">
        <v>600</v>
      </c>
      <c r="F187" s="3">
        <f>500/8</f>
        <v>62.5</v>
      </c>
      <c r="G187" s="4">
        <v>44502</v>
      </c>
    </row>
    <row r="188" spans="1:18">
      <c r="C188" s="2" t="s">
        <v>18</v>
      </c>
      <c r="D188" s="2" t="s">
        <v>253</v>
      </c>
      <c r="E188" s="3">
        <v>500</v>
      </c>
      <c r="F188" s="3">
        <f>300/4</f>
        <v>75</v>
      </c>
      <c r="G188" s="4">
        <v>44144</v>
      </c>
    </row>
    <row r="189" spans="1:18">
      <c r="C189" s="2" t="s">
        <v>8</v>
      </c>
      <c r="D189" s="2" t="s">
        <v>176</v>
      </c>
      <c r="E189" s="3">
        <v>130</v>
      </c>
      <c r="F189" s="3">
        <v>22</v>
      </c>
      <c r="G189" s="4">
        <v>42080</v>
      </c>
      <c r="I189" s="1">
        <v>570</v>
      </c>
    </row>
    <row r="190" spans="1:18">
      <c r="C190" s="2" t="s">
        <v>9</v>
      </c>
      <c r="D190" s="2" t="s">
        <v>22</v>
      </c>
      <c r="E190" s="3">
        <v>222</v>
      </c>
      <c r="F190" s="3">
        <f>200/21</f>
        <v>9.5238095238095237</v>
      </c>
      <c r="G190" s="4">
        <v>44194</v>
      </c>
      <c r="I190" s="1">
        <v>2500</v>
      </c>
      <c r="J190" s="1">
        <v>2500</v>
      </c>
    </row>
    <row r="191" spans="1:18">
      <c r="C191" s="265" t="s">
        <v>2486</v>
      </c>
      <c r="D191" s="265" t="s">
        <v>1006</v>
      </c>
      <c r="E191" s="3">
        <v>1600</v>
      </c>
      <c r="F191" s="3">
        <f>1400/27</f>
        <v>51.851851851851855</v>
      </c>
      <c r="G191" s="4">
        <v>44439</v>
      </c>
      <c r="I191" s="1">
        <v>36400</v>
      </c>
      <c r="J191" s="1">
        <v>42500</v>
      </c>
    </row>
    <row r="192" spans="1:18">
      <c r="C192" s="265" t="s">
        <v>504</v>
      </c>
      <c r="D192" s="265" t="s">
        <v>1006</v>
      </c>
      <c r="E192" s="3">
        <v>1000</v>
      </c>
      <c r="F192" s="3">
        <f>900/23</f>
        <v>39.130434782608695</v>
      </c>
      <c r="G192" s="4">
        <v>44228</v>
      </c>
      <c r="I192" s="1">
        <v>27000</v>
      </c>
      <c r="J192" s="1">
        <v>42500</v>
      </c>
    </row>
    <row r="193" spans="1:18">
      <c r="C193" s="265" t="s">
        <v>9</v>
      </c>
      <c r="D193" s="265" t="s">
        <v>4882</v>
      </c>
      <c r="E193" s="3">
        <v>118</v>
      </c>
      <c r="F193" s="3">
        <v>50</v>
      </c>
      <c r="G193" s="4">
        <v>45265</v>
      </c>
      <c r="I193" s="1">
        <v>9000</v>
      </c>
      <c r="J193" s="1">
        <v>9000</v>
      </c>
    </row>
    <row r="194" spans="1:18">
      <c r="G194" s="4"/>
    </row>
    <row r="195" spans="1:18">
      <c r="B195" s="12" t="s">
        <v>9434</v>
      </c>
      <c r="C195" s="13" t="s">
        <v>969</v>
      </c>
      <c r="D195" s="13" t="s">
        <v>968</v>
      </c>
      <c r="F195" s="15">
        <f>SUM(F196:F197)</f>
        <v>600</v>
      </c>
      <c r="G195" s="14">
        <f>G196</f>
        <v>44462</v>
      </c>
      <c r="M195" s="1"/>
      <c r="N195" s="1"/>
      <c r="O195" s="1"/>
      <c r="P195" s="1"/>
      <c r="Q195" s="1"/>
      <c r="R195" s="1"/>
    </row>
    <row r="196" spans="1:18">
      <c r="B196" s="274"/>
      <c r="C196" s="2" t="s">
        <v>18</v>
      </c>
      <c r="D196" s="2" t="s">
        <v>197</v>
      </c>
      <c r="E196" s="3">
        <v>300</v>
      </c>
      <c r="F196" s="3">
        <v>300</v>
      </c>
      <c r="G196" s="4">
        <v>44462</v>
      </c>
      <c r="I196" s="5"/>
      <c r="J196" s="5"/>
    </row>
    <row r="197" spans="1:18">
      <c r="B197" s="176"/>
      <c r="C197" s="265" t="s">
        <v>1</v>
      </c>
      <c r="D197" s="265" t="s">
        <v>3931</v>
      </c>
      <c r="E197" s="3">
        <v>1200</v>
      </c>
      <c r="F197" s="3">
        <v>300</v>
      </c>
      <c r="G197" s="4">
        <v>43592</v>
      </c>
      <c r="I197" s="5">
        <v>17900</v>
      </c>
      <c r="J197" s="5"/>
    </row>
    <row r="198" spans="1:18">
      <c r="B198" s="176"/>
      <c r="C198" s="265"/>
      <c r="D198" s="265"/>
      <c r="G198" s="4"/>
      <c r="I198" s="5"/>
      <c r="J198" s="5"/>
    </row>
    <row r="199" spans="1:18">
      <c r="A199" s="1">
        <v>10</v>
      </c>
      <c r="B199" s="12" t="s">
        <v>7378</v>
      </c>
      <c r="C199" s="13" t="s">
        <v>969</v>
      </c>
      <c r="D199" s="13" t="s">
        <v>968</v>
      </c>
      <c r="F199" s="15">
        <f>SUM(F200:F236)</f>
        <v>564.19761904761913</v>
      </c>
      <c r="G199" s="14">
        <f>G207</f>
        <v>45090</v>
      </c>
      <c r="I199" s="12">
        <v>18000</v>
      </c>
      <c r="J199" s="22">
        <f>+F199/I199</f>
        <v>3.1344312169312175E-2</v>
      </c>
      <c r="K199" s="12">
        <v>2000</v>
      </c>
    </row>
    <row r="200" spans="1:18">
      <c r="B200" s="238" t="s">
        <v>7794</v>
      </c>
      <c r="C200" s="2" t="s">
        <v>4</v>
      </c>
      <c r="D200" s="2" t="s">
        <v>936</v>
      </c>
      <c r="E200" s="3">
        <v>100</v>
      </c>
      <c r="F200" s="3">
        <v>25</v>
      </c>
      <c r="G200" s="4">
        <v>44846</v>
      </c>
    </row>
    <row r="201" spans="1:18">
      <c r="C201" s="2" t="s">
        <v>18</v>
      </c>
      <c r="D201" s="2" t="s">
        <v>877</v>
      </c>
      <c r="E201" s="3">
        <v>85</v>
      </c>
      <c r="F201" s="3">
        <v>6</v>
      </c>
      <c r="G201" s="4">
        <v>44417</v>
      </c>
      <c r="I201" s="238" t="s">
        <v>7513</v>
      </c>
    </row>
    <row r="202" spans="1:18">
      <c r="C202" s="2" t="s">
        <v>7</v>
      </c>
      <c r="D202" s="2" t="s">
        <v>877</v>
      </c>
      <c r="E202" s="3">
        <v>35</v>
      </c>
      <c r="F202" s="3">
        <v>10</v>
      </c>
      <c r="G202" s="4">
        <v>44293</v>
      </c>
      <c r="I202" s="238" t="s">
        <v>7514</v>
      </c>
    </row>
    <row r="203" spans="1:18">
      <c r="C203" s="2" t="s">
        <v>18</v>
      </c>
      <c r="D203" s="2" t="s">
        <v>1043</v>
      </c>
      <c r="E203" s="3">
        <v>100</v>
      </c>
      <c r="F203" s="3">
        <v>15</v>
      </c>
      <c r="G203" s="4">
        <v>44699</v>
      </c>
      <c r="I203" s="238" t="s">
        <v>7523</v>
      </c>
    </row>
    <row r="204" spans="1:18">
      <c r="C204" s="2" t="s">
        <v>7</v>
      </c>
      <c r="D204" s="2" t="s">
        <v>1043</v>
      </c>
      <c r="E204" s="3">
        <v>100</v>
      </c>
      <c r="F204" s="3">
        <f>25/3</f>
        <v>8.3333333333333339</v>
      </c>
      <c r="G204" s="4">
        <v>44286</v>
      </c>
      <c r="I204" s="238" t="s">
        <v>7515</v>
      </c>
    </row>
    <row r="205" spans="1:18">
      <c r="C205" s="2" t="s">
        <v>5</v>
      </c>
      <c r="D205" s="2" t="s">
        <v>1063</v>
      </c>
      <c r="E205" s="3">
        <v>65</v>
      </c>
      <c r="F205" s="3">
        <v>35</v>
      </c>
      <c r="G205" s="4">
        <v>44984</v>
      </c>
      <c r="I205" s="238" t="s">
        <v>7516</v>
      </c>
    </row>
    <row r="206" spans="1:18">
      <c r="C206" s="2" t="s">
        <v>7</v>
      </c>
      <c r="D206" s="2" t="s">
        <v>1011</v>
      </c>
      <c r="E206" s="3">
        <v>43</v>
      </c>
      <c r="F206" s="3">
        <v>13</v>
      </c>
      <c r="G206" s="4">
        <v>44978</v>
      </c>
      <c r="I206" s="238" t="s">
        <v>7518</v>
      </c>
    </row>
    <row r="207" spans="1:18">
      <c r="C207" s="2" t="s">
        <v>4</v>
      </c>
      <c r="D207" s="2" t="s">
        <v>705</v>
      </c>
      <c r="E207" s="3">
        <v>113</v>
      </c>
      <c r="F207" s="3">
        <v>19</v>
      </c>
      <c r="G207" s="4">
        <v>45090</v>
      </c>
      <c r="I207" s="238" t="s">
        <v>7525</v>
      </c>
    </row>
    <row r="208" spans="1:18">
      <c r="C208" s="2" t="s">
        <v>5</v>
      </c>
      <c r="D208" s="2" t="s">
        <v>682</v>
      </c>
      <c r="E208" s="3">
        <v>15</v>
      </c>
      <c r="F208" s="3">
        <v>3</v>
      </c>
      <c r="G208" s="4">
        <v>44838</v>
      </c>
      <c r="I208" s="238" t="s">
        <v>7519</v>
      </c>
    </row>
    <row r="209" spans="3:12">
      <c r="C209" s="2" t="s">
        <v>18</v>
      </c>
      <c r="D209" s="2" t="s">
        <v>883</v>
      </c>
      <c r="E209" s="3">
        <v>200</v>
      </c>
      <c r="F209" s="3">
        <v>20</v>
      </c>
      <c r="G209" s="4">
        <v>44377</v>
      </c>
      <c r="I209" s="238" t="s">
        <v>7524</v>
      </c>
    </row>
    <row r="210" spans="3:12">
      <c r="C210" s="2" t="s">
        <v>7</v>
      </c>
      <c r="D210" s="2" t="s">
        <v>883</v>
      </c>
      <c r="E210" s="3">
        <v>75</v>
      </c>
      <c r="F210" s="3">
        <v>5</v>
      </c>
      <c r="G210" s="4">
        <v>43783</v>
      </c>
      <c r="I210" s="238" t="s">
        <v>7528</v>
      </c>
    </row>
    <row r="211" spans="3:12">
      <c r="C211" s="2" t="s">
        <v>5</v>
      </c>
      <c r="D211" s="2" t="s">
        <v>883</v>
      </c>
      <c r="E211" s="3">
        <v>30</v>
      </c>
      <c r="F211" s="3">
        <v>10</v>
      </c>
      <c r="G211" s="4">
        <v>43573</v>
      </c>
      <c r="I211" s="238" t="s">
        <v>7529</v>
      </c>
    </row>
    <row r="212" spans="3:12">
      <c r="C212" s="2" t="s">
        <v>4</v>
      </c>
      <c r="D212" s="2" t="s">
        <v>1017</v>
      </c>
      <c r="E212" s="3">
        <v>1.5</v>
      </c>
      <c r="F212" s="3">
        <v>1</v>
      </c>
      <c r="G212" s="4">
        <v>44098</v>
      </c>
    </row>
    <row r="213" spans="3:12">
      <c r="C213" s="2" t="s">
        <v>8</v>
      </c>
      <c r="D213" s="2" t="s">
        <v>520</v>
      </c>
      <c r="E213" s="3">
        <v>100</v>
      </c>
      <c r="F213" s="3">
        <f>50/4</f>
        <v>12.5</v>
      </c>
      <c r="G213" s="4">
        <v>44419</v>
      </c>
    </row>
    <row r="214" spans="3:12">
      <c r="C214" s="2" t="s">
        <v>18</v>
      </c>
      <c r="D214" s="2" t="s">
        <v>520</v>
      </c>
      <c r="E214" s="3">
        <v>60</v>
      </c>
      <c r="F214" s="3">
        <v>5</v>
      </c>
      <c r="G214" s="4">
        <v>43606</v>
      </c>
    </row>
    <row r="215" spans="3:12">
      <c r="C215" s="2" t="s">
        <v>7</v>
      </c>
      <c r="D215" s="2" t="s">
        <v>520</v>
      </c>
      <c r="E215" s="3">
        <v>30</v>
      </c>
      <c r="F215" s="3">
        <v>5</v>
      </c>
      <c r="G215" s="4">
        <v>43396</v>
      </c>
    </row>
    <row r="216" spans="3:12">
      <c r="C216" s="2" t="s">
        <v>5</v>
      </c>
      <c r="D216" s="2" t="s">
        <v>520</v>
      </c>
      <c r="E216" s="3">
        <v>7</v>
      </c>
      <c r="F216" s="3">
        <v>3</v>
      </c>
      <c r="G216" s="4">
        <v>42885</v>
      </c>
    </row>
    <row r="217" spans="3:12">
      <c r="C217" s="2" t="s">
        <v>7</v>
      </c>
      <c r="D217" s="2" t="s">
        <v>525</v>
      </c>
      <c r="E217" s="3">
        <v>32</v>
      </c>
      <c r="F217" s="3">
        <v>3</v>
      </c>
      <c r="G217" s="4">
        <v>44364</v>
      </c>
    </row>
    <row r="218" spans="3:12">
      <c r="C218" s="2" t="s">
        <v>5</v>
      </c>
      <c r="D218" s="2" t="s">
        <v>525</v>
      </c>
      <c r="E218" s="3">
        <v>10.199999999999999</v>
      </c>
      <c r="F218" s="3">
        <v>3</v>
      </c>
      <c r="G218" s="4">
        <v>43732</v>
      </c>
    </row>
    <row r="219" spans="3:12">
      <c r="C219" s="2" t="s">
        <v>4</v>
      </c>
      <c r="D219" s="2" t="s">
        <v>525</v>
      </c>
      <c r="E219" s="3">
        <v>3</v>
      </c>
      <c r="F219" s="3">
        <v>0.75</v>
      </c>
      <c r="G219" s="4">
        <v>43374</v>
      </c>
    </row>
    <row r="220" spans="3:12">
      <c r="C220" s="2" t="s">
        <v>4</v>
      </c>
      <c r="D220" s="2" t="s">
        <v>347</v>
      </c>
      <c r="E220" s="3">
        <v>3.5</v>
      </c>
      <c r="F220" s="3">
        <f>E220/10</f>
        <v>0.35</v>
      </c>
      <c r="G220" s="4">
        <v>43046</v>
      </c>
      <c r="L220" s="1">
        <v>0</v>
      </c>
    </row>
    <row r="221" spans="3:12">
      <c r="C221" s="2" t="s">
        <v>53</v>
      </c>
      <c r="D221" s="2" t="s">
        <v>47</v>
      </c>
      <c r="E221" s="3">
        <v>100</v>
      </c>
      <c r="F221" s="3">
        <f>75/7</f>
        <v>10.714285714285714</v>
      </c>
      <c r="G221" s="4">
        <v>44515</v>
      </c>
      <c r="I221" s="5">
        <v>4100</v>
      </c>
      <c r="J221" s="5">
        <v>4100</v>
      </c>
    </row>
    <row r="222" spans="3:12">
      <c r="C222" s="2" t="s">
        <v>9</v>
      </c>
      <c r="D222" s="2" t="s">
        <v>47</v>
      </c>
      <c r="E222" s="3">
        <v>248</v>
      </c>
      <c r="F222" s="3">
        <v>98</v>
      </c>
      <c r="G222" s="4">
        <v>43678</v>
      </c>
      <c r="I222" s="5">
        <v>1700</v>
      </c>
      <c r="J222" s="5">
        <v>4100</v>
      </c>
    </row>
    <row r="223" spans="3:12">
      <c r="C223" s="2" t="s">
        <v>8</v>
      </c>
      <c r="D223" s="2" t="s">
        <v>47</v>
      </c>
      <c r="E223" s="3">
        <v>145</v>
      </c>
      <c r="F223" s="3">
        <v>30</v>
      </c>
      <c r="G223" s="4">
        <v>43228</v>
      </c>
      <c r="I223" s="5">
        <v>855</v>
      </c>
      <c r="J223" s="5">
        <v>4100</v>
      </c>
    </row>
    <row r="224" spans="3:12">
      <c r="C224" s="2" t="s">
        <v>18</v>
      </c>
      <c r="D224" s="2" t="s">
        <v>47</v>
      </c>
      <c r="E224" s="3">
        <v>60</v>
      </c>
      <c r="F224" s="3">
        <v>40</v>
      </c>
      <c r="G224" s="4">
        <v>42964</v>
      </c>
      <c r="I224" s="5"/>
      <c r="J224" s="5">
        <v>4100</v>
      </c>
    </row>
    <row r="225" spans="1:11">
      <c r="C225" s="2" t="s">
        <v>18</v>
      </c>
      <c r="D225" s="2" t="s">
        <v>47</v>
      </c>
      <c r="E225" s="3">
        <v>50</v>
      </c>
      <c r="F225" s="3">
        <f>20/2</f>
        <v>10</v>
      </c>
      <c r="G225" s="4">
        <v>42509</v>
      </c>
      <c r="I225" s="5"/>
      <c r="J225" s="5">
        <v>4100</v>
      </c>
    </row>
    <row r="226" spans="1:11">
      <c r="C226" s="2" t="s">
        <v>7</v>
      </c>
      <c r="D226" s="2" t="s">
        <v>47</v>
      </c>
      <c r="E226" s="3">
        <v>30</v>
      </c>
      <c r="F226" s="3">
        <v>10</v>
      </c>
      <c r="G226" s="4">
        <v>41808</v>
      </c>
      <c r="I226" s="5"/>
      <c r="J226" s="5">
        <v>4100</v>
      </c>
    </row>
    <row r="227" spans="1:11">
      <c r="C227" s="2" t="s">
        <v>5</v>
      </c>
      <c r="D227" s="2" t="s">
        <v>47</v>
      </c>
      <c r="E227" s="3">
        <v>10.7</v>
      </c>
      <c r="F227" s="3">
        <v>5.7</v>
      </c>
      <c r="G227" s="4">
        <v>41076</v>
      </c>
      <c r="I227" s="5"/>
      <c r="J227" s="5">
        <v>4100</v>
      </c>
    </row>
    <row r="228" spans="1:11">
      <c r="C228" s="2" t="s">
        <v>18</v>
      </c>
      <c r="D228" s="2" t="s">
        <v>192</v>
      </c>
      <c r="E228" s="3">
        <v>235</v>
      </c>
      <c r="F228" s="3">
        <f>85/2</f>
        <v>42.5</v>
      </c>
      <c r="G228" s="4">
        <v>44384</v>
      </c>
      <c r="I228" s="5"/>
    </row>
    <row r="229" spans="1:11">
      <c r="C229" s="2" t="s">
        <v>7</v>
      </c>
      <c r="D229" s="2" t="s">
        <v>192</v>
      </c>
      <c r="E229" s="3">
        <v>43</v>
      </c>
      <c r="F229" s="3">
        <f>+E229/5</f>
        <v>8.6</v>
      </c>
      <c r="G229" s="4">
        <v>44077</v>
      </c>
      <c r="I229" s="5"/>
    </row>
    <row r="230" spans="1:11">
      <c r="C230" s="2" t="s">
        <v>5</v>
      </c>
      <c r="D230" s="2" t="s">
        <v>192</v>
      </c>
      <c r="E230" s="3">
        <v>15</v>
      </c>
      <c r="F230" s="3">
        <v>10</v>
      </c>
      <c r="G230" s="4">
        <v>43479</v>
      </c>
      <c r="I230" s="5"/>
    </row>
    <row r="231" spans="1:11">
      <c r="C231" s="2" t="s">
        <v>9</v>
      </c>
      <c r="D231" s="2" t="s">
        <v>52</v>
      </c>
      <c r="E231" s="3">
        <v>220</v>
      </c>
      <c r="F231" s="3">
        <v>28</v>
      </c>
      <c r="G231" s="4">
        <v>44357</v>
      </c>
      <c r="I231" s="5">
        <v>1900</v>
      </c>
      <c r="J231" s="5">
        <v>1900</v>
      </c>
    </row>
    <row r="232" spans="1:11">
      <c r="C232" s="2" t="s">
        <v>8</v>
      </c>
      <c r="D232" s="2" t="s">
        <v>52</v>
      </c>
      <c r="E232" s="3">
        <v>125</v>
      </c>
      <c r="F232" s="3">
        <v>18.75</v>
      </c>
      <c r="G232" s="4">
        <v>44131</v>
      </c>
      <c r="I232" s="5">
        <v>875</v>
      </c>
      <c r="J232" s="5">
        <v>1900</v>
      </c>
    </row>
    <row r="233" spans="1:11">
      <c r="C233" s="2" t="s">
        <v>18</v>
      </c>
      <c r="D233" s="2" t="s">
        <v>52</v>
      </c>
      <c r="E233" s="3">
        <v>28</v>
      </c>
      <c r="F233" s="3">
        <v>7</v>
      </c>
      <c r="G233" s="4">
        <v>43579</v>
      </c>
      <c r="I233" s="5"/>
      <c r="J233" s="5">
        <v>1900</v>
      </c>
    </row>
    <row r="234" spans="1:11">
      <c r="C234" s="2" t="s">
        <v>7</v>
      </c>
      <c r="D234" s="2" t="s">
        <v>1063</v>
      </c>
      <c r="E234" s="3">
        <v>100</v>
      </c>
      <c r="F234" s="3">
        <f>60/4</f>
        <v>15</v>
      </c>
      <c r="G234" s="4">
        <v>45106</v>
      </c>
      <c r="I234" s="5"/>
      <c r="J234" s="5"/>
    </row>
    <row r="235" spans="1:11">
      <c r="C235" s="2" t="s">
        <v>8</v>
      </c>
      <c r="D235" s="2" t="s">
        <v>2134</v>
      </c>
      <c r="E235" s="3">
        <v>200</v>
      </c>
      <c r="F235" s="3">
        <v>20</v>
      </c>
      <c r="G235" s="4">
        <v>44237</v>
      </c>
      <c r="I235" s="5"/>
      <c r="J235" s="5"/>
    </row>
    <row r="236" spans="1:11">
      <c r="C236" s="153" t="s">
        <v>7</v>
      </c>
      <c r="D236" s="153" t="s">
        <v>2036</v>
      </c>
      <c r="E236" s="3">
        <v>25</v>
      </c>
      <c r="F236" s="3">
        <v>7</v>
      </c>
      <c r="G236" s="4">
        <v>43528</v>
      </c>
      <c r="I236" s="5"/>
      <c r="J236" s="5"/>
    </row>
    <row r="237" spans="1:11">
      <c r="G237" s="4"/>
    </row>
    <row r="238" spans="1:11">
      <c r="A238" s="1">
        <v>11</v>
      </c>
      <c r="B238" s="12" t="s">
        <v>7379</v>
      </c>
      <c r="C238" s="13" t="s">
        <v>969</v>
      </c>
      <c r="D238" s="13" t="s">
        <v>968</v>
      </c>
      <c r="E238" s="15"/>
      <c r="F238" s="15">
        <f>SUM(F239:F271)</f>
        <v>582.14895330112734</v>
      </c>
      <c r="G238" s="14">
        <f>+G271</f>
        <v>45147</v>
      </c>
      <c r="I238" s="1">
        <v>70000</v>
      </c>
      <c r="J238" s="20">
        <f>+F238/I238</f>
        <v>8.3164136185875336E-3</v>
      </c>
      <c r="K238" s="1">
        <v>1999</v>
      </c>
    </row>
    <row r="239" spans="1:11">
      <c r="B239" s="238" t="s">
        <v>7457</v>
      </c>
      <c r="C239" s="2" t="s">
        <v>9</v>
      </c>
      <c r="D239" s="2" t="s">
        <v>803</v>
      </c>
      <c r="E239" s="3">
        <v>325</v>
      </c>
      <c r="F239" s="3">
        <v>18.5</v>
      </c>
      <c r="G239" s="4">
        <v>44299</v>
      </c>
      <c r="I239" s="238" t="s">
        <v>7596</v>
      </c>
    </row>
    <row r="240" spans="1:11">
      <c r="B240" s="238"/>
      <c r="C240" s="2" t="s">
        <v>18</v>
      </c>
      <c r="D240" s="2" t="s">
        <v>803</v>
      </c>
      <c r="E240" s="3">
        <v>100</v>
      </c>
      <c r="F240" s="3">
        <f>65/5</f>
        <v>13</v>
      </c>
      <c r="G240" s="4">
        <v>43682</v>
      </c>
      <c r="I240" s="238" t="s">
        <v>7538</v>
      </c>
    </row>
    <row r="241" spans="3:10">
      <c r="C241" s="2" t="s">
        <v>4</v>
      </c>
      <c r="D241" s="2" t="s">
        <v>936</v>
      </c>
      <c r="E241" s="3">
        <v>100</v>
      </c>
      <c r="F241" s="3">
        <v>25</v>
      </c>
      <c r="G241" s="4">
        <v>44846</v>
      </c>
      <c r="I241" s="274" t="s">
        <v>9419</v>
      </c>
      <c r="J241" s="274" t="s">
        <v>9420</v>
      </c>
    </row>
    <row r="242" spans="3:10">
      <c r="C242" s="2" t="s">
        <v>18</v>
      </c>
      <c r="D242" s="2" t="s">
        <v>926</v>
      </c>
      <c r="E242" s="3">
        <v>100</v>
      </c>
      <c r="F242" s="3">
        <v>9</v>
      </c>
      <c r="G242" s="4">
        <v>44690</v>
      </c>
      <c r="J242" s="1">
        <v>4300</v>
      </c>
    </row>
    <row r="243" spans="3:10">
      <c r="C243" s="2" t="s">
        <v>5</v>
      </c>
      <c r="D243" s="2" t="s">
        <v>763</v>
      </c>
      <c r="E243" s="3">
        <v>125</v>
      </c>
      <c r="F243" s="3">
        <v>15</v>
      </c>
      <c r="G243" s="4">
        <v>44852</v>
      </c>
    </row>
    <row r="244" spans="3:10">
      <c r="C244" s="2" t="s">
        <v>18</v>
      </c>
      <c r="D244" s="2" t="s">
        <v>962</v>
      </c>
      <c r="E244" s="3">
        <v>135</v>
      </c>
      <c r="F244" s="3">
        <v>25</v>
      </c>
      <c r="G244" s="4">
        <v>44500</v>
      </c>
      <c r="J244" s="1">
        <v>1200</v>
      </c>
    </row>
    <row r="245" spans="3:10">
      <c r="C245" s="2" t="s">
        <v>7</v>
      </c>
      <c r="D245" s="2" t="s">
        <v>962</v>
      </c>
      <c r="E245" s="3">
        <v>45</v>
      </c>
      <c r="F245" s="3">
        <v>10</v>
      </c>
      <c r="G245" s="4">
        <v>44228</v>
      </c>
      <c r="J245" s="1">
        <v>1200</v>
      </c>
    </row>
    <row r="246" spans="3:10">
      <c r="C246" s="2" t="s">
        <v>18</v>
      </c>
      <c r="D246" s="2" t="s">
        <v>957</v>
      </c>
      <c r="E246" s="3">
        <v>50</v>
      </c>
      <c r="F246" s="3">
        <v>6</v>
      </c>
      <c r="G246" s="4">
        <v>44900</v>
      </c>
      <c r="I246" s="1">
        <v>450</v>
      </c>
      <c r="J246" s="1">
        <v>1400</v>
      </c>
    </row>
    <row r="247" spans="3:10">
      <c r="C247" s="2" t="s">
        <v>7</v>
      </c>
      <c r="D247" s="2" t="s">
        <v>957</v>
      </c>
      <c r="E247" s="3">
        <v>35</v>
      </c>
      <c r="F247" s="3">
        <v>20</v>
      </c>
      <c r="G247" s="4">
        <v>44543</v>
      </c>
      <c r="J247" s="1">
        <v>1400</v>
      </c>
    </row>
    <row r="248" spans="3:10">
      <c r="C248" s="2" t="s">
        <v>18</v>
      </c>
      <c r="D248" s="2" t="s">
        <v>798</v>
      </c>
      <c r="E248" s="3">
        <v>50</v>
      </c>
      <c r="F248" s="3">
        <v>8</v>
      </c>
      <c r="G248" s="4">
        <v>44496</v>
      </c>
      <c r="I248" s="1" t="s">
        <v>4294</v>
      </c>
      <c r="J248" s="274" t="s">
        <v>9425</v>
      </c>
    </row>
    <row r="249" spans="3:10">
      <c r="C249" s="2" t="s">
        <v>7</v>
      </c>
      <c r="D249" s="2" t="s">
        <v>798</v>
      </c>
      <c r="E249" s="3">
        <v>22</v>
      </c>
      <c r="F249" s="3">
        <v>12</v>
      </c>
      <c r="G249" s="4">
        <v>44153</v>
      </c>
      <c r="I249" s="238" t="s">
        <v>7539</v>
      </c>
    </row>
    <row r="250" spans="3:10">
      <c r="C250" s="2" t="s">
        <v>7</v>
      </c>
      <c r="D250" s="2" t="s">
        <v>864</v>
      </c>
      <c r="E250" s="3">
        <v>50</v>
      </c>
      <c r="F250" s="3">
        <v>7</v>
      </c>
      <c r="G250" s="4">
        <v>44628</v>
      </c>
      <c r="I250" s="238" t="s">
        <v>7540</v>
      </c>
    </row>
    <row r="251" spans="3:10">
      <c r="C251" s="2" t="s">
        <v>7</v>
      </c>
      <c r="D251" s="2" t="s">
        <v>1011</v>
      </c>
      <c r="E251" s="3">
        <v>43</v>
      </c>
      <c r="F251" s="3">
        <v>6</v>
      </c>
      <c r="G251" s="4">
        <v>44978</v>
      </c>
      <c r="I251" s="1" t="s">
        <v>7541</v>
      </c>
    </row>
    <row r="252" spans="3:10">
      <c r="C252" s="2" t="s">
        <v>5</v>
      </c>
      <c r="D252" s="2" t="s">
        <v>1011</v>
      </c>
      <c r="E252" s="3">
        <v>26</v>
      </c>
      <c r="F252" s="3">
        <v>13</v>
      </c>
      <c r="G252" s="4">
        <v>44453</v>
      </c>
      <c r="I252" s="274" t="s">
        <v>9421</v>
      </c>
    </row>
    <row r="253" spans="3:10">
      <c r="C253" s="2" t="s">
        <v>7</v>
      </c>
      <c r="D253" s="2" t="s">
        <v>894</v>
      </c>
      <c r="E253" s="3">
        <v>40</v>
      </c>
      <c r="F253" s="3">
        <v>20</v>
      </c>
      <c r="G253" s="4">
        <v>44728</v>
      </c>
      <c r="I253" s="274" t="s">
        <v>9422</v>
      </c>
    </row>
    <row r="254" spans="3:10">
      <c r="C254" s="2" t="s">
        <v>7</v>
      </c>
      <c r="D254" s="2" t="s">
        <v>871</v>
      </c>
      <c r="E254" s="3">
        <v>30</v>
      </c>
      <c r="F254" s="3">
        <f>20/3</f>
        <v>6.666666666666667</v>
      </c>
      <c r="G254" s="4">
        <v>44510</v>
      </c>
      <c r="I254" s="274" t="s">
        <v>9423</v>
      </c>
    </row>
    <row r="255" spans="3:10">
      <c r="C255" s="2" t="s">
        <v>5</v>
      </c>
      <c r="D255" s="2" t="s">
        <v>871</v>
      </c>
      <c r="E255" s="3">
        <v>21.4</v>
      </c>
      <c r="F255" s="3">
        <v>5</v>
      </c>
      <c r="G255" s="4">
        <v>44232</v>
      </c>
      <c r="I255" s="274" t="s">
        <v>9424</v>
      </c>
    </row>
    <row r="256" spans="3:10">
      <c r="C256" s="2" t="s">
        <v>7</v>
      </c>
      <c r="D256" s="2" t="s">
        <v>907</v>
      </c>
      <c r="E256" s="3">
        <v>97.4</v>
      </c>
      <c r="F256" s="3">
        <f>47/6</f>
        <v>7.833333333333333</v>
      </c>
      <c r="G256" s="4">
        <v>45041</v>
      </c>
    </row>
    <row r="257" spans="3:11">
      <c r="C257" s="2" t="s">
        <v>7</v>
      </c>
      <c r="D257" s="2" t="s">
        <v>907</v>
      </c>
      <c r="E257" s="3">
        <v>80</v>
      </c>
      <c r="F257" s="3">
        <v>40</v>
      </c>
      <c r="G257" s="4">
        <v>44539</v>
      </c>
    </row>
    <row r="258" spans="3:11">
      <c r="C258" s="2" t="s">
        <v>7</v>
      </c>
      <c r="D258" s="2" t="s">
        <v>286</v>
      </c>
      <c r="E258" s="3">
        <v>35</v>
      </c>
      <c r="F258" s="3">
        <v>5</v>
      </c>
      <c r="G258" s="4">
        <v>44309</v>
      </c>
    </row>
    <row r="259" spans="3:11">
      <c r="C259" s="2" t="s">
        <v>8</v>
      </c>
      <c r="D259" s="2" t="s">
        <v>240</v>
      </c>
      <c r="E259" s="3">
        <v>81</v>
      </c>
      <c r="F259" s="3">
        <f>E259/6</f>
        <v>13.5</v>
      </c>
      <c r="G259" s="4">
        <v>43418</v>
      </c>
      <c r="I259" s="1">
        <v>1700</v>
      </c>
      <c r="J259" s="1">
        <v>3800</v>
      </c>
    </row>
    <row r="260" spans="3:11">
      <c r="C260" s="2" t="s">
        <v>9</v>
      </c>
      <c r="D260" s="2" t="s">
        <v>55</v>
      </c>
      <c r="E260" s="3">
        <v>250</v>
      </c>
      <c r="F260" s="3">
        <v>30</v>
      </c>
      <c r="G260" s="4">
        <v>44350</v>
      </c>
      <c r="I260" s="1">
        <v>7000</v>
      </c>
      <c r="J260" s="1">
        <v>7000</v>
      </c>
    </row>
    <row r="261" spans="3:11">
      <c r="C261" s="2" t="s">
        <v>8</v>
      </c>
      <c r="D261" s="2" t="s">
        <v>55</v>
      </c>
      <c r="E261" s="3">
        <v>200</v>
      </c>
      <c r="F261" s="3">
        <v>50</v>
      </c>
      <c r="G261" s="4">
        <v>44055</v>
      </c>
      <c r="I261" s="1">
        <v>2000</v>
      </c>
      <c r="J261" s="1">
        <v>7000</v>
      </c>
    </row>
    <row r="262" spans="3:11">
      <c r="C262" s="52" t="s">
        <v>8</v>
      </c>
      <c r="D262" s="52" t="s">
        <v>2116</v>
      </c>
      <c r="E262" s="3">
        <v>175</v>
      </c>
      <c r="F262" s="3">
        <v>50</v>
      </c>
      <c r="G262" s="4">
        <v>44511</v>
      </c>
      <c r="I262" s="1">
        <v>3400</v>
      </c>
      <c r="J262" s="1">
        <v>3400</v>
      </c>
    </row>
    <row r="263" spans="3:11">
      <c r="C263" s="55" t="s">
        <v>53</v>
      </c>
      <c r="D263" s="55" t="s">
        <v>4996</v>
      </c>
      <c r="E263" s="3">
        <v>100</v>
      </c>
      <c r="F263" s="3">
        <f>70/5</f>
        <v>14</v>
      </c>
      <c r="G263" s="4">
        <v>44474</v>
      </c>
    </row>
    <row r="264" spans="3:11">
      <c r="C264" s="55" t="s">
        <v>9</v>
      </c>
      <c r="D264" s="55" t="s">
        <v>4996</v>
      </c>
      <c r="E264" s="3">
        <v>43</v>
      </c>
      <c r="F264" s="3">
        <f>23/3</f>
        <v>7.666666666666667</v>
      </c>
      <c r="G264" s="4">
        <v>43992</v>
      </c>
    </row>
    <row r="265" spans="3:11">
      <c r="C265" s="55" t="s">
        <v>8</v>
      </c>
      <c r="D265" s="55" t="s">
        <v>4996</v>
      </c>
      <c r="E265" s="3">
        <v>40</v>
      </c>
      <c r="F265" s="3">
        <v>20</v>
      </c>
      <c r="G265" s="4">
        <v>43320</v>
      </c>
      <c r="I265" s="1">
        <v>210</v>
      </c>
      <c r="J265" s="1">
        <v>210</v>
      </c>
    </row>
    <row r="266" spans="3:11">
      <c r="C266" s="55" t="s">
        <v>18</v>
      </c>
      <c r="D266" s="55" t="s">
        <v>4996</v>
      </c>
      <c r="E266" s="3">
        <v>27</v>
      </c>
      <c r="F266" s="3">
        <v>10</v>
      </c>
      <c r="G266" s="4">
        <v>42851</v>
      </c>
      <c r="J266" s="1">
        <v>210</v>
      </c>
    </row>
    <row r="267" spans="3:11">
      <c r="C267" s="153" t="s">
        <v>7</v>
      </c>
      <c r="D267" s="153" t="s">
        <v>2036</v>
      </c>
      <c r="E267" s="3">
        <v>25</v>
      </c>
      <c r="F267" s="3">
        <v>7</v>
      </c>
      <c r="G267" s="4">
        <v>43528</v>
      </c>
    </row>
    <row r="268" spans="3:11">
      <c r="C268" s="168" t="s">
        <v>5</v>
      </c>
      <c r="D268" s="168" t="s">
        <v>2031</v>
      </c>
      <c r="E268" s="3">
        <v>24</v>
      </c>
      <c r="F268" s="3">
        <f>E268/2</f>
        <v>12</v>
      </c>
      <c r="G268" s="4">
        <v>44719</v>
      </c>
    </row>
    <row r="269" spans="3:11">
      <c r="C269" s="265" t="s">
        <v>2486</v>
      </c>
      <c r="D269" s="265" t="s">
        <v>1006</v>
      </c>
      <c r="E269" s="3">
        <v>1600</v>
      </c>
      <c r="F269" s="3">
        <f>1400/27</f>
        <v>51.851851851851855</v>
      </c>
      <c r="G269" s="4">
        <v>44439</v>
      </c>
      <c r="I269" s="1">
        <v>36400</v>
      </c>
      <c r="J269" s="1">
        <v>42500</v>
      </c>
    </row>
    <row r="270" spans="3:11">
      <c r="C270" s="265" t="s">
        <v>504</v>
      </c>
      <c r="D270" s="265" t="s">
        <v>1006</v>
      </c>
      <c r="E270" s="3">
        <v>1000</v>
      </c>
      <c r="F270" s="3">
        <f>900/23</f>
        <v>39.130434782608695</v>
      </c>
      <c r="G270" s="4">
        <v>44228</v>
      </c>
      <c r="I270" s="1">
        <v>27000</v>
      </c>
      <c r="J270" s="1">
        <v>42500</v>
      </c>
    </row>
    <row r="271" spans="3:11">
      <c r="C271" s="265" t="s">
        <v>18</v>
      </c>
      <c r="D271" s="265" t="s">
        <v>962</v>
      </c>
      <c r="E271" s="3">
        <v>50</v>
      </c>
      <c r="F271" s="3">
        <v>5</v>
      </c>
      <c r="G271" s="4">
        <v>45147</v>
      </c>
      <c r="I271" s="1">
        <v>1200</v>
      </c>
      <c r="J271" s="1">
        <v>1200</v>
      </c>
    </row>
    <row r="272" spans="3:11">
      <c r="G272" s="4"/>
      <c r="I272" s="12"/>
      <c r="J272" s="12"/>
      <c r="K272" s="12"/>
    </row>
    <row r="273" spans="1:11">
      <c r="A273" s="1">
        <v>12</v>
      </c>
      <c r="B273" s="12" t="s">
        <v>7380</v>
      </c>
      <c r="C273" s="13" t="s">
        <v>969</v>
      </c>
      <c r="D273" s="13" t="s">
        <v>968</v>
      </c>
      <c r="E273" s="15"/>
      <c r="F273" s="15">
        <f>SUM(F274:F300)</f>
        <v>467.58500000000004</v>
      </c>
      <c r="G273" s="14">
        <f>G277</f>
        <v>45062</v>
      </c>
      <c r="I273" s="1">
        <v>8600</v>
      </c>
      <c r="J273" s="21">
        <f>+F273/I273</f>
        <v>5.4370348837209308E-2</v>
      </c>
      <c r="K273" s="1">
        <v>2000</v>
      </c>
    </row>
    <row r="274" spans="1:11">
      <c r="B274" s="254" t="s">
        <v>7795</v>
      </c>
      <c r="C274" s="2" t="s">
        <v>7</v>
      </c>
      <c r="D274" s="2" t="s">
        <v>949</v>
      </c>
      <c r="E274" s="3">
        <v>350</v>
      </c>
      <c r="F274" s="3">
        <v>75</v>
      </c>
      <c r="G274" s="4">
        <v>44999</v>
      </c>
    </row>
    <row r="275" spans="1:11">
      <c r="B275" s="254" t="s">
        <v>7796</v>
      </c>
      <c r="C275" s="2" t="s">
        <v>18</v>
      </c>
      <c r="D275" s="2" t="s">
        <v>1043</v>
      </c>
      <c r="E275" s="3">
        <v>100</v>
      </c>
      <c r="F275" s="3">
        <v>15</v>
      </c>
      <c r="G275" s="4">
        <v>44699</v>
      </c>
    </row>
    <row r="276" spans="1:11">
      <c r="B276" s="254" t="s">
        <v>7797</v>
      </c>
      <c r="C276" s="2" t="s">
        <v>7</v>
      </c>
      <c r="D276" s="2" t="s">
        <v>1043</v>
      </c>
      <c r="E276" s="3">
        <v>40</v>
      </c>
      <c r="F276" s="3">
        <v>15</v>
      </c>
      <c r="G276" s="4">
        <v>44286</v>
      </c>
    </row>
    <row r="277" spans="1:11">
      <c r="B277" s="254" t="s">
        <v>7798</v>
      </c>
      <c r="C277" s="2" t="s">
        <v>4</v>
      </c>
      <c r="D277" s="2" t="s">
        <v>1129</v>
      </c>
      <c r="E277" s="3">
        <v>50</v>
      </c>
      <c r="F277" s="3">
        <v>25</v>
      </c>
      <c r="G277" s="4">
        <v>45062</v>
      </c>
    </row>
    <row r="278" spans="1:11">
      <c r="C278" s="2" t="s">
        <v>5</v>
      </c>
      <c r="D278" s="2" t="s">
        <v>381</v>
      </c>
      <c r="E278" s="3">
        <v>86</v>
      </c>
      <c r="F278" s="3">
        <v>36</v>
      </c>
      <c r="G278" s="4">
        <v>44488</v>
      </c>
    </row>
    <row r="279" spans="1:11">
      <c r="C279" s="2" t="s">
        <v>7</v>
      </c>
      <c r="D279" s="2" t="s">
        <v>360</v>
      </c>
      <c r="E279" s="3">
        <v>27.5</v>
      </c>
      <c r="F279" s="3">
        <f>E279/4</f>
        <v>6.875</v>
      </c>
      <c r="G279" s="4">
        <v>44181</v>
      </c>
    </row>
    <row r="280" spans="1:11">
      <c r="C280" s="2" t="s">
        <v>5</v>
      </c>
      <c r="D280" s="2" t="s">
        <v>360</v>
      </c>
      <c r="E280" s="3">
        <v>10.7</v>
      </c>
      <c r="F280" s="3">
        <v>4</v>
      </c>
      <c r="G280" s="4">
        <v>43250</v>
      </c>
    </row>
    <row r="281" spans="1:11">
      <c r="C281" s="2" t="s">
        <v>53</v>
      </c>
      <c r="D281" s="2" t="s">
        <v>47</v>
      </c>
      <c r="E281" s="3">
        <v>100</v>
      </c>
      <c r="F281" s="3">
        <v>11</v>
      </c>
      <c r="G281" s="4">
        <v>44515</v>
      </c>
      <c r="I281" s="1">
        <v>4100</v>
      </c>
      <c r="J281" s="1">
        <v>4100</v>
      </c>
    </row>
    <row r="282" spans="1:11">
      <c r="C282" s="2" t="s">
        <v>8</v>
      </c>
      <c r="D282" s="2" t="s">
        <v>47</v>
      </c>
      <c r="E282" s="3">
        <v>145</v>
      </c>
      <c r="F282" s="3">
        <v>14.166666666666666</v>
      </c>
      <c r="G282" s="4">
        <v>43228</v>
      </c>
      <c r="I282" s="1">
        <v>855</v>
      </c>
      <c r="J282" s="1">
        <v>4100</v>
      </c>
    </row>
    <row r="283" spans="1:11">
      <c r="C283" s="2" t="s">
        <v>18</v>
      </c>
      <c r="D283" s="2" t="s">
        <v>47</v>
      </c>
      <c r="E283" s="3">
        <v>50</v>
      </c>
      <c r="F283" s="3">
        <v>15</v>
      </c>
      <c r="G283" s="4">
        <v>42509</v>
      </c>
      <c r="J283" s="1">
        <v>4100</v>
      </c>
    </row>
    <row r="284" spans="1:11">
      <c r="C284" s="2" t="s">
        <v>8</v>
      </c>
      <c r="D284" s="2" t="s">
        <v>15</v>
      </c>
      <c r="E284" s="3">
        <v>220</v>
      </c>
      <c r="F284" s="3">
        <v>30</v>
      </c>
      <c r="G284" s="4">
        <v>44502</v>
      </c>
      <c r="I284" s="1">
        <v>794</v>
      </c>
      <c r="J284" s="1">
        <v>794</v>
      </c>
    </row>
    <row r="285" spans="1:11">
      <c r="C285" s="2" t="s">
        <v>8</v>
      </c>
      <c r="D285" s="2" t="s">
        <v>15</v>
      </c>
      <c r="E285" s="3">
        <v>220</v>
      </c>
      <c r="F285" s="3">
        <v>26.666666666666668</v>
      </c>
      <c r="G285" s="4">
        <v>44322</v>
      </c>
      <c r="I285" s="1">
        <v>780</v>
      </c>
      <c r="J285" s="1">
        <v>780</v>
      </c>
    </row>
    <row r="286" spans="1:11">
      <c r="C286" s="2" t="s">
        <v>18</v>
      </c>
      <c r="D286" s="2" t="s">
        <v>15</v>
      </c>
      <c r="E286" s="3">
        <v>60</v>
      </c>
      <c r="F286" s="3">
        <v>10</v>
      </c>
      <c r="G286" s="4">
        <v>43528</v>
      </c>
    </row>
    <row r="287" spans="1:11">
      <c r="C287" s="2" t="s">
        <v>7</v>
      </c>
      <c r="D287" s="2" t="s">
        <v>15</v>
      </c>
      <c r="E287" s="3">
        <v>28</v>
      </c>
      <c r="F287" s="3">
        <v>10</v>
      </c>
      <c r="G287" s="4">
        <v>43031</v>
      </c>
    </row>
    <row r="288" spans="1:11">
      <c r="C288" s="2" t="s">
        <v>9</v>
      </c>
      <c r="D288" s="2" t="s">
        <v>52</v>
      </c>
      <c r="E288" s="3">
        <v>220</v>
      </c>
      <c r="F288" s="3">
        <v>28</v>
      </c>
      <c r="G288" s="4">
        <v>44357</v>
      </c>
      <c r="I288" s="1">
        <v>1900</v>
      </c>
      <c r="J288" s="1">
        <v>1900</v>
      </c>
    </row>
    <row r="289" spans="1:11">
      <c r="C289" s="2" t="s">
        <v>8</v>
      </c>
      <c r="D289" s="2" t="s">
        <v>52</v>
      </c>
      <c r="E289" s="3">
        <v>125</v>
      </c>
      <c r="F289" s="3">
        <v>50</v>
      </c>
      <c r="G289" s="4">
        <v>44131</v>
      </c>
      <c r="I289" s="1">
        <v>875</v>
      </c>
      <c r="J289" s="1">
        <v>1900</v>
      </c>
    </row>
    <row r="290" spans="1:11">
      <c r="C290" s="52" t="s">
        <v>8</v>
      </c>
      <c r="D290" s="52" t="s">
        <v>2116</v>
      </c>
      <c r="E290" s="3">
        <v>175</v>
      </c>
      <c r="F290" s="3">
        <f>75/4</f>
        <v>18.75</v>
      </c>
      <c r="G290" s="4">
        <v>44511</v>
      </c>
      <c r="I290" s="1">
        <v>3400</v>
      </c>
      <c r="J290" s="1">
        <v>3400</v>
      </c>
    </row>
    <row r="291" spans="1:11">
      <c r="C291" s="52" t="s">
        <v>18</v>
      </c>
      <c r="D291" s="52" t="s">
        <v>2116</v>
      </c>
      <c r="E291" s="3">
        <v>125</v>
      </c>
      <c r="F291" s="3">
        <v>35</v>
      </c>
      <c r="G291" s="53">
        <v>44126</v>
      </c>
      <c r="I291" s="1">
        <v>1100</v>
      </c>
      <c r="J291" s="1">
        <v>3400</v>
      </c>
    </row>
    <row r="292" spans="1:11">
      <c r="C292" s="52" t="s">
        <v>7</v>
      </c>
      <c r="D292" s="52" t="s">
        <v>2116</v>
      </c>
      <c r="E292" s="3">
        <v>40</v>
      </c>
      <c r="F292" s="3">
        <v>10</v>
      </c>
      <c r="G292" s="53">
        <v>43720</v>
      </c>
      <c r="J292" s="1">
        <v>3400</v>
      </c>
    </row>
    <row r="293" spans="1:11">
      <c r="C293" s="92" t="s">
        <v>8</v>
      </c>
      <c r="D293" s="92" t="s">
        <v>5407</v>
      </c>
      <c r="E293" s="3">
        <v>50</v>
      </c>
      <c r="F293" s="3">
        <f>30/4</f>
        <v>7.5</v>
      </c>
      <c r="G293" s="53">
        <v>44307</v>
      </c>
      <c r="I293" s="1">
        <v>2000</v>
      </c>
      <c r="J293" s="1">
        <v>2000</v>
      </c>
    </row>
    <row r="294" spans="1:11">
      <c r="C294" s="92" t="s">
        <v>18</v>
      </c>
      <c r="D294" s="92" t="s">
        <v>5407</v>
      </c>
      <c r="E294" s="3">
        <v>37</v>
      </c>
      <c r="F294" s="3">
        <v>6</v>
      </c>
      <c r="G294" s="53">
        <v>43831</v>
      </c>
      <c r="J294" s="1">
        <v>2000</v>
      </c>
    </row>
    <row r="295" spans="1:11">
      <c r="C295" s="92" t="s">
        <v>7</v>
      </c>
      <c r="D295" s="92" t="s">
        <v>5407</v>
      </c>
      <c r="E295" s="3">
        <v>13.5</v>
      </c>
      <c r="F295" s="3">
        <f>8/3</f>
        <v>2.6666666666666665</v>
      </c>
      <c r="G295" s="53">
        <v>43320</v>
      </c>
      <c r="J295" s="1">
        <v>2000</v>
      </c>
    </row>
    <row r="296" spans="1:11">
      <c r="C296" s="92" t="s">
        <v>5</v>
      </c>
      <c r="D296" s="92" t="s">
        <v>5407</v>
      </c>
      <c r="E296" s="3">
        <v>18.100000000000001</v>
      </c>
      <c r="F296" s="3">
        <v>2</v>
      </c>
      <c r="G296" s="53">
        <v>42719</v>
      </c>
      <c r="J296" s="1">
        <v>2000</v>
      </c>
    </row>
    <row r="297" spans="1:11">
      <c r="C297" s="92" t="s">
        <v>4</v>
      </c>
      <c r="D297" s="92" t="s">
        <v>5407</v>
      </c>
      <c r="E297" s="3">
        <v>2.1</v>
      </c>
      <c r="F297" s="3">
        <v>2.1</v>
      </c>
      <c r="G297" s="53">
        <v>41988</v>
      </c>
      <c r="J297" s="1">
        <v>2000</v>
      </c>
    </row>
    <row r="298" spans="1:11">
      <c r="C298" s="153" t="s">
        <v>5</v>
      </c>
      <c r="D298" s="153" t="s">
        <v>2039</v>
      </c>
      <c r="E298" s="3">
        <v>18</v>
      </c>
      <c r="F298" s="3">
        <v>4</v>
      </c>
      <c r="G298" s="53">
        <v>43445</v>
      </c>
    </row>
    <row r="299" spans="1:11">
      <c r="C299" s="153" t="s">
        <v>4</v>
      </c>
      <c r="D299" s="153" t="s">
        <v>2039</v>
      </c>
      <c r="E299" s="3">
        <v>4.3</v>
      </c>
      <c r="F299" s="3">
        <f>E299/5</f>
        <v>0.86</v>
      </c>
      <c r="G299" s="53">
        <v>43157</v>
      </c>
    </row>
    <row r="300" spans="1:11">
      <c r="C300" s="153" t="s">
        <v>7</v>
      </c>
      <c r="D300" s="153" t="s">
        <v>2036</v>
      </c>
      <c r="E300" s="3">
        <v>25</v>
      </c>
      <c r="F300" s="3">
        <v>7</v>
      </c>
      <c r="G300" s="53">
        <v>43528</v>
      </c>
    </row>
    <row r="301" spans="1:11">
      <c r="G301" s="4"/>
    </row>
    <row r="302" spans="1:11">
      <c r="A302" s="1">
        <v>13</v>
      </c>
      <c r="B302" s="12" t="s">
        <v>7381</v>
      </c>
      <c r="C302" s="13" t="s">
        <v>969</v>
      </c>
      <c r="D302" s="13" t="s">
        <v>968</v>
      </c>
      <c r="E302" s="15"/>
      <c r="F302" s="15">
        <f>SUM(F303:F332)</f>
        <v>579.76851851851848</v>
      </c>
      <c r="G302" s="14">
        <f>+G328</f>
        <v>45147</v>
      </c>
      <c r="I302" s="12">
        <v>90000</v>
      </c>
      <c r="J302" s="22">
        <f>+F302/I302</f>
        <v>6.4418724279835388E-3</v>
      </c>
      <c r="K302" s="12">
        <v>1995</v>
      </c>
    </row>
    <row r="303" spans="1:11">
      <c r="B303" s="254" t="s">
        <v>7799</v>
      </c>
      <c r="C303" s="2" t="s">
        <v>5</v>
      </c>
      <c r="D303" s="2" t="s">
        <v>763</v>
      </c>
      <c r="E303" s="3">
        <v>125</v>
      </c>
      <c r="F303" s="3">
        <v>35</v>
      </c>
      <c r="G303" s="4">
        <v>44852</v>
      </c>
    </row>
    <row r="304" spans="1:11">
      <c r="C304" s="2" t="s">
        <v>18</v>
      </c>
      <c r="D304" s="2" t="s">
        <v>962</v>
      </c>
      <c r="E304" s="3">
        <v>135</v>
      </c>
      <c r="F304" s="3">
        <v>25</v>
      </c>
      <c r="G304" s="4">
        <v>44482</v>
      </c>
      <c r="J304" s="1">
        <v>1200</v>
      </c>
    </row>
    <row r="305" spans="3:10">
      <c r="C305" s="2" t="s">
        <v>7</v>
      </c>
      <c r="D305" s="2" t="s">
        <v>962</v>
      </c>
      <c r="E305" s="3">
        <v>45</v>
      </c>
      <c r="F305" s="3">
        <v>15</v>
      </c>
      <c r="G305" s="4">
        <v>44228</v>
      </c>
      <c r="J305" s="1">
        <v>1200</v>
      </c>
    </row>
    <row r="306" spans="3:10">
      <c r="C306" s="2" t="s">
        <v>5</v>
      </c>
      <c r="D306" s="2" t="s">
        <v>932</v>
      </c>
      <c r="E306" s="3">
        <v>30</v>
      </c>
      <c r="F306" s="3">
        <v>10</v>
      </c>
      <c r="G306" s="4">
        <v>44656</v>
      </c>
    </row>
    <row r="307" spans="3:10">
      <c r="C307" s="2" t="s">
        <v>7</v>
      </c>
      <c r="D307" s="2" t="s">
        <v>735</v>
      </c>
      <c r="E307" s="3">
        <v>25</v>
      </c>
      <c r="F307" s="3">
        <v>10</v>
      </c>
      <c r="G307" s="4">
        <v>44755</v>
      </c>
      <c r="I307" s="274" t="s">
        <v>8901</v>
      </c>
    </row>
    <row r="308" spans="3:10">
      <c r="C308" s="2" t="s">
        <v>5</v>
      </c>
      <c r="D308" s="2" t="s">
        <v>735</v>
      </c>
      <c r="E308" s="3">
        <v>21</v>
      </c>
      <c r="F308" s="3">
        <v>7</v>
      </c>
      <c r="G308" s="4">
        <v>44489</v>
      </c>
      <c r="I308" s="91" t="s">
        <v>5989</v>
      </c>
    </row>
    <row r="309" spans="3:10">
      <c r="C309" s="2" t="s">
        <v>5</v>
      </c>
      <c r="D309" s="2" t="s">
        <v>725</v>
      </c>
      <c r="E309" s="3">
        <v>20</v>
      </c>
      <c r="F309" s="3">
        <v>7</v>
      </c>
      <c r="G309" s="4">
        <v>44676</v>
      </c>
      <c r="I309" s="176" t="s">
        <v>6727</v>
      </c>
    </row>
    <row r="310" spans="3:10">
      <c r="C310" s="2" t="s">
        <v>5</v>
      </c>
      <c r="D310" s="2" t="s">
        <v>825</v>
      </c>
      <c r="E310" s="3">
        <v>20</v>
      </c>
      <c r="F310" s="3">
        <v>5</v>
      </c>
      <c r="G310" s="4">
        <v>44602</v>
      </c>
    </row>
    <row r="311" spans="3:10">
      <c r="C311" s="2" t="s">
        <v>5</v>
      </c>
      <c r="D311" s="2" t="s">
        <v>1123</v>
      </c>
      <c r="E311" s="3">
        <v>20</v>
      </c>
      <c r="F311" s="3">
        <v>10</v>
      </c>
      <c r="G311" s="4">
        <v>44371</v>
      </c>
    </row>
    <row r="312" spans="3:10">
      <c r="C312" s="2" t="s">
        <v>5</v>
      </c>
      <c r="D312" s="2" t="s">
        <v>1122</v>
      </c>
      <c r="E312" s="3">
        <v>15</v>
      </c>
      <c r="F312" s="3">
        <v>5</v>
      </c>
      <c r="G312" s="4">
        <v>44468</v>
      </c>
    </row>
    <row r="313" spans="3:10">
      <c r="C313" s="2" t="s">
        <v>7</v>
      </c>
      <c r="D313" s="2" t="s">
        <v>446</v>
      </c>
      <c r="E313" s="3">
        <v>30</v>
      </c>
      <c r="F313" s="3">
        <v>15</v>
      </c>
      <c r="G313" s="4">
        <v>44756</v>
      </c>
    </row>
    <row r="314" spans="3:10">
      <c r="C314" s="2" t="s">
        <v>7</v>
      </c>
      <c r="D314" s="2" t="s">
        <v>525</v>
      </c>
      <c r="E314" s="3">
        <v>32</v>
      </c>
      <c r="F314" s="3">
        <v>12</v>
      </c>
      <c r="G314" s="4">
        <v>44364</v>
      </c>
    </row>
    <row r="315" spans="3:10">
      <c r="C315" s="2" t="s">
        <v>5</v>
      </c>
      <c r="D315" s="2" t="s">
        <v>313</v>
      </c>
      <c r="E315" s="3">
        <v>57</v>
      </c>
      <c r="F315" s="3">
        <v>6</v>
      </c>
      <c r="G315" s="4">
        <v>44508</v>
      </c>
    </row>
    <row r="316" spans="3:10">
      <c r="C316" s="2" t="s">
        <v>53</v>
      </c>
      <c r="D316" s="2" t="s">
        <v>154</v>
      </c>
      <c r="E316" s="3">
        <v>200</v>
      </c>
      <c r="F316" s="3">
        <v>50</v>
      </c>
      <c r="G316" s="4">
        <v>44907</v>
      </c>
      <c r="I316" s="1">
        <v>3500</v>
      </c>
    </row>
    <row r="317" spans="3:10">
      <c r="C317" s="2" t="s">
        <v>9</v>
      </c>
      <c r="D317" s="2" t="s">
        <v>154</v>
      </c>
      <c r="E317" s="3">
        <v>400</v>
      </c>
      <c r="F317" s="3">
        <v>36</v>
      </c>
      <c r="G317" s="4">
        <v>44413</v>
      </c>
      <c r="I317" s="1">
        <v>4200</v>
      </c>
    </row>
    <row r="318" spans="3:10">
      <c r="C318" s="2" t="s">
        <v>8</v>
      </c>
      <c r="D318" s="2" t="s">
        <v>57</v>
      </c>
      <c r="E318" s="3">
        <v>250</v>
      </c>
      <c r="F318" s="3">
        <f>150/4</f>
        <v>37.5</v>
      </c>
      <c r="G318" s="4">
        <v>45069</v>
      </c>
    </row>
    <row r="319" spans="3:10">
      <c r="C319" s="2" t="s">
        <v>18</v>
      </c>
      <c r="D319" s="2" t="s">
        <v>57</v>
      </c>
      <c r="E319" s="3">
        <v>100</v>
      </c>
      <c r="F319" s="3">
        <v>25</v>
      </c>
      <c r="G319" s="4">
        <v>44650</v>
      </c>
    </row>
    <row r="320" spans="3:10">
      <c r="C320" s="92" t="s">
        <v>7</v>
      </c>
      <c r="D320" s="92" t="s">
        <v>5232</v>
      </c>
      <c r="E320" s="3">
        <v>55</v>
      </c>
      <c r="F320" s="3">
        <v>55</v>
      </c>
      <c r="G320" s="4">
        <v>43663</v>
      </c>
    </row>
    <row r="321" spans="1:18">
      <c r="C321" s="92" t="s">
        <v>18</v>
      </c>
      <c r="D321" s="92" t="s">
        <v>5649</v>
      </c>
      <c r="E321" s="3">
        <v>75</v>
      </c>
      <c r="F321" s="3">
        <v>25</v>
      </c>
      <c r="G321" s="4">
        <v>44627</v>
      </c>
    </row>
    <row r="322" spans="1:18">
      <c r="C322" s="92" t="s">
        <v>7</v>
      </c>
      <c r="D322" s="92" t="s">
        <v>5649</v>
      </c>
      <c r="E322" s="3">
        <v>75</v>
      </c>
      <c r="F322" s="3">
        <v>15</v>
      </c>
      <c r="G322" s="4">
        <v>44222</v>
      </c>
    </row>
    <row r="323" spans="1:18">
      <c r="C323" s="92" t="s">
        <v>7</v>
      </c>
      <c r="D323" s="92" t="s">
        <v>5988</v>
      </c>
      <c r="E323" s="3">
        <v>50</v>
      </c>
      <c r="F323" s="3">
        <v>15</v>
      </c>
      <c r="G323" s="4">
        <v>44670</v>
      </c>
      <c r="J323" s="1">
        <v>250</v>
      </c>
    </row>
    <row r="324" spans="1:18">
      <c r="C324" s="153" t="s">
        <v>7</v>
      </c>
      <c r="D324" s="153" t="s">
        <v>6397</v>
      </c>
      <c r="E324" s="3">
        <v>35</v>
      </c>
      <c r="F324" s="3">
        <v>15</v>
      </c>
      <c r="G324" s="4">
        <v>44468</v>
      </c>
    </row>
    <row r="325" spans="1:18">
      <c r="C325" s="177" t="s">
        <v>5</v>
      </c>
      <c r="D325" s="177" t="s">
        <v>6681</v>
      </c>
      <c r="E325" s="3">
        <v>21</v>
      </c>
      <c r="F325" s="3">
        <v>12</v>
      </c>
      <c r="G325" s="4">
        <v>44515</v>
      </c>
    </row>
    <row r="326" spans="1:18">
      <c r="C326" s="177" t="s">
        <v>5</v>
      </c>
      <c r="D326" s="177" t="s">
        <v>2023</v>
      </c>
      <c r="E326" s="3">
        <v>15.3</v>
      </c>
      <c r="F326" s="3">
        <v>10</v>
      </c>
      <c r="G326" s="4">
        <v>44733</v>
      </c>
    </row>
    <row r="327" spans="1:18">
      <c r="C327" s="265" t="s">
        <v>2486</v>
      </c>
      <c r="D327" s="265" t="s">
        <v>1006</v>
      </c>
      <c r="E327" s="3">
        <v>1600</v>
      </c>
      <c r="F327" s="3">
        <f>1400/27</f>
        <v>51.851851851851855</v>
      </c>
      <c r="G327" s="4">
        <v>44439</v>
      </c>
    </row>
    <row r="328" spans="1:18">
      <c r="C328" s="265" t="s">
        <v>1040</v>
      </c>
      <c r="D328" s="265" t="s">
        <v>962</v>
      </c>
      <c r="E328" s="3">
        <v>50</v>
      </c>
      <c r="F328" s="3">
        <v>5</v>
      </c>
      <c r="G328" s="4">
        <v>45147</v>
      </c>
      <c r="I328" s="1">
        <v>1200</v>
      </c>
      <c r="J328" s="1">
        <v>1200</v>
      </c>
    </row>
    <row r="329" spans="1:18">
      <c r="C329" s="335" t="s">
        <v>9</v>
      </c>
      <c r="D329" s="335" t="s">
        <v>8309</v>
      </c>
      <c r="E329" s="3">
        <v>65</v>
      </c>
      <c r="F329" s="3">
        <f>E329/3</f>
        <v>21.666666666666668</v>
      </c>
      <c r="G329" s="4">
        <v>45125</v>
      </c>
    </row>
    <row r="330" spans="1:18">
      <c r="C330" s="335" t="s">
        <v>8</v>
      </c>
      <c r="D330" s="335" t="s">
        <v>8309</v>
      </c>
      <c r="E330" s="3">
        <v>60</v>
      </c>
      <c r="F330" s="325">
        <v>30</v>
      </c>
      <c r="G330" s="4">
        <v>44363</v>
      </c>
      <c r="I330" s="1">
        <v>1000</v>
      </c>
      <c r="J330" s="1">
        <v>1000</v>
      </c>
    </row>
    <row r="331" spans="1:18">
      <c r="C331" s="335" t="s">
        <v>18</v>
      </c>
      <c r="D331" s="335" t="s">
        <v>8309</v>
      </c>
      <c r="E331" s="3">
        <v>25</v>
      </c>
      <c r="F331" s="325">
        <f>15/4</f>
        <v>3.75</v>
      </c>
      <c r="G331" s="4">
        <v>43888</v>
      </c>
      <c r="J331" s="1">
        <v>1000</v>
      </c>
    </row>
    <row r="332" spans="1:18">
      <c r="C332" s="335" t="s">
        <v>7</v>
      </c>
      <c r="D332" s="335" t="s">
        <v>8309</v>
      </c>
      <c r="E332" s="3">
        <v>25</v>
      </c>
      <c r="F332" s="325">
        <v>10</v>
      </c>
      <c r="G332" s="4">
        <v>43287</v>
      </c>
      <c r="J332" s="1">
        <v>1000</v>
      </c>
    </row>
    <row r="333" spans="1:18">
      <c r="G333" s="4"/>
      <c r="M333" s="1"/>
      <c r="N333" s="1"/>
      <c r="O333" s="1"/>
      <c r="P333" s="1"/>
      <c r="Q333" s="1"/>
      <c r="R333" s="1"/>
    </row>
    <row r="334" spans="1:18" s="12" customFormat="1">
      <c r="A334" s="12">
        <v>14</v>
      </c>
      <c r="B334" s="12" t="s">
        <v>1138</v>
      </c>
      <c r="C334" s="13" t="s">
        <v>969</v>
      </c>
      <c r="D334" s="13" t="s">
        <v>968</v>
      </c>
      <c r="E334" s="15"/>
      <c r="F334" s="15">
        <f>+F335+F336</f>
        <v>431.81818181818181</v>
      </c>
      <c r="G334" s="14">
        <f>+G335</f>
        <v>44363</v>
      </c>
      <c r="I334" s="13" t="s">
        <v>1</v>
      </c>
      <c r="J334" s="13" t="s">
        <v>1</v>
      </c>
      <c r="K334" s="13" t="s">
        <v>1</v>
      </c>
      <c r="M334" s="13"/>
      <c r="N334" s="13"/>
      <c r="O334" s="13"/>
      <c r="P334" s="13"/>
      <c r="Q334" s="13"/>
      <c r="R334" s="13"/>
    </row>
    <row r="335" spans="1:18">
      <c r="B335" s="254" t="s">
        <v>7631</v>
      </c>
      <c r="C335" s="2" t="s">
        <v>7</v>
      </c>
      <c r="D335" s="2" t="s">
        <v>1125</v>
      </c>
      <c r="E335" s="3">
        <v>2500</v>
      </c>
      <c r="F335" s="3">
        <f>2000/11</f>
        <v>181.81818181818181</v>
      </c>
      <c r="G335" s="4">
        <v>44363</v>
      </c>
    </row>
    <row r="336" spans="1:18">
      <c r="C336" s="2" t="s">
        <v>5</v>
      </c>
      <c r="D336" s="2" t="s">
        <v>1125</v>
      </c>
      <c r="E336" s="3">
        <v>3000</v>
      </c>
      <c r="F336" s="3">
        <v>250</v>
      </c>
      <c r="G336" s="4">
        <v>43963</v>
      </c>
    </row>
    <row r="337" spans="1:11">
      <c r="G337" s="4"/>
    </row>
    <row r="338" spans="1:11">
      <c r="A338" s="1">
        <v>15</v>
      </c>
      <c r="B338" s="12" t="s">
        <v>7382</v>
      </c>
      <c r="C338" s="13" t="s">
        <v>969</v>
      </c>
      <c r="D338" s="13" t="s">
        <v>968</v>
      </c>
      <c r="E338" s="15"/>
      <c r="F338" s="15">
        <f>SUM(F339:F365)</f>
        <v>531.0156199677939</v>
      </c>
      <c r="G338" s="14">
        <f>G346</f>
        <v>45056</v>
      </c>
      <c r="I338" s="12">
        <v>25000</v>
      </c>
      <c r="J338" s="23">
        <f>+F338/I338</f>
        <v>2.1240624798711756E-2</v>
      </c>
      <c r="K338" s="12">
        <v>1977</v>
      </c>
    </row>
    <row r="339" spans="1:11">
      <c r="B339" s="253" t="s">
        <v>7632</v>
      </c>
      <c r="C339" s="2" t="s">
        <v>1116</v>
      </c>
      <c r="D339" s="2" t="s">
        <v>832</v>
      </c>
      <c r="E339" s="3">
        <v>100</v>
      </c>
      <c r="F339" s="3">
        <f>40/3</f>
        <v>13.333333333333334</v>
      </c>
      <c r="G339" s="4">
        <v>44537</v>
      </c>
    </row>
    <row r="340" spans="1:11">
      <c r="C340" s="2" t="s">
        <v>7</v>
      </c>
      <c r="D340" s="2" t="s">
        <v>832</v>
      </c>
      <c r="E340" s="3">
        <v>40</v>
      </c>
      <c r="F340" s="3">
        <v>20</v>
      </c>
      <c r="G340" s="4">
        <v>44125</v>
      </c>
    </row>
    <row r="341" spans="1:11">
      <c r="C341" s="2" t="s">
        <v>5</v>
      </c>
      <c r="D341" s="2" t="s">
        <v>832</v>
      </c>
      <c r="E341" s="3">
        <v>20</v>
      </c>
      <c r="F341" s="3">
        <f>12/6</f>
        <v>2</v>
      </c>
      <c r="G341" s="4">
        <v>43816</v>
      </c>
    </row>
    <row r="342" spans="1:11">
      <c r="C342" s="2" t="s">
        <v>5</v>
      </c>
      <c r="D342" s="92" t="s">
        <v>1004</v>
      </c>
      <c r="E342" s="3">
        <v>25.6</v>
      </c>
      <c r="F342" s="3">
        <v>15</v>
      </c>
      <c r="G342" s="4">
        <v>45013</v>
      </c>
    </row>
    <row r="343" spans="1:11">
      <c r="C343" s="2" t="s">
        <v>7</v>
      </c>
      <c r="D343" s="2" t="s">
        <v>796</v>
      </c>
      <c r="E343" s="3">
        <v>50</v>
      </c>
      <c r="F343" s="3">
        <f>30/5</f>
        <v>6</v>
      </c>
      <c r="G343" s="4">
        <v>45036</v>
      </c>
    </row>
    <row r="344" spans="1:11">
      <c r="C344" s="2" t="s">
        <v>5</v>
      </c>
      <c r="D344" s="2" t="s">
        <v>796</v>
      </c>
      <c r="E344" s="3">
        <v>16.5</v>
      </c>
      <c r="F344" s="3">
        <v>6</v>
      </c>
      <c r="G344" s="4">
        <v>44614</v>
      </c>
    </row>
    <row r="345" spans="1:11">
      <c r="C345" s="2" t="s">
        <v>4</v>
      </c>
      <c r="D345" s="2" t="s">
        <v>686</v>
      </c>
      <c r="E345" s="3">
        <v>30</v>
      </c>
      <c r="F345" s="3">
        <v>15</v>
      </c>
      <c r="G345" s="4">
        <v>44601</v>
      </c>
    </row>
    <row r="346" spans="1:11">
      <c r="C346" s="2" t="s">
        <v>4</v>
      </c>
      <c r="D346" s="2" t="s">
        <v>829</v>
      </c>
      <c r="E346" s="3">
        <v>4.5</v>
      </c>
      <c r="F346" s="3">
        <v>2</v>
      </c>
      <c r="G346" s="4">
        <v>45056</v>
      </c>
    </row>
    <row r="347" spans="1:11">
      <c r="C347" s="2" t="s">
        <v>278</v>
      </c>
      <c r="D347" s="2" t="s">
        <v>776</v>
      </c>
      <c r="E347" s="3">
        <v>4.5</v>
      </c>
      <c r="F347" s="3">
        <v>1</v>
      </c>
      <c r="G347" s="4">
        <v>44691</v>
      </c>
    </row>
    <row r="348" spans="1:11">
      <c r="C348" s="2" t="s">
        <v>4</v>
      </c>
      <c r="D348" s="2" t="s">
        <v>654</v>
      </c>
      <c r="E348" s="3">
        <v>12.8</v>
      </c>
      <c r="F348" s="3">
        <v>5</v>
      </c>
      <c r="G348" s="4">
        <v>44601</v>
      </c>
    </row>
    <row r="349" spans="1:11">
      <c r="C349" s="2" t="s">
        <v>4</v>
      </c>
      <c r="D349" s="2" t="s">
        <v>771</v>
      </c>
      <c r="E349" s="3">
        <v>10</v>
      </c>
      <c r="F349" s="3">
        <v>1</v>
      </c>
      <c r="G349" s="4">
        <v>44858</v>
      </c>
    </row>
    <row r="350" spans="1:11">
      <c r="C350" s="2" t="s">
        <v>4</v>
      </c>
      <c r="D350" s="2" t="s">
        <v>771</v>
      </c>
      <c r="E350" s="3">
        <v>4.5999999999999996</v>
      </c>
      <c r="F350" s="3">
        <v>2</v>
      </c>
      <c r="G350" s="4">
        <v>44530</v>
      </c>
    </row>
    <row r="351" spans="1:11">
      <c r="C351" s="2" t="s">
        <v>53</v>
      </c>
      <c r="D351" s="2" t="s">
        <v>489</v>
      </c>
      <c r="E351" s="3">
        <v>270</v>
      </c>
      <c r="F351" s="3">
        <v>22</v>
      </c>
      <c r="G351" s="4">
        <v>44152</v>
      </c>
    </row>
    <row r="352" spans="1:11">
      <c r="C352" s="2" t="s">
        <v>9</v>
      </c>
      <c r="D352" s="2" t="s">
        <v>489</v>
      </c>
      <c r="E352" s="3">
        <v>206</v>
      </c>
      <c r="F352" s="3">
        <v>14</v>
      </c>
      <c r="G352" s="4">
        <v>43725</v>
      </c>
    </row>
    <row r="353" spans="2:11">
      <c r="C353" s="2" t="s">
        <v>8</v>
      </c>
      <c r="D353" s="2" t="s">
        <v>489</v>
      </c>
      <c r="E353" s="3">
        <v>100</v>
      </c>
      <c r="F353" s="3">
        <v>15</v>
      </c>
      <c r="G353" s="4">
        <v>43397</v>
      </c>
    </row>
    <row r="354" spans="2:11">
      <c r="C354" s="2" t="s">
        <v>18</v>
      </c>
      <c r="D354" s="2" t="s">
        <v>489</v>
      </c>
      <c r="E354" s="3">
        <v>67.2</v>
      </c>
      <c r="F354" s="3">
        <v>37.200000000000003</v>
      </c>
      <c r="G354" s="4">
        <v>42943</v>
      </c>
    </row>
    <row r="355" spans="2:11">
      <c r="C355" s="2" t="s">
        <v>7</v>
      </c>
      <c r="D355" s="2" t="s">
        <v>475</v>
      </c>
      <c r="E355" s="3">
        <v>90</v>
      </c>
      <c r="F355" s="3">
        <v>6</v>
      </c>
      <c r="G355" s="4">
        <v>44398</v>
      </c>
    </row>
    <row r="356" spans="2:11">
      <c r="C356" s="2" t="s">
        <v>5</v>
      </c>
      <c r="D356" s="2" t="s">
        <v>475</v>
      </c>
      <c r="E356" s="3">
        <v>22.8</v>
      </c>
      <c r="F356" s="3">
        <v>6.4</v>
      </c>
      <c r="G356" s="4">
        <v>43160</v>
      </c>
      <c r="J356" s="5"/>
    </row>
    <row r="357" spans="2:11">
      <c r="C357" s="2" t="s">
        <v>9</v>
      </c>
      <c r="D357" s="2" t="s">
        <v>386</v>
      </c>
      <c r="E357" s="3">
        <v>400</v>
      </c>
      <c r="F357" s="3">
        <v>200</v>
      </c>
      <c r="G357" s="4">
        <v>44608</v>
      </c>
      <c r="J357" s="5"/>
    </row>
    <row r="358" spans="2:11">
      <c r="C358" s="2" t="s">
        <v>5</v>
      </c>
      <c r="D358" s="2" t="s">
        <v>289</v>
      </c>
      <c r="E358" s="3">
        <v>30</v>
      </c>
      <c r="F358" s="3">
        <v>10</v>
      </c>
      <c r="G358" s="4">
        <v>44474</v>
      </c>
      <c r="J358" s="5"/>
    </row>
    <row r="359" spans="2:11">
      <c r="C359" s="2" t="s">
        <v>4</v>
      </c>
      <c r="D359" s="2" t="s">
        <v>289</v>
      </c>
      <c r="E359" s="3">
        <v>15</v>
      </c>
      <c r="F359" s="3">
        <f>10/4</f>
        <v>2.5</v>
      </c>
      <c r="G359" s="4">
        <v>43775</v>
      </c>
      <c r="J359" s="5"/>
    </row>
    <row r="360" spans="2:11">
      <c r="C360" s="2" t="s">
        <v>4</v>
      </c>
      <c r="D360" s="2" t="s">
        <v>1056</v>
      </c>
      <c r="E360" s="3">
        <v>4.3</v>
      </c>
      <c r="F360" s="3">
        <f>E360/3</f>
        <v>1.4333333333333333</v>
      </c>
      <c r="G360" s="4">
        <v>42821</v>
      </c>
      <c r="J360" s="5"/>
    </row>
    <row r="361" spans="2:11">
      <c r="C361" s="2" t="s">
        <v>7</v>
      </c>
      <c r="D361" s="2" t="s">
        <v>128</v>
      </c>
      <c r="E361" s="3">
        <v>23.5</v>
      </c>
      <c r="F361" s="3">
        <f>14/4</f>
        <v>3.5</v>
      </c>
      <c r="G361" s="4">
        <v>45008</v>
      </c>
      <c r="J361" s="5"/>
    </row>
    <row r="362" spans="2:11">
      <c r="C362" s="2" t="s">
        <v>5</v>
      </c>
      <c r="D362" s="2" t="s">
        <v>128</v>
      </c>
      <c r="E362" s="3">
        <v>16</v>
      </c>
      <c r="F362" s="3">
        <v>11</v>
      </c>
      <c r="G362" s="4">
        <v>44434</v>
      </c>
      <c r="J362" s="5"/>
    </row>
    <row r="363" spans="2:11">
      <c r="C363" s="265" t="s">
        <v>2486</v>
      </c>
      <c r="D363" s="265" t="s">
        <v>1006</v>
      </c>
      <c r="E363" s="3">
        <v>1600</v>
      </c>
      <c r="F363" s="3">
        <f>1400/27</f>
        <v>51.851851851851855</v>
      </c>
      <c r="G363" s="4">
        <v>44439</v>
      </c>
      <c r="I363" s="1">
        <v>36000</v>
      </c>
      <c r="J363" s="5">
        <v>42500</v>
      </c>
    </row>
    <row r="364" spans="2:11">
      <c r="C364" s="265" t="s">
        <v>504</v>
      </c>
      <c r="D364" s="265" t="s">
        <v>1006</v>
      </c>
      <c r="E364" s="3">
        <v>1000</v>
      </c>
      <c r="F364" s="3">
        <f>900/23</f>
        <v>39.130434782608695</v>
      </c>
      <c r="G364" s="4">
        <v>44228</v>
      </c>
      <c r="I364" s="1">
        <v>27000</v>
      </c>
      <c r="J364" s="5">
        <v>42500</v>
      </c>
    </row>
    <row r="365" spans="2:11">
      <c r="C365" s="265" t="s">
        <v>9</v>
      </c>
      <c r="D365" s="265" t="s">
        <v>4882</v>
      </c>
      <c r="E365" s="3">
        <v>118</v>
      </c>
      <c r="F365" s="3">
        <f>68/3</f>
        <v>22.666666666666668</v>
      </c>
      <c r="G365" s="4">
        <v>45265</v>
      </c>
      <c r="I365" s="1">
        <v>9000</v>
      </c>
      <c r="J365" s="5">
        <v>9000</v>
      </c>
    </row>
    <row r="366" spans="2:11">
      <c r="G366" s="4"/>
    </row>
    <row r="367" spans="2:11">
      <c r="B367" s="12" t="s">
        <v>6708</v>
      </c>
      <c r="C367" s="13" t="s">
        <v>969</v>
      </c>
      <c r="D367" s="13" t="s">
        <v>968</v>
      </c>
      <c r="E367" s="15"/>
      <c r="F367" s="15">
        <f>SUM(F368:F382)</f>
        <v>477.0488095238095</v>
      </c>
      <c r="G367" s="14">
        <f>G382</f>
        <v>45260</v>
      </c>
      <c r="I367" s="1" t="s">
        <v>1</v>
      </c>
      <c r="J367" s="1" t="s">
        <v>1</v>
      </c>
      <c r="K367" s="1" t="s">
        <v>1</v>
      </c>
    </row>
    <row r="368" spans="2:11">
      <c r="C368" s="2" t="s">
        <v>18</v>
      </c>
      <c r="D368" s="2" t="s">
        <v>952</v>
      </c>
      <c r="E368" s="3">
        <v>270</v>
      </c>
      <c r="F368" s="3">
        <v>24</v>
      </c>
      <c r="G368" s="4">
        <v>45048</v>
      </c>
    </row>
    <row r="369" spans="1:11">
      <c r="C369" s="2" t="s">
        <v>7</v>
      </c>
      <c r="D369" s="2" t="s">
        <v>949</v>
      </c>
      <c r="E369" s="3">
        <v>350</v>
      </c>
      <c r="F369" s="3">
        <v>20</v>
      </c>
      <c r="G369" s="4">
        <v>44999</v>
      </c>
    </row>
    <row r="370" spans="1:11">
      <c r="C370" s="2" t="s">
        <v>7</v>
      </c>
      <c r="D370" s="2" t="s">
        <v>456</v>
      </c>
      <c r="E370" s="3">
        <v>26.8</v>
      </c>
      <c r="F370" s="3">
        <f>20/5</f>
        <v>4</v>
      </c>
      <c r="G370" s="4">
        <v>44600</v>
      </c>
    </row>
    <row r="371" spans="1:11">
      <c r="C371" s="2" t="s">
        <v>8</v>
      </c>
      <c r="D371" s="2" t="s">
        <v>131</v>
      </c>
      <c r="E371" s="3">
        <v>135</v>
      </c>
      <c r="F371" s="3">
        <v>8</v>
      </c>
      <c r="G371" s="4">
        <v>44880</v>
      </c>
    </row>
    <row r="372" spans="1:11">
      <c r="C372" s="2" t="s">
        <v>18</v>
      </c>
      <c r="D372" s="2" t="s">
        <v>131</v>
      </c>
      <c r="E372" s="3">
        <v>73</v>
      </c>
      <c r="F372" s="3">
        <f>53/7</f>
        <v>7.5714285714285712</v>
      </c>
      <c r="G372" s="4">
        <v>44565</v>
      </c>
    </row>
    <row r="373" spans="1:11">
      <c r="C373" s="2" t="s">
        <v>18</v>
      </c>
      <c r="D373" s="2" t="s">
        <v>131</v>
      </c>
      <c r="E373" s="3">
        <v>31.7</v>
      </c>
      <c r="F373" s="3">
        <v>7</v>
      </c>
      <c r="G373" s="4">
        <v>43599</v>
      </c>
    </row>
    <row r="374" spans="1:11">
      <c r="C374" s="2" t="s">
        <v>9</v>
      </c>
      <c r="D374" s="2" t="s">
        <v>39</v>
      </c>
      <c r="E374" s="3">
        <v>230</v>
      </c>
      <c r="F374" s="3">
        <v>24</v>
      </c>
      <c r="G374" s="4">
        <v>44984</v>
      </c>
      <c r="I374" s="1">
        <v>2000</v>
      </c>
      <c r="J374" s="1">
        <v>2000</v>
      </c>
    </row>
    <row r="375" spans="1:11">
      <c r="C375" s="52" t="s">
        <v>8</v>
      </c>
      <c r="D375" s="52" t="s">
        <v>4882</v>
      </c>
      <c r="E375" s="3">
        <v>83</v>
      </c>
      <c r="F375" s="3">
        <f>68/10</f>
        <v>6.8</v>
      </c>
      <c r="G375" s="4">
        <v>44320</v>
      </c>
      <c r="I375" s="1">
        <v>3600</v>
      </c>
      <c r="J375" s="1">
        <v>3600</v>
      </c>
    </row>
    <row r="376" spans="1:11">
      <c r="C376" s="55" t="s">
        <v>9</v>
      </c>
      <c r="D376" s="55" t="s">
        <v>2112</v>
      </c>
      <c r="E376" s="3">
        <v>100</v>
      </c>
      <c r="F376" s="3">
        <f>75/7</f>
        <v>10.714285714285714</v>
      </c>
      <c r="G376" s="4">
        <v>44507</v>
      </c>
      <c r="I376" s="1">
        <v>1600</v>
      </c>
      <c r="J376" s="1">
        <v>1600</v>
      </c>
    </row>
    <row r="377" spans="1:11">
      <c r="C377" s="55" t="s">
        <v>53</v>
      </c>
      <c r="D377" s="55" t="s">
        <v>4996</v>
      </c>
      <c r="E377" s="3">
        <v>100</v>
      </c>
      <c r="F377" s="3">
        <f>70/5</f>
        <v>14</v>
      </c>
      <c r="G377" s="4">
        <v>44474</v>
      </c>
    </row>
    <row r="378" spans="1:11">
      <c r="C378" s="265" t="s">
        <v>7890</v>
      </c>
      <c r="D378" s="265" t="s">
        <v>1006</v>
      </c>
      <c r="E378" s="3">
        <v>684.6</v>
      </c>
      <c r="F378" s="3">
        <f>584.6/21</f>
        <v>27.838095238095239</v>
      </c>
      <c r="G378" s="4">
        <v>45183</v>
      </c>
      <c r="I378" s="1">
        <v>42500</v>
      </c>
      <c r="J378" s="1">
        <v>42500</v>
      </c>
    </row>
    <row r="379" spans="1:11">
      <c r="C379" s="265" t="s">
        <v>8</v>
      </c>
      <c r="D379" s="265" t="s">
        <v>3733</v>
      </c>
      <c r="E379" s="3">
        <v>235</v>
      </c>
      <c r="F379" s="3">
        <f>185/8</f>
        <v>23.125</v>
      </c>
      <c r="G379" s="4">
        <v>45161</v>
      </c>
      <c r="I379" s="1">
        <v>4300</v>
      </c>
      <c r="J379" s="1">
        <v>4300</v>
      </c>
    </row>
    <row r="380" spans="1:11">
      <c r="C380" s="265" t="s">
        <v>7</v>
      </c>
      <c r="D380" s="265" t="s">
        <v>1133</v>
      </c>
      <c r="E380" s="3">
        <v>1300</v>
      </c>
      <c r="F380" s="3">
        <v>220</v>
      </c>
      <c r="G380" s="4">
        <v>45106</v>
      </c>
      <c r="I380" s="1">
        <v>4000</v>
      </c>
      <c r="J380" s="1">
        <v>4000</v>
      </c>
    </row>
    <row r="381" spans="1:11">
      <c r="C381" s="265" t="s">
        <v>1040</v>
      </c>
      <c r="D381" s="265" t="s">
        <v>957</v>
      </c>
      <c r="E381" s="3">
        <v>141</v>
      </c>
      <c r="F381" s="3">
        <v>30</v>
      </c>
      <c r="G381" s="4">
        <v>45106</v>
      </c>
      <c r="I381" s="1">
        <v>1400</v>
      </c>
      <c r="J381" s="1">
        <v>1400</v>
      </c>
    </row>
    <row r="382" spans="1:11">
      <c r="C382" s="335" t="s">
        <v>5</v>
      </c>
      <c r="D382" s="335" t="s">
        <v>9429</v>
      </c>
      <c r="E382" s="3">
        <v>102.5</v>
      </c>
      <c r="F382" s="3">
        <v>50</v>
      </c>
      <c r="G382" s="4">
        <v>45260</v>
      </c>
    </row>
    <row r="383" spans="1:11">
      <c r="G383" s="4"/>
    </row>
    <row r="384" spans="1:11">
      <c r="A384" s="1">
        <v>16</v>
      </c>
      <c r="B384" s="12" t="s">
        <v>7383</v>
      </c>
      <c r="C384" s="13" t="s">
        <v>969</v>
      </c>
      <c r="D384" s="13" t="s">
        <v>968</v>
      </c>
      <c r="E384" s="15"/>
      <c r="F384" s="15">
        <f>SUM(F385:F424)</f>
        <v>432.16774891774895</v>
      </c>
      <c r="G384" s="14">
        <f>G403</f>
        <v>45104</v>
      </c>
      <c r="I384" s="12">
        <v>85000</v>
      </c>
      <c r="J384" s="22">
        <f>+F384/I384</f>
        <v>5.0843264578558697E-3</v>
      </c>
      <c r="K384" s="12">
        <v>1972</v>
      </c>
    </row>
    <row r="385" spans="2:12">
      <c r="B385" s="254" t="s">
        <v>7631</v>
      </c>
      <c r="C385" s="2" t="s">
        <v>18</v>
      </c>
      <c r="D385" s="2" t="s">
        <v>926</v>
      </c>
      <c r="E385" s="3">
        <v>100</v>
      </c>
      <c r="F385" s="3">
        <v>9</v>
      </c>
      <c r="G385" s="4">
        <v>44690</v>
      </c>
      <c r="I385" s="238"/>
      <c r="J385" s="238">
        <v>4300</v>
      </c>
      <c r="K385" s="238"/>
      <c r="L385" s="238"/>
    </row>
    <row r="386" spans="2:12">
      <c r="C386" s="2" t="s">
        <v>18</v>
      </c>
      <c r="D386" s="2" t="s">
        <v>1043</v>
      </c>
      <c r="E386" s="3">
        <v>100</v>
      </c>
      <c r="F386" s="3">
        <v>40</v>
      </c>
      <c r="G386" s="4">
        <v>44699</v>
      </c>
      <c r="I386" s="238" t="s">
        <v>7597</v>
      </c>
      <c r="J386" s="238"/>
      <c r="K386" s="238"/>
      <c r="L386" s="238"/>
    </row>
    <row r="387" spans="2:12">
      <c r="C387" s="2" t="s">
        <v>18</v>
      </c>
      <c r="D387" s="2" t="s">
        <v>1005</v>
      </c>
      <c r="E387" s="3">
        <v>100</v>
      </c>
      <c r="F387" s="3">
        <v>10</v>
      </c>
      <c r="G387" s="4">
        <v>44754</v>
      </c>
      <c r="I387" s="238" t="s">
        <v>4265</v>
      </c>
      <c r="J387" s="25" t="s">
        <v>4268</v>
      </c>
      <c r="K387" s="238"/>
      <c r="L387" s="238"/>
    </row>
    <row r="388" spans="2:12">
      <c r="C388" s="2" t="s">
        <v>7</v>
      </c>
      <c r="D388" s="2" t="s">
        <v>1005</v>
      </c>
      <c r="E388" s="3">
        <v>35</v>
      </c>
      <c r="F388" s="3">
        <f>E388/2</f>
        <v>17.5</v>
      </c>
      <c r="G388" s="4">
        <v>44172</v>
      </c>
      <c r="I388" s="238" t="s">
        <v>4266</v>
      </c>
      <c r="J388" s="25" t="s">
        <v>4267</v>
      </c>
      <c r="K388" s="238"/>
      <c r="L388" s="238"/>
    </row>
    <row r="389" spans="2:12">
      <c r="C389" s="2" t="s">
        <v>5</v>
      </c>
      <c r="D389" s="2" t="s">
        <v>1005</v>
      </c>
      <c r="E389" s="3">
        <v>20</v>
      </c>
      <c r="F389" s="3">
        <v>8</v>
      </c>
      <c r="G389" s="4">
        <v>43949</v>
      </c>
      <c r="I389" s="238" t="s">
        <v>4269</v>
      </c>
      <c r="J389" s="238"/>
      <c r="K389" s="238" t="s">
        <v>4270</v>
      </c>
      <c r="L389" s="238"/>
    </row>
    <row r="390" spans="2:12">
      <c r="C390" s="2" t="s">
        <v>4</v>
      </c>
      <c r="D390" s="2" t="s">
        <v>1005</v>
      </c>
      <c r="E390" s="3">
        <v>5</v>
      </c>
      <c r="F390" s="3">
        <v>1</v>
      </c>
      <c r="G390" s="4">
        <v>43438</v>
      </c>
      <c r="I390" s="238" t="s">
        <v>7386</v>
      </c>
      <c r="J390" s="238" t="s">
        <v>7387</v>
      </c>
      <c r="K390" s="238" t="s">
        <v>4</v>
      </c>
      <c r="L390" s="238"/>
    </row>
    <row r="391" spans="2:12">
      <c r="C391" s="2" t="s">
        <v>4</v>
      </c>
      <c r="D391" s="2" t="s">
        <v>701</v>
      </c>
      <c r="E391" s="3">
        <v>7.2</v>
      </c>
      <c r="F391" s="3">
        <v>1</v>
      </c>
      <c r="G391" s="4">
        <v>44508</v>
      </c>
      <c r="I391" s="238"/>
      <c r="J391" s="238"/>
      <c r="K391" s="238"/>
      <c r="L391" s="238"/>
    </row>
    <row r="392" spans="2:12">
      <c r="C392" s="2" t="s">
        <v>5</v>
      </c>
      <c r="D392" s="2" t="s">
        <v>684</v>
      </c>
      <c r="E392" s="3">
        <v>21</v>
      </c>
      <c r="F392" s="3">
        <v>10</v>
      </c>
      <c r="G392" s="4">
        <v>45027</v>
      </c>
      <c r="I392" s="238"/>
      <c r="J392" s="238"/>
      <c r="K392" s="238"/>
      <c r="L392" s="238"/>
    </row>
    <row r="393" spans="2:12">
      <c r="C393" s="2" t="s">
        <v>7</v>
      </c>
      <c r="D393" s="2" t="s">
        <v>1008</v>
      </c>
      <c r="E393" s="3">
        <v>30</v>
      </c>
      <c r="F393" s="3">
        <v>6</v>
      </c>
      <c r="G393" s="4">
        <v>44539</v>
      </c>
      <c r="I393" s="238"/>
      <c r="J393" s="238"/>
      <c r="K393" s="238"/>
      <c r="L393" s="238"/>
    </row>
    <row r="394" spans="2:12">
      <c r="C394" s="2" t="s">
        <v>5</v>
      </c>
      <c r="D394" s="2" t="s">
        <v>1008</v>
      </c>
      <c r="E394" s="3">
        <v>11</v>
      </c>
      <c r="F394" s="3">
        <v>6</v>
      </c>
      <c r="G394" s="4">
        <v>43862</v>
      </c>
      <c r="I394" s="238"/>
      <c r="J394" s="238"/>
      <c r="K394" s="238"/>
      <c r="L394" s="238"/>
    </row>
    <row r="395" spans="2:12">
      <c r="C395" s="2" t="s">
        <v>4</v>
      </c>
      <c r="D395" s="2" t="s">
        <v>1008</v>
      </c>
      <c r="E395" s="3">
        <v>3</v>
      </c>
      <c r="F395" s="3">
        <v>1.5</v>
      </c>
      <c r="G395" s="4">
        <v>43525</v>
      </c>
      <c r="I395" s="238"/>
      <c r="J395" s="238"/>
      <c r="K395" s="238"/>
      <c r="L395" s="238"/>
    </row>
    <row r="396" spans="2:12">
      <c r="C396" s="2" t="s">
        <v>5</v>
      </c>
      <c r="D396" s="2" t="s">
        <v>1069</v>
      </c>
      <c r="E396" s="3">
        <v>12.5</v>
      </c>
      <c r="F396" s="3">
        <v>3</v>
      </c>
      <c r="G396" s="4">
        <v>44978</v>
      </c>
    </row>
    <row r="397" spans="2:12">
      <c r="C397" s="2" t="s">
        <v>5</v>
      </c>
      <c r="D397" s="2" t="s">
        <v>1069</v>
      </c>
      <c r="E397" s="3">
        <v>5.3</v>
      </c>
      <c r="F397" s="3">
        <v>2.5</v>
      </c>
      <c r="G397" s="4">
        <v>44978</v>
      </c>
    </row>
    <row r="398" spans="2:12">
      <c r="C398" s="2" t="s">
        <v>4</v>
      </c>
      <c r="D398" s="2" t="s">
        <v>654</v>
      </c>
      <c r="E398" s="3">
        <v>12.8</v>
      </c>
      <c r="F398" s="3">
        <v>2</v>
      </c>
      <c r="G398" s="4">
        <v>44601</v>
      </c>
    </row>
    <row r="399" spans="2:12">
      <c r="C399" s="2" t="s">
        <v>5</v>
      </c>
      <c r="D399" s="2" t="s">
        <v>719</v>
      </c>
      <c r="E399" s="3">
        <v>11</v>
      </c>
      <c r="F399" s="3">
        <f>7/3</f>
        <v>2.3333333333333335</v>
      </c>
      <c r="G399" s="4">
        <v>44483</v>
      </c>
    </row>
    <row r="400" spans="2:12">
      <c r="C400" s="2" t="s">
        <v>4</v>
      </c>
      <c r="D400" s="2" t="s">
        <v>719</v>
      </c>
      <c r="E400" s="3">
        <v>2.9</v>
      </c>
      <c r="F400" s="3">
        <v>0.5</v>
      </c>
      <c r="G400" s="4">
        <v>44272</v>
      </c>
    </row>
    <row r="401" spans="3:12">
      <c r="C401" s="2" t="s">
        <v>7</v>
      </c>
      <c r="D401" s="2" t="s">
        <v>1127</v>
      </c>
      <c r="E401" s="3">
        <v>18</v>
      </c>
      <c r="F401" s="3">
        <v>9</v>
      </c>
      <c r="G401" s="4">
        <v>44831</v>
      </c>
    </row>
    <row r="402" spans="3:12">
      <c r="C402" s="2" t="s">
        <v>5</v>
      </c>
      <c r="D402" s="2" t="s">
        <v>1127</v>
      </c>
      <c r="E402" s="3">
        <v>18.5</v>
      </c>
      <c r="F402" s="3">
        <v>9</v>
      </c>
      <c r="G402" s="4">
        <v>44658</v>
      </c>
    </row>
    <row r="403" spans="3:12">
      <c r="C403" s="2" t="s">
        <v>4</v>
      </c>
      <c r="D403" s="2" t="s">
        <v>469</v>
      </c>
      <c r="E403" s="3">
        <v>6</v>
      </c>
      <c r="F403" s="3">
        <v>2</v>
      </c>
      <c r="G403" s="4">
        <v>45104</v>
      </c>
    </row>
    <row r="404" spans="3:12">
      <c r="C404" s="2" t="s">
        <v>5</v>
      </c>
      <c r="D404" s="2" t="s">
        <v>318</v>
      </c>
      <c r="E404" s="3">
        <v>16</v>
      </c>
      <c r="F404" s="3">
        <v>6</v>
      </c>
      <c r="G404" s="4">
        <v>43783</v>
      </c>
      <c r="L404" s="1">
        <f>+F404*5</f>
        <v>30</v>
      </c>
    </row>
    <row r="405" spans="3:12">
      <c r="C405" s="2" t="s">
        <v>7</v>
      </c>
      <c r="D405" s="2" t="s">
        <v>318</v>
      </c>
      <c r="E405" s="3">
        <v>55</v>
      </c>
      <c r="F405" s="3">
        <v>5</v>
      </c>
      <c r="G405" s="4">
        <v>44200</v>
      </c>
    </row>
    <row r="406" spans="3:12">
      <c r="C406" s="2" t="s">
        <v>18</v>
      </c>
      <c r="D406" s="2" t="s">
        <v>318</v>
      </c>
      <c r="E406" s="3">
        <v>91</v>
      </c>
      <c r="F406" s="3">
        <v>8.75</v>
      </c>
      <c r="G406" s="4">
        <v>44867</v>
      </c>
    </row>
    <row r="407" spans="3:12">
      <c r="C407" s="2" t="s">
        <v>5</v>
      </c>
      <c r="D407" s="2" t="s">
        <v>161</v>
      </c>
      <c r="E407" s="3">
        <v>112</v>
      </c>
      <c r="F407" s="3">
        <v>9</v>
      </c>
      <c r="G407" s="4">
        <v>43115</v>
      </c>
      <c r="J407" s="1">
        <v>8400</v>
      </c>
    </row>
    <row r="408" spans="3:12">
      <c r="C408" s="2" t="s">
        <v>18</v>
      </c>
      <c r="D408" s="2" t="s">
        <v>74</v>
      </c>
      <c r="E408" s="3">
        <v>60</v>
      </c>
      <c r="F408" s="3">
        <f>E408/5</f>
        <v>12</v>
      </c>
      <c r="G408" s="4">
        <v>42736</v>
      </c>
      <c r="I408" s="1">
        <v>800</v>
      </c>
      <c r="J408" s="1">
        <v>3800</v>
      </c>
    </row>
    <row r="409" spans="3:12">
      <c r="C409" s="2" t="s">
        <v>9</v>
      </c>
      <c r="D409" s="2" t="s">
        <v>55</v>
      </c>
      <c r="E409" s="3">
        <v>250</v>
      </c>
      <c r="F409" s="3">
        <f>150/5</f>
        <v>30</v>
      </c>
      <c r="G409" s="4">
        <v>44350</v>
      </c>
      <c r="I409" s="1">
        <v>7000</v>
      </c>
      <c r="J409" s="1">
        <v>7000</v>
      </c>
    </row>
    <row r="410" spans="3:12">
      <c r="C410" s="2" t="s">
        <v>8</v>
      </c>
      <c r="D410" s="2" t="s">
        <v>55</v>
      </c>
      <c r="E410" s="3">
        <v>200</v>
      </c>
      <c r="F410" s="3">
        <v>18.75</v>
      </c>
      <c r="G410" s="4">
        <v>44055</v>
      </c>
      <c r="I410" s="1">
        <v>2000</v>
      </c>
      <c r="J410" s="1">
        <v>7000</v>
      </c>
    </row>
    <row r="411" spans="3:12">
      <c r="C411" s="2" t="s">
        <v>18</v>
      </c>
      <c r="D411" s="2" t="s">
        <v>55</v>
      </c>
      <c r="E411" s="3">
        <v>65</v>
      </c>
      <c r="F411" s="3">
        <v>20</v>
      </c>
      <c r="G411" s="4">
        <v>43802</v>
      </c>
      <c r="I411" s="1">
        <v>685</v>
      </c>
      <c r="J411" s="1">
        <v>7000</v>
      </c>
    </row>
    <row r="412" spans="3:12">
      <c r="C412" s="2" t="s">
        <v>9</v>
      </c>
      <c r="D412" s="2" t="s">
        <v>22</v>
      </c>
      <c r="E412" s="3">
        <v>222</v>
      </c>
      <c r="F412" s="3">
        <f>200/21</f>
        <v>9.5238095238095237</v>
      </c>
      <c r="G412" s="4">
        <v>44194</v>
      </c>
      <c r="I412" s="1">
        <v>2500</v>
      </c>
      <c r="J412" s="1">
        <v>0</v>
      </c>
    </row>
    <row r="413" spans="3:12">
      <c r="C413" s="2" t="s">
        <v>8</v>
      </c>
      <c r="D413" s="2" t="s">
        <v>22</v>
      </c>
      <c r="E413" s="3">
        <v>200</v>
      </c>
      <c r="F413" s="3">
        <v>12.727272727272727</v>
      </c>
      <c r="G413" s="4">
        <v>43452</v>
      </c>
      <c r="I413" s="1">
        <v>1500</v>
      </c>
      <c r="J413" s="1">
        <v>0</v>
      </c>
    </row>
    <row r="414" spans="3:12">
      <c r="C414" s="2" t="s">
        <v>18</v>
      </c>
      <c r="D414" s="2" t="s">
        <v>22</v>
      </c>
      <c r="E414" s="3">
        <v>50</v>
      </c>
      <c r="F414" s="3">
        <v>10</v>
      </c>
      <c r="G414" s="4">
        <v>43051</v>
      </c>
      <c r="J414" s="1">
        <v>0</v>
      </c>
    </row>
    <row r="415" spans="3:12">
      <c r="C415" s="2" t="s">
        <v>1</v>
      </c>
      <c r="D415" s="2" t="s">
        <v>0</v>
      </c>
      <c r="E415" s="3">
        <v>300</v>
      </c>
      <c r="F415" s="3">
        <v>50</v>
      </c>
      <c r="G415" s="4">
        <v>45044</v>
      </c>
      <c r="I415" s="1">
        <v>28700</v>
      </c>
      <c r="J415" s="1">
        <v>28700</v>
      </c>
    </row>
    <row r="416" spans="3:12">
      <c r="C416" s="2" t="s">
        <v>8</v>
      </c>
      <c r="D416" s="2" t="s">
        <v>2134</v>
      </c>
      <c r="E416" s="3">
        <v>200</v>
      </c>
      <c r="F416" s="3">
        <v>20</v>
      </c>
      <c r="G416" s="4">
        <v>44237</v>
      </c>
    </row>
    <row r="417" spans="2:11">
      <c r="C417" s="55" t="s">
        <v>53</v>
      </c>
      <c r="D417" s="55" t="s">
        <v>4996</v>
      </c>
      <c r="E417" s="3">
        <v>100</v>
      </c>
      <c r="F417" s="3">
        <f>70/5</f>
        <v>14</v>
      </c>
      <c r="G417" s="4">
        <v>44474</v>
      </c>
    </row>
    <row r="418" spans="2:11">
      <c r="C418" s="55" t="s">
        <v>9</v>
      </c>
      <c r="D418" s="55" t="s">
        <v>4996</v>
      </c>
      <c r="E418" s="3">
        <v>43</v>
      </c>
      <c r="F418" s="3">
        <f>23/3</f>
        <v>7.666666666666667</v>
      </c>
      <c r="G418" s="4">
        <v>43992</v>
      </c>
    </row>
    <row r="419" spans="2:11">
      <c r="C419" s="55" t="s">
        <v>8</v>
      </c>
      <c r="D419" s="55" t="s">
        <v>4996</v>
      </c>
      <c r="E419" s="3">
        <v>40</v>
      </c>
      <c r="F419" s="3">
        <v>20</v>
      </c>
      <c r="G419" s="4">
        <v>43320</v>
      </c>
      <c r="I419" s="1">
        <v>210</v>
      </c>
      <c r="J419" s="1">
        <v>210</v>
      </c>
    </row>
    <row r="420" spans="2:11">
      <c r="C420" s="55" t="s">
        <v>18</v>
      </c>
      <c r="D420" s="55" t="s">
        <v>4996</v>
      </c>
      <c r="E420" s="3">
        <v>27</v>
      </c>
      <c r="F420" s="3">
        <f>17/3</f>
        <v>5.666666666666667</v>
      </c>
      <c r="G420" s="4">
        <v>42851</v>
      </c>
      <c r="J420" s="1">
        <v>210</v>
      </c>
    </row>
    <row r="421" spans="2:11">
      <c r="C421" s="55" t="s">
        <v>7</v>
      </c>
      <c r="D421" s="55" t="s">
        <v>4996</v>
      </c>
      <c r="E421" s="3">
        <v>10.5</v>
      </c>
      <c r="F421" s="3">
        <v>10.5</v>
      </c>
      <c r="G421" s="4">
        <v>42691</v>
      </c>
      <c r="J421" s="1">
        <v>210</v>
      </c>
    </row>
    <row r="422" spans="2:11">
      <c r="C422" s="92" t="s">
        <v>18</v>
      </c>
      <c r="D422" s="92" t="s">
        <v>2090</v>
      </c>
      <c r="E422" s="3">
        <v>80</v>
      </c>
      <c r="F422" s="3">
        <f>70/10</f>
        <v>7</v>
      </c>
      <c r="G422" s="4">
        <v>44637</v>
      </c>
      <c r="I422" s="1">
        <v>1500</v>
      </c>
      <c r="J422" s="1">
        <v>1500</v>
      </c>
    </row>
    <row r="423" spans="2:11">
      <c r="C423" s="92" t="s">
        <v>7</v>
      </c>
      <c r="D423" s="92" t="s">
        <v>2090</v>
      </c>
      <c r="E423" s="3">
        <v>50</v>
      </c>
      <c r="F423" s="3">
        <v>15</v>
      </c>
      <c r="G423" s="4">
        <v>44286</v>
      </c>
      <c r="J423" s="1">
        <v>1500</v>
      </c>
    </row>
    <row r="424" spans="2:11">
      <c r="C424" s="177" t="s">
        <v>4</v>
      </c>
      <c r="D424" s="177" t="s">
        <v>2030</v>
      </c>
      <c r="E424" s="3">
        <v>2</v>
      </c>
      <c r="F424" s="3">
        <f>1.5/6</f>
        <v>0.25</v>
      </c>
      <c r="G424" s="4">
        <v>43522</v>
      </c>
    </row>
    <row r="425" spans="2:11">
      <c r="G425" s="4"/>
    </row>
    <row r="426" spans="2:11">
      <c r="B426" s="12" t="s">
        <v>4983</v>
      </c>
      <c r="C426" s="13" t="s">
        <v>969</v>
      </c>
      <c r="D426" s="13" t="s">
        <v>968</v>
      </c>
      <c r="F426" s="15">
        <f>SUM(F427:F442)</f>
        <v>434.99233954451347</v>
      </c>
      <c r="G426" s="14">
        <f>G442</f>
        <v>45106</v>
      </c>
      <c r="I426" s="1" t="s">
        <v>1</v>
      </c>
      <c r="J426" s="1" t="s">
        <v>1</v>
      </c>
      <c r="K426" s="1" t="s">
        <v>1</v>
      </c>
    </row>
    <row r="427" spans="2:11">
      <c r="B427" s="12"/>
      <c r="C427" s="2" t="s">
        <v>7</v>
      </c>
      <c r="D427" s="2" t="s">
        <v>949</v>
      </c>
      <c r="E427" s="3">
        <v>350</v>
      </c>
      <c r="F427" s="3">
        <v>20</v>
      </c>
      <c r="G427" s="4">
        <v>44999</v>
      </c>
    </row>
    <row r="428" spans="2:11">
      <c r="C428" s="2" t="s">
        <v>5</v>
      </c>
      <c r="D428" s="2" t="s">
        <v>1063</v>
      </c>
      <c r="E428" s="3">
        <v>65</v>
      </c>
      <c r="F428" s="3">
        <v>10</v>
      </c>
      <c r="G428" s="4">
        <v>44984</v>
      </c>
    </row>
    <row r="429" spans="2:11">
      <c r="C429" s="2" t="s">
        <v>5</v>
      </c>
      <c r="D429" s="2" t="s">
        <v>843</v>
      </c>
      <c r="E429" s="3">
        <v>44</v>
      </c>
      <c r="F429" s="3">
        <v>10</v>
      </c>
      <c r="G429" s="4">
        <v>44671</v>
      </c>
    </row>
    <row r="430" spans="2:11">
      <c r="C430" s="2" t="s">
        <v>5</v>
      </c>
      <c r="D430" s="2" t="s">
        <v>701</v>
      </c>
      <c r="E430" s="3">
        <v>50</v>
      </c>
      <c r="F430" s="3">
        <f>30/12</f>
        <v>2.5</v>
      </c>
      <c r="G430" s="4">
        <v>44796</v>
      </c>
    </row>
    <row r="431" spans="2:11">
      <c r="C431" s="2" t="s">
        <v>4</v>
      </c>
      <c r="D431" s="2" t="s">
        <v>701</v>
      </c>
      <c r="E431" s="3">
        <v>12.5</v>
      </c>
      <c r="F431" s="3">
        <v>3</v>
      </c>
      <c r="G431" s="4">
        <v>44623</v>
      </c>
    </row>
    <row r="432" spans="2:11">
      <c r="C432" s="2" t="s">
        <v>7</v>
      </c>
      <c r="D432" s="2" t="s">
        <v>456</v>
      </c>
      <c r="E432" s="3">
        <v>26.8</v>
      </c>
      <c r="F432" s="3">
        <v>4</v>
      </c>
      <c r="G432" s="4">
        <v>44600</v>
      </c>
    </row>
    <row r="433" spans="1:11">
      <c r="C433" s="2" t="s">
        <v>18</v>
      </c>
      <c r="D433" s="2" t="s">
        <v>318</v>
      </c>
      <c r="E433" s="3">
        <v>8</v>
      </c>
      <c r="F433" s="3">
        <v>8</v>
      </c>
      <c r="G433" s="4">
        <v>45055</v>
      </c>
    </row>
    <row r="434" spans="1:11">
      <c r="C434" s="2" t="s">
        <v>9</v>
      </c>
      <c r="D434" s="2" t="s">
        <v>22</v>
      </c>
      <c r="E434" s="3">
        <v>222</v>
      </c>
      <c r="F434" s="3">
        <f>200/21</f>
        <v>9.5238095238095237</v>
      </c>
      <c r="G434" s="4">
        <v>44194</v>
      </c>
      <c r="I434" s="1">
        <v>2500</v>
      </c>
      <c r="J434" s="1">
        <v>2500</v>
      </c>
    </row>
    <row r="435" spans="1:11">
      <c r="C435" s="2" t="s">
        <v>8</v>
      </c>
      <c r="D435" s="2" t="s">
        <v>22</v>
      </c>
      <c r="E435" s="3">
        <v>200</v>
      </c>
      <c r="F435" s="3">
        <v>30</v>
      </c>
      <c r="G435" s="4">
        <v>43452</v>
      </c>
      <c r="I435" s="1">
        <v>1500</v>
      </c>
      <c r="J435" s="1">
        <v>2500</v>
      </c>
    </row>
    <row r="436" spans="1:11">
      <c r="C436" s="2" t="s">
        <v>7</v>
      </c>
      <c r="D436" s="2" t="s">
        <v>1063</v>
      </c>
      <c r="E436" s="3">
        <v>100</v>
      </c>
      <c r="F436" s="3">
        <v>15</v>
      </c>
      <c r="G436" s="4">
        <v>45106</v>
      </c>
    </row>
    <row r="437" spans="1:11">
      <c r="C437" s="2" t="s">
        <v>7</v>
      </c>
      <c r="D437" s="2" t="s">
        <v>2129</v>
      </c>
      <c r="E437" s="3">
        <v>176</v>
      </c>
      <c r="F437" s="3">
        <v>13</v>
      </c>
      <c r="G437" s="4">
        <v>44578</v>
      </c>
    </row>
    <row r="438" spans="1:11">
      <c r="C438" s="52" t="s">
        <v>18</v>
      </c>
      <c r="D438" s="52" t="s">
        <v>2116</v>
      </c>
      <c r="E438" s="3">
        <v>125</v>
      </c>
      <c r="F438" s="3">
        <v>20</v>
      </c>
      <c r="G438" s="4">
        <v>44126</v>
      </c>
      <c r="I438" s="1">
        <v>1100</v>
      </c>
      <c r="J438" s="1">
        <v>3400</v>
      </c>
    </row>
    <row r="439" spans="1:11">
      <c r="C439" s="52" t="s">
        <v>7</v>
      </c>
      <c r="D439" s="52" t="s">
        <v>2116</v>
      </c>
      <c r="E439" s="3">
        <v>40</v>
      </c>
      <c r="F439" s="3">
        <v>3</v>
      </c>
      <c r="G439" s="4">
        <v>43720</v>
      </c>
      <c r="J439" s="1">
        <v>3400</v>
      </c>
    </row>
    <row r="440" spans="1:11">
      <c r="C440" s="265" t="s">
        <v>7890</v>
      </c>
      <c r="D440" s="265" t="s">
        <v>1006</v>
      </c>
      <c r="E440" s="3">
        <v>684.6</v>
      </c>
      <c r="F440" s="3">
        <f>584.6/21</f>
        <v>27.838095238095239</v>
      </c>
      <c r="G440" s="4">
        <v>45183</v>
      </c>
      <c r="I440" s="1">
        <v>42500</v>
      </c>
      <c r="J440" s="1">
        <v>42500</v>
      </c>
    </row>
    <row r="441" spans="1:11">
      <c r="C441" s="265" t="s">
        <v>504</v>
      </c>
      <c r="D441" s="265" t="s">
        <v>1006</v>
      </c>
      <c r="E441" s="3">
        <v>1000</v>
      </c>
      <c r="F441" s="3">
        <f>900/23</f>
        <v>39.130434782608695</v>
      </c>
      <c r="G441" s="4">
        <v>44228</v>
      </c>
      <c r="I441" s="1">
        <v>27000</v>
      </c>
      <c r="J441" s="1">
        <v>42500</v>
      </c>
    </row>
    <row r="442" spans="1:11">
      <c r="C442" s="265" t="s">
        <v>7</v>
      </c>
      <c r="D442" s="265" t="s">
        <v>1133</v>
      </c>
      <c r="E442" s="3">
        <v>1300</v>
      </c>
      <c r="F442" s="3">
        <v>220</v>
      </c>
      <c r="G442" s="4">
        <v>45106</v>
      </c>
      <c r="I442" s="1">
        <v>4000</v>
      </c>
      <c r="J442" s="1">
        <v>4000</v>
      </c>
    </row>
    <row r="443" spans="1:11">
      <c r="G443" s="4"/>
    </row>
    <row r="444" spans="1:11">
      <c r="A444" s="1">
        <v>17</v>
      </c>
      <c r="B444" s="12" t="s">
        <v>7384</v>
      </c>
      <c r="C444" s="13" t="s">
        <v>969</v>
      </c>
      <c r="D444" s="13" t="s">
        <v>968</v>
      </c>
      <c r="E444" s="15"/>
      <c r="F444" s="15">
        <f>SUM(F445:F470)</f>
        <v>426.58333333333331</v>
      </c>
      <c r="G444" s="14">
        <f>G445</f>
        <v>44999</v>
      </c>
      <c r="I444" s="12">
        <v>3500</v>
      </c>
      <c r="J444" s="22">
        <f>+F444/I444</f>
        <v>0.12188095238095238</v>
      </c>
      <c r="K444" s="12">
        <v>1965</v>
      </c>
    </row>
    <row r="445" spans="1:11">
      <c r="B445" s="238" t="s">
        <v>7800</v>
      </c>
      <c r="C445" s="2" t="s">
        <v>7</v>
      </c>
      <c r="D445" s="2" t="s">
        <v>949</v>
      </c>
      <c r="E445" s="3">
        <v>350</v>
      </c>
      <c r="F445" s="3">
        <v>20</v>
      </c>
      <c r="G445" s="4">
        <v>44999</v>
      </c>
    </row>
    <row r="446" spans="1:11">
      <c r="C446" s="2" t="s">
        <v>5</v>
      </c>
      <c r="D446" s="2" t="s">
        <v>949</v>
      </c>
      <c r="E446" s="3">
        <v>65</v>
      </c>
      <c r="F446" s="3">
        <v>25</v>
      </c>
      <c r="G446" s="4">
        <v>44679</v>
      </c>
    </row>
    <row r="447" spans="1:11">
      <c r="C447" s="2" t="s">
        <v>4</v>
      </c>
      <c r="D447" s="2" t="s">
        <v>1133</v>
      </c>
      <c r="E447" s="3">
        <v>225</v>
      </c>
      <c r="F447" s="3">
        <v>150</v>
      </c>
      <c r="G447" s="4">
        <v>44694</v>
      </c>
      <c r="I447" s="238" t="s">
        <v>7385</v>
      </c>
      <c r="J447" s="25" t="s">
        <v>7599</v>
      </c>
    </row>
    <row r="448" spans="1:11">
      <c r="C448" s="2" t="s">
        <v>18</v>
      </c>
      <c r="D448" s="2" t="s">
        <v>877</v>
      </c>
      <c r="E448" s="3">
        <v>85</v>
      </c>
      <c r="F448" s="3">
        <v>6</v>
      </c>
      <c r="G448" s="4">
        <v>44417</v>
      </c>
      <c r="I448" s="238" t="s">
        <v>7598</v>
      </c>
      <c r="J448" s="25" t="s">
        <v>7600</v>
      </c>
    </row>
    <row r="449" spans="3:10">
      <c r="C449" s="2" t="s">
        <v>7</v>
      </c>
      <c r="D449" s="2" t="s">
        <v>877</v>
      </c>
      <c r="E449" s="3">
        <v>35</v>
      </c>
      <c r="F449" s="3">
        <f>25/6</f>
        <v>4.166666666666667</v>
      </c>
      <c r="G449" s="4">
        <v>44293</v>
      </c>
      <c r="I449" s="238" t="s">
        <v>7601</v>
      </c>
      <c r="J449" s="25" t="s">
        <v>7602</v>
      </c>
    </row>
    <row r="450" spans="3:10">
      <c r="C450" s="2" t="s">
        <v>5</v>
      </c>
      <c r="D450" s="2" t="s">
        <v>877</v>
      </c>
      <c r="E450" s="3">
        <v>12</v>
      </c>
      <c r="F450" s="3">
        <v>6</v>
      </c>
      <c r="G450" s="4">
        <v>44026</v>
      </c>
      <c r="I450" s="238" t="s">
        <v>7603</v>
      </c>
      <c r="J450" s="25" t="s">
        <v>7604</v>
      </c>
    </row>
    <row r="451" spans="3:10">
      <c r="C451" s="2" t="s">
        <v>4</v>
      </c>
      <c r="D451" s="2" t="s">
        <v>877</v>
      </c>
      <c r="E451" s="3">
        <v>3.3</v>
      </c>
      <c r="F451" s="3">
        <v>1</v>
      </c>
      <c r="G451" s="4">
        <v>44026</v>
      </c>
      <c r="I451" s="238" t="s">
        <v>7605</v>
      </c>
      <c r="J451" s="25" t="s">
        <v>7606</v>
      </c>
    </row>
    <row r="452" spans="3:10">
      <c r="C452" s="2" t="s">
        <v>7</v>
      </c>
      <c r="D452" s="2" t="s">
        <v>1011</v>
      </c>
      <c r="E452" s="3">
        <v>43</v>
      </c>
      <c r="F452" s="3">
        <v>6</v>
      </c>
      <c r="G452" s="4">
        <v>44978</v>
      </c>
      <c r="I452" s="238" t="s">
        <v>7607</v>
      </c>
      <c r="J452" s="25" t="s">
        <v>7608</v>
      </c>
    </row>
    <row r="453" spans="3:10">
      <c r="C453" s="2" t="s">
        <v>5</v>
      </c>
      <c r="D453" s="2" t="s">
        <v>1011</v>
      </c>
      <c r="E453" s="3">
        <v>26</v>
      </c>
      <c r="F453" s="3">
        <f>13/2</f>
        <v>6.5</v>
      </c>
      <c r="G453" s="4">
        <v>44453</v>
      </c>
      <c r="I453" s="238" t="s">
        <v>7609</v>
      </c>
      <c r="J453" s="25" t="s">
        <v>7610</v>
      </c>
    </row>
    <row r="454" spans="3:10">
      <c r="C454" s="2" t="s">
        <v>4</v>
      </c>
      <c r="D454" s="2" t="s">
        <v>1011</v>
      </c>
      <c r="E454" s="3">
        <v>6.3</v>
      </c>
      <c r="F454" s="3">
        <v>3</v>
      </c>
      <c r="G454" s="4">
        <v>44217</v>
      </c>
      <c r="I454" s="238" t="s">
        <v>7611</v>
      </c>
      <c r="J454" s="25" t="s">
        <v>7612</v>
      </c>
    </row>
    <row r="455" spans="3:10">
      <c r="C455" s="2" t="s">
        <v>4</v>
      </c>
      <c r="D455" s="2" t="s">
        <v>690</v>
      </c>
      <c r="E455" s="3">
        <v>30</v>
      </c>
      <c r="F455" s="3">
        <v>5</v>
      </c>
      <c r="G455" s="4">
        <v>44742</v>
      </c>
      <c r="I455" s="238" t="s">
        <v>7613</v>
      </c>
      <c r="J455" s="25" t="s">
        <v>7614</v>
      </c>
    </row>
    <row r="456" spans="3:10">
      <c r="C456" s="2" t="s">
        <v>7</v>
      </c>
      <c r="D456" s="2" t="s">
        <v>860</v>
      </c>
      <c r="E456" s="3">
        <v>25</v>
      </c>
      <c r="F456" s="3">
        <v>3</v>
      </c>
      <c r="G456" s="4">
        <v>44636</v>
      </c>
    </row>
    <row r="457" spans="3:10">
      <c r="C457" s="2" t="s">
        <v>5</v>
      </c>
      <c r="D457" s="2" t="s">
        <v>860</v>
      </c>
      <c r="E457" s="3">
        <v>12.2</v>
      </c>
      <c r="F457" s="3">
        <v>2</v>
      </c>
      <c r="G457" s="4">
        <v>44179</v>
      </c>
    </row>
    <row r="458" spans="3:10">
      <c r="C458" s="2" t="s">
        <v>4</v>
      </c>
      <c r="D458" s="2" t="s">
        <v>860</v>
      </c>
      <c r="E458" s="3">
        <v>5.0999999999999996</v>
      </c>
      <c r="F458" s="3">
        <v>3</v>
      </c>
      <c r="G458" s="4">
        <v>44046</v>
      </c>
    </row>
    <row r="459" spans="3:10">
      <c r="C459" s="2" t="s">
        <v>5</v>
      </c>
      <c r="D459" s="2" t="s">
        <v>888</v>
      </c>
      <c r="E459" s="3">
        <v>20</v>
      </c>
      <c r="F459" s="3">
        <v>7.5</v>
      </c>
      <c r="G459" s="4">
        <v>45009</v>
      </c>
    </row>
    <row r="460" spans="3:10">
      <c r="C460" s="2" t="s">
        <v>5</v>
      </c>
      <c r="D460" s="2" t="s">
        <v>689</v>
      </c>
      <c r="E460" s="3">
        <v>29</v>
      </c>
      <c r="F460" s="3">
        <v>10</v>
      </c>
      <c r="G460" s="4">
        <v>44691</v>
      </c>
    </row>
    <row r="461" spans="3:10">
      <c r="C461" s="2" t="s">
        <v>4</v>
      </c>
      <c r="D461" s="2" t="s">
        <v>649</v>
      </c>
      <c r="E461" s="3">
        <v>8</v>
      </c>
      <c r="F461" s="3">
        <v>3</v>
      </c>
      <c r="G461" s="4">
        <v>44677</v>
      </c>
    </row>
    <row r="462" spans="3:10">
      <c r="C462" s="2" t="s">
        <v>4</v>
      </c>
      <c r="D462" s="2" t="s">
        <v>1056</v>
      </c>
      <c r="E462" s="3">
        <v>4.3</v>
      </c>
      <c r="F462" s="3">
        <f>E462/3</f>
        <v>1.4333333333333333</v>
      </c>
      <c r="G462" s="4">
        <v>42821</v>
      </c>
    </row>
    <row r="463" spans="3:10">
      <c r="C463" s="2" t="s">
        <v>18</v>
      </c>
      <c r="D463" s="2" t="s">
        <v>253</v>
      </c>
      <c r="E463" s="3">
        <v>500</v>
      </c>
      <c r="F463" s="3">
        <v>75</v>
      </c>
      <c r="G463" s="4">
        <v>44144</v>
      </c>
    </row>
    <row r="464" spans="3:10">
      <c r="C464" s="2" t="s">
        <v>5</v>
      </c>
      <c r="D464" s="2" t="s">
        <v>253</v>
      </c>
      <c r="E464" s="3">
        <v>92</v>
      </c>
      <c r="F464" s="3">
        <f>E464/2</f>
        <v>46</v>
      </c>
      <c r="G464" s="4">
        <v>43130</v>
      </c>
    </row>
    <row r="465" spans="1:19">
      <c r="C465" s="92" t="s">
        <v>18</v>
      </c>
      <c r="D465" s="92" t="s">
        <v>2090</v>
      </c>
      <c r="E465" s="3">
        <v>80</v>
      </c>
      <c r="F465" s="3">
        <f>7</f>
        <v>7</v>
      </c>
      <c r="G465" s="4">
        <v>44637</v>
      </c>
      <c r="I465" s="1">
        <v>1500</v>
      </c>
      <c r="J465" s="1">
        <v>1500</v>
      </c>
    </row>
    <row r="466" spans="1:19">
      <c r="C466" s="92" t="s">
        <v>7</v>
      </c>
      <c r="D466" s="92" t="s">
        <v>2090</v>
      </c>
      <c r="E466" s="3">
        <v>50</v>
      </c>
      <c r="F466" s="3">
        <f>35/4</f>
        <v>8.75</v>
      </c>
      <c r="G466" s="4">
        <v>44286</v>
      </c>
      <c r="J466" s="1">
        <v>1500</v>
      </c>
    </row>
    <row r="467" spans="1:19">
      <c r="C467" s="92" t="s">
        <v>5</v>
      </c>
      <c r="D467" s="92" t="s">
        <v>2090</v>
      </c>
      <c r="E467" s="3">
        <v>15</v>
      </c>
      <c r="F467" s="3">
        <v>7.5</v>
      </c>
      <c r="G467" s="4">
        <v>43864</v>
      </c>
      <c r="J467" s="1">
        <v>1500</v>
      </c>
    </row>
    <row r="468" spans="1:19">
      <c r="C468" s="140" t="s">
        <v>7</v>
      </c>
      <c r="D468" s="140" t="s">
        <v>6271</v>
      </c>
      <c r="E468" s="3">
        <v>52.2</v>
      </c>
      <c r="F468" s="3">
        <f>32.2/3</f>
        <v>10.733333333333334</v>
      </c>
      <c r="G468" s="4">
        <v>44476</v>
      </c>
    </row>
    <row r="469" spans="1:19">
      <c r="C469" s="140" t="s">
        <v>5</v>
      </c>
      <c r="D469" s="140" t="s">
        <v>6271</v>
      </c>
      <c r="E469" s="3">
        <v>12</v>
      </c>
      <c r="F469" s="3">
        <v>8</v>
      </c>
      <c r="G469" s="4">
        <v>44125</v>
      </c>
    </row>
    <row r="470" spans="1:19">
      <c r="C470" s="140" t="s">
        <v>4</v>
      </c>
      <c r="D470" s="140" t="s">
        <v>6271</v>
      </c>
      <c r="E470" s="3">
        <v>3.5</v>
      </c>
      <c r="F470" s="3">
        <v>1</v>
      </c>
      <c r="G470" s="4">
        <v>43831</v>
      </c>
    </row>
    <row r="472" spans="1:19">
      <c r="A472" s="1">
        <v>18</v>
      </c>
      <c r="B472" s="12" t="s">
        <v>7461</v>
      </c>
      <c r="C472" s="13" t="s">
        <v>969</v>
      </c>
      <c r="D472" s="13" t="s">
        <v>968</v>
      </c>
      <c r="E472" s="15"/>
      <c r="F472" s="15">
        <f>SUM(F473:F488)</f>
        <v>401.95238095238096</v>
      </c>
      <c r="G472" s="14">
        <f>G482</f>
        <v>45091</v>
      </c>
      <c r="I472" s="12">
        <v>6500</v>
      </c>
      <c r="J472" s="22">
        <f>+F472/I472</f>
        <v>6.183882783882784E-2</v>
      </c>
      <c r="K472" s="12">
        <v>2020</v>
      </c>
      <c r="S472" s="91" t="s">
        <v>5222</v>
      </c>
    </row>
    <row r="473" spans="1:19">
      <c r="B473" s="238" t="s">
        <v>7462</v>
      </c>
      <c r="C473" s="2" t="s">
        <v>7</v>
      </c>
      <c r="D473" s="2" t="s">
        <v>949</v>
      </c>
      <c r="E473" s="3">
        <v>350</v>
      </c>
      <c r="F473" s="3">
        <v>20</v>
      </c>
      <c r="G473" s="4">
        <v>44999</v>
      </c>
    </row>
    <row r="474" spans="1:19">
      <c r="B474" s="253" t="s">
        <v>7632</v>
      </c>
      <c r="C474" s="2" t="s">
        <v>5</v>
      </c>
      <c r="D474" s="2" t="s">
        <v>949</v>
      </c>
      <c r="E474" s="3">
        <v>65</v>
      </c>
      <c r="F474" s="3">
        <v>25</v>
      </c>
      <c r="G474" s="4">
        <v>44679</v>
      </c>
    </row>
    <row r="475" spans="1:19">
      <c r="C475" s="2" t="s">
        <v>18</v>
      </c>
      <c r="D475" s="2" t="s">
        <v>926</v>
      </c>
      <c r="E475" s="3">
        <v>100</v>
      </c>
      <c r="F475" s="3">
        <v>9</v>
      </c>
      <c r="G475" s="4">
        <v>44690</v>
      </c>
      <c r="J475" s="1">
        <v>4300</v>
      </c>
    </row>
    <row r="476" spans="1:19">
      <c r="C476" s="2" t="s">
        <v>7</v>
      </c>
      <c r="D476" s="2" t="s">
        <v>926</v>
      </c>
      <c r="E476" s="3">
        <v>40</v>
      </c>
      <c r="F476" s="3">
        <v>7</v>
      </c>
      <c r="G476" s="4">
        <v>44327</v>
      </c>
      <c r="J476" s="1">
        <v>4300</v>
      </c>
    </row>
    <row r="477" spans="1:19">
      <c r="C477" s="2" t="s">
        <v>18</v>
      </c>
      <c r="D477" s="2" t="s">
        <v>1064</v>
      </c>
      <c r="E477" s="3">
        <v>85</v>
      </c>
      <c r="F477" s="3">
        <v>10</v>
      </c>
      <c r="G477" s="4">
        <v>44501</v>
      </c>
    </row>
    <row r="478" spans="1:19">
      <c r="C478" s="2" t="s">
        <v>7</v>
      </c>
      <c r="D478" s="2" t="s">
        <v>1064</v>
      </c>
      <c r="E478" s="3">
        <v>28</v>
      </c>
      <c r="F478" s="3">
        <v>18</v>
      </c>
      <c r="G478" s="4">
        <v>44272</v>
      </c>
    </row>
    <row r="479" spans="1:19">
      <c r="C479" s="2" t="s">
        <v>18</v>
      </c>
      <c r="D479" s="2" t="s">
        <v>877</v>
      </c>
      <c r="E479" s="3">
        <v>85</v>
      </c>
      <c r="F479" s="3">
        <v>20</v>
      </c>
      <c r="G479" s="4">
        <v>44417</v>
      </c>
    </row>
    <row r="480" spans="1:19">
      <c r="C480" s="2" t="s">
        <v>1040</v>
      </c>
      <c r="D480" s="2" t="s">
        <v>832</v>
      </c>
      <c r="E480" s="3">
        <v>99</v>
      </c>
      <c r="F480" s="3">
        <v>30</v>
      </c>
      <c r="G480" s="4">
        <v>44796</v>
      </c>
    </row>
    <row r="481" spans="1:18">
      <c r="C481" s="2" t="s">
        <v>1116</v>
      </c>
      <c r="D481" s="2" t="s">
        <v>832</v>
      </c>
      <c r="E481" s="3">
        <v>100</v>
      </c>
      <c r="F481" s="3">
        <v>30</v>
      </c>
      <c r="G481" s="4">
        <v>44537</v>
      </c>
    </row>
    <row r="482" spans="1:18">
      <c r="C482" s="2" t="s">
        <v>8</v>
      </c>
      <c r="D482" s="2" t="s">
        <v>310</v>
      </c>
      <c r="E482" s="3">
        <v>69</v>
      </c>
      <c r="F482" s="3">
        <v>50</v>
      </c>
      <c r="G482" s="4">
        <v>45091</v>
      </c>
    </row>
    <row r="483" spans="1:18">
      <c r="C483" s="2" t="s">
        <v>18</v>
      </c>
      <c r="D483" s="2" t="s">
        <v>310</v>
      </c>
      <c r="E483" s="3">
        <v>110</v>
      </c>
      <c r="F483" s="3">
        <v>40</v>
      </c>
      <c r="G483" s="4">
        <v>44369</v>
      </c>
    </row>
    <row r="484" spans="1:18">
      <c r="C484" s="52" t="s">
        <v>18</v>
      </c>
      <c r="D484" s="52" t="s">
        <v>2118</v>
      </c>
      <c r="E484" s="3">
        <v>300</v>
      </c>
      <c r="F484" s="3">
        <v>14.285714285714286</v>
      </c>
      <c r="G484" s="4">
        <v>44300</v>
      </c>
    </row>
    <row r="485" spans="1:18">
      <c r="C485" s="52" t="s">
        <v>8</v>
      </c>
      <c r="D485" s="52" t="s">
        <v>2116</v>
      </c>
      <c r="E485" s="3">
        <v>175</v>
      </c>
      <c r="F485" s="3">
        <v>50</v>
      </c>
      <c r="G485" s="4">
        <v>44511</v>
      </c>
    </row>
    <row r="486" spans="1:18">
      <c r="C486" s="92" t="s">
        <v>18</v>
      </c>
      <c r="D486" s="92" t="s">
        <v>2101</v>
      </c>
      <c r="E486" s="3">
        <v>100</v>
      </c>
      <c r="F486" s="3">
        <v>30</v>
      </c>
      <c r="G486" s="4">
        <v>44397</v>
      </c>
    </row>
    <row r="487" spans="1:18">
      <c r="C487" s="92" t="s">
        <v>7</v>
      </c>
      <c r="D487" s="92" t="s">
        <v>2101</v>
      </c>
      <c r="E487" s="3">
        <v>56</v>
      </c>
      <c r="F487" s="3">
        <v>32</v>
      </c>
      <c r="G487" s="4">
        <v>44319</v>
      </c>
    </row>
    <row r="488" spans="1:18">
      <c r="C488" s="92" t="s">
        <v>7</v>
      </c>
      <c r="D488" s="92" t="s">
        <v>5440</v>
      </c>
      <c r="E488" s="3">
        <v>75</v>
      </c>
      <c r="F488" s="3">
        <f>50/3</f>
        <v>16.666666666666668</v>
      </c>
      <c r="G488" s="4">
        <v>44677</v>
      </c>
    </row>
    <row r="489" spans="1:18">
      <c r="G489" s="4"/>
    </row>
    <row r="490" spans="1:18" s="12" customFormat="1">
      <c r="A490" s="12">
        <v>19</v>
      </c>
      <c r="B490" s="12" t="s">
        <v>335</v>
      </c>
      <c r="C490" s="13" t="s">
        <v>969</v>
      </c>
      <c r="D490" s="13" t="s">
        <v>968</v>
      </c>
      <c r="E490" s="15"/>
      <c r="F490" s="15">
        <f>SUM(F491:F495)</f>
        <v>403.21999999999997</v>
      </c>
      <c r="G490" s="14">
        <f>G492</f>
        <v>44274</v>
      </c>
    </row>
    <row r="491" spans="1:18">
      <c r="B491" s="238" t="s">
        <v>7458</v>
      </c>
      <c r="C491" s="2" t="s">
        <v>4</v>
      </c>
      <c r="D491" s="2" t="s">
        <v>332</v>
      </c>
      <c r="E491" s="3">
        <v>5.0999999999999996</v>
      </c>
      <c r="F491" s="3">
        <f>E491/5</f>
        <v>1.02</v>
      </c>
      <c r="G491" s="4">
        <v>43990</v>
      </c>
      <c r="M491" s="1"/>
      <c r="N491" s="1"/>
      <c r="O491" s="1"/>
      <c r="P491" s="1"/>
      <c r="Q491" s="1"/>
      <c r="R491" s="1"/>
    </row>
    <row r="492" spans="1:18">
      <c r="B492" s="254" t="s">
        <v>7631</v>
      </c>
      <c r="C492" s="2" t="s">
        <v>18</v>
      </c>
      <c r="D492" s="2" t="s">
        <v>197</v>
      </c>
      <c r="E492" s="3">
        <v>500</v>
      </c>
      <c r="F492" s="3">
        <v>100</v>
      </c>
      <c r="G492" s="4">
        <v>44274</v>
      </c>
      <c r="M492" s="1"/>
      <c r="N492" s="1"/>
      <c r="O492" s="1"/>
      <c r="P492" s="1"/>
      <c r="Q492" s="1"/>
      <c r="R492" s="1"/>
    </row>
    <row r="493" spans="1:18">
      <c r="C493" s="2" t="s">
        <v>7</v>
      </c>
      <c r="D493" s="2" t="s">
        <v>161</v>
      </c>
      <c r="E493" s="3">
        <v>462</v>
      </c>
      <c r="F493" s="3">
        <v>300</v>
      </c>
      <c r="G493" s="4">
        <v>43886</v>
      </c>
      <c r="I493" s="1">
        <v>2500</v>
      </c>
      <c r="J493" s="1">
        <v>8400</v>
      </c>
      <c r="M493" s="1"/>
      <c r="N493" s="1"/>
      <c r="O493" s="1"/>
      <c r="P493" s="1"/>
      <c r="Q493" s="1"/>
      <c r="R493" s="1"/>
    </row>
    <row r="494" spans="1:18">
      <c r="C494" s="153" t="s">
        <v>5</v>
      </c>
      <c r="D494" s="153" t="s">
        <v>2037</v>
      </c>
      <c r="E494" s="3">
        <v>11</v>
      </c>
      <c r="F494" s="3">
        <f>7/4</f>
        <v>1.75</v>
      </c>
      <c r="G494" s="4">
        <v>44174</v>
      </c>
      <c r="M494" s="1"/>
      <c r="N494" s="1"/>
      <c r="O494" s="1"/>
      <c r="P494" s="1"/>
      <c r="Q494" s="1"/>
      <c r="R494" s="1"/>
    </row>
    <row r="495" spans="1:18">
      <c r="C495" s="153" t="s">
        <v>4</v>
      </c>
      <c r="D495" s="153" t="s">
        <v>2037</v>
      </c>
      <c r="E495" s="3">
        <v>2.9</v>
      </c>
      <c r="F495" s="3">
        <f>0.9/2</f>
        <v>0.45</v>
      </c>
      <c r="G495" s="4">
        <v>43221</v>
      </c>
      <c r="M495" s="1"/>
      <c r="N495" s="1"/>
      <c r="O495" s="1"/>
      <c r="P495" s="1"/>
      <c r="Q495" s="1"/>
      <c r="R495" s="1"/>
    </row>
    <row r="496" spans="1:18">
      <c r="G496" s="4"/>
      <c r="M496" s="1"/>
      <c r="N496" s="1"/>
      <c r="O496" s="1"/>
      <c r="P496" s="1"/>
      <c r="Q496" s="1"/>
      <c r="R496" s="1"/>
    </row>
    <row r="497" spans="1:18" s="12" customFormat="1">
      <c r="A497" s="12">
        <v>20</v>
      </c>
      <c r="B497" s="12" t="s">
        <v>1136</v>
      </c>
      <c r="C497" s="13" t="s">
        <v>969</v>
      </c>
      <c r="D497" s="13" t="s">
        <v>968</v>
      </c>
      <c r="E497" s="15"/>
      <c r="F497" s="15">
        <f>SUM(F498:F507)</f>
        <v>391.5555555555556</v>
      </c>
      <c r="G497" s="14">
        <f>G500</f>
        <v>44274</v>
      </c>
    </row>
    <row r="498" spans="1:18">
      <c r="B498" s="238" t="s">
        <v>7460</v>
      </c>
      <c r="C498" s="2" t="s">
        <v>5</v>
      </c>
      <c r="D498" s="2" t="s">
        <v>431</v>
      </c>
      <c r="E498" s="3">
        <v>15</v>
      </c>
      <c r="F498" s="3">
        <v>3</v>
      </c>
      <c r="G498" s="4">
        <v>42690</v>
      </c>
      <c r="M498" s="1"/>
      <c r="N498" s="1"/>
      <c r="O498" s="1"/>
      <c r="P498" s="1"/>
      <c r="Q498" s="1"/>
      <c r="R498" s="1"/>
    </row>
    <row r="499" spans="1:18">
      <c r="B499" s="253" t="s">
        <v>7632</v>
      </c>
      <c r="C499" s="2" t="s">
        <v>18</v>
      </c>
      <c r="D499" s="2" t="s">
        <v>245</v>
      </c>
      <c r="E499" s="3">
        <v>820</v>
      </c>
      <c r="F499" s="3">
        <v>220</v>
      </c>
      <c r="G499" s="4">
        <v>43223</v>
      </c>
      <c r="M499" s="1"/>
      <c r="N499" s="1"/>
      <c r="O499" s="1"/>
      <c r="P499" s="1"/>
      <c r="Q499" s="1"/>
      <c r="R499" s="1"/>
    </row>
    <row r="500" spans="1:18">
      <c r="C500" s="2" t="s">
        <v>18</v>
      </c>
      <c r="D500" s="2" t="s">
        <v>197</v>
      </c>
      <c r="E500" s="3">
        <v>500</v>
      </c>
      <c r="F500" s="3">
        <f>200/9</f>
        <v>22.222222222222221</v>
      </c>
      <c r="G500" s="4">
        <v>44274</v>
      </c>
      <c r="M500" s="1"/>
      <c r="N500" s="1"/>
      <c r="O500" s="1"/>
      <c r="P500" s="1"/>
      <c r="Q500" s="1"/>
      <c r="R500" s="1"/>
    </row>
    <row r="501" spans="1:18">
      <c r="C501" s="2" t="s">
        <v>7</v>
      </c>
      <c r="D501" s="2" t="s">
        <v>197</v>
      </c>
      <c r="E501" s="3">
        <v>120</v>
      </c>
      <c r="F501" s="3">
        <f>30/3</f>
        <v>10</v>
      </c>
      <c r="G501" s="4">
        <v>43391</v>
      </c>
      <c r="M501" s="1"/>
      <c r="N501" s="1"/>
      <c r="O501" s="1"/>
      <c r="P501" s="1"/>
      <c r="Q501" s="1"/>
      <c r="R501" s="1"/>
    </row>
    <row r="502" spans="1:18">
      <c r="C502" s="2" t="s">
        <v>9</v>
      </c>
      <c r="D502" s="2" t="s">
        <v>148</v>
      </c>
      <c r="E502" s="3">
        <f>300</f>
        <v>300</v>
      </c>
      <c r="F502" s="6" t="s">
        <v>1135</v>
      </c>
      <c r="G502" s="4">
        <v>44271</v>
      </c>
      <c r="M502" s="1"/>
      <c r="N502" s="1"/>
      <c r="O502" s="1"/>
      <c r="P502" s="1"/>
      <c r="Q502" s="1"/>
      <c r="R502" s="1"/>
    </row>
    <row r="503" spans="1:18">
      <c r="C503" s="2" t="s">
        <v>18</v>
      </c>
      <c r="D503" s="2" t="s">
        <v>80</v>
      </c>
      <c r="E503" s="3">
        <v>257</v>
      </c>
      <c r="F503" s="6">
        <f>107/3</f>
        <v>35.666666666666664</v>
      </c>
      <c r="G503" s="4">
        <v>44201</v>
      </c>
      <c r="M503" s="1"/>
      <c r="N503" s="1"/>
      <c r="O503" s="1"/>
      <c r="P503" s="1"/>
      <c r="Q503" s="1"/>
      <c r="R503" s="1"/>
    </row>
    <row r="504" spans="1:18">
      <c r="C504" s="2" t="s">
        <v>7</v>
      </c>
      <c r="D504" s="2" t="s">
        <v>80</v>
      </c>
      <c r="E504" s="3">
        <v>100</v>
      </c>
      <c r="F504" s="6">
        <v>20</v>
      </c>
      <c r="G504" s="4">
        <v>43958</v>
      </c>
      <c r="M504" s="1"/>
      <c r="N504" s="1"/>
      <c r="O504" s="1"/>
      <c r="P504" s="1"/>
      <c r="Q504" s="1"/>
      <c r="R504" s="1"/>
    </row>
    <row r="505" spans="1:18">
      <c r="C505" s="2" t="s">
        <v>5</v>
      </c>
      <c r="D505" s="2" t="s">
        <v>80</v>
      </c>
      <c r="E505" s="3">
        <v>43</v>
      </c>
      <c r="F505" s="6">
        <f>+E505/6</f>
        <v>7.166666666666667</v>
      </c>
      <c r="G505" s="4">
        <v>43622</v>
      </c>
      <c r="M505" s="1"/>
      <c r="N505" s="1"/>
      <c r="O505" s="1"/>
      <c r="P505" s="1"/>
      <c r="Q505" s="1"/>
      <c r="R505" s="1"/>
    </row>
    <row r="506" spans="1:18">
      <c r="C506" s="2" t="s">
        <v>4</v>
      </c>
      <c r="D506" s="2" t="s">
        <v>80</v>
      </c>
      <c r="E506" s="3">
        <v>19</v>
      </c>
      <c r="F506" s="6">
        <v>19</v>
      </c>
      <c r="G506" s="4">
        <v>43319</v>
      </c>
      <c r="M506" s="1"/>
      <c r="N506" s="1"/>
      <c r="O506" s="1"/>
      <c r="P506" s="1"/>
      <c r="Q506" s="1"/>
      <c r="R506" s="1"/>
    </row>
    <row r="507" spans="1:18">
      <c r="C507" s="2" t="s">
        <v>5</v>
      </c>
      <c r="D507" s="2" t="s">
        <v>29</v>
      </c>
      <c r="E507" s="3">
        <f>1600/7</f>
        <v>228.57142857142858</v>
      </c>
      <c r="F507" s="6">
        <f>109/2</f>
        <v>54.5</v>
      </c>
      <c r="G507" s="4">
        <v>45078</v>
      </c>
      <c r="I507" s="1">
        <v>1000</v>
      </c>
      <c r="J507" s="1">
        <v>1000</v>
      </c>
      <c r="M507" s="1"/>
      <c r="N507" s="1"/>
      <c r="O507" s="1"/>
      <c r="P507" s="1"/>
      <c r="Q507" s="1"/>
      <c r="R507" s="1"/>
    </row>
    <row r="508" spans="1:18">
      <c r="G508" s="4"/>
      <c r="M508" s="1"/>
      <c r="N508" s="1"/>
      <c r="O508" s="1"/>
      <c r="P508" s="1"/>
      <c r="Q508" s="1"/>
      <c r="R508" s="1"/>
    </row>
    <row r="509" spans="1:18">
      <c r="A509" s="1">
        <v>21</v>
      </c>
      <c r="B509" s="12" t="s">
        <v>1132</v>
      </c>
      <c r="C509" s="13" t="s">
        <v>969</v>
      </c>
      <c r="D509" s="13" t="s">
        <v>968</v>
      </c>
      <c r="F509" s="15">
        <f>+F510+F511</f>
        <v>381.81818181818181</v>
      </c>
      <c r="G509" s="14">
        <f>+G510</f>
        <v>44363</v>
      </c>
      <c r="I509" s="2" t="s">
        <v>1</v>
      </c>
      <c r="J509" s="2" t="s">
        <v>1</v>
      </c>
      <c r="K509" s="2" t="s">
        <v>1</v>
      </c>
    </row>
    <row r="510" spans="1:18">
      <c r="B510" s="238" t="s">
        <v>7458</v>
      </c>
      <c r="C510" s="2" t="s">
        <v>7</v>
      </c>
      <c r="D510" s="2" t="s">
        <v>1125</v>
      </c>
      <c r="E510" s="3">
        <v>2500</v>
      </c>
      <c r="F510" s="3">
        <f>2000/11</f>
        <v>181.81818181818181</v>
      </c>
      <c r="G510" s="4">
        <v>44363</v>
      </c>
    </row>
    <row r="511" spans="1:18">
      <c r="B511" s="254" t="s">
        <v>7631</v>
      </c>
      <c r="C511" s="2" t="s">
        <v>5</v>
      </c>
      <c r="D511" s="2" t="s">
        <v>1125</v>
      </c>
      <c r="E511" s="3">
        <v>3000</v>
      </c>
      <c r="F511" s="3">
        <f>800/4</f>
        <v>200</v>
      </c>
      <c r="G511" s="4">
        <v>43892</v>
      </c>
    </row>
    <row r="512" spans="1:18">
      <c r="G512" s="4"/>
    </row>
    <row r="513" spans="1:11">
      <c r="A513" s="1">
        <v>22</v>
      </c>
      <c r="B513" s="12" t="s">
        <v>1131</v>
      </c>
      <c r="C513" s="13" t="s">
        <v>969</v>
      </c>
      <c r="D513" s="13" t="s">
        <v>968</v>
      </c>
      <c r="F513" s="15">
        <f>+F514+F515</f>
        <v>381.81818181818181</v>
      </c>
      <c r="G513" s="14">
        <f>+G514</f>
        <v>44363</v>
      </c>
      <c r="I513" s="2" t="s">
        <v>1</v>
      </c>
      <c r="J513" s="2" t="s">
        <v>1</v>
      </c>
      <c r="K513" s="2" t="s">
        <v>1</v>
      </c>
    </row>
    <row r="514" spans="1:11">
      <c r="B514" s="238" t="s">
        <v>7458</v>
      </c>
      <c r="C514" s="2" t="s">
        <v>7</v>
      </c>
      <c r="D514" s="2" t="s">
        <v>1125</v>
      </c>
      <c r="E514" s="3">
        <v>2500</v>
      </c>
      <c r="F514" s="3">
        <f>2000/11</f>
        <v>181.81818181818181</v>
      </c>
      <c r="G514" s="4">
        <v>44363</v>
      </c>
    </row>
    <row r="515" spans="1:11">
      <c r="B515" s="254" t="s">
        <v>7631</v>
      </c>
      <c r="C515" s="2" t="s">
        <v>5</v>
      </c>
      <c r="D515" s="2" t="s">
        <v>1125</v>
      </c>
      <c r="E515" s="3">
        <v>3000</v>
      </c>
      <c r="F515" s="3">
        <f>800/4</f>
        <v>200</v>
      </c>
      <c r="G515" s="4">
        <v>43892</v>
      </c>
    </row>
    <row r="516" spans="1:11">
      <c r="G516" s="4"/>
    </row>
    <row r="517" spans="1:11">
      <c r="A517" s="1">
        <v>23</v>
      </c>
      <c r="B517" s="12" t="s">
        <v>1126</v>
      </c>
      <c r="C517" s="13" t="s">
        <v>969</v>
      </c>
      <c r="D517" s="13" t="s">
        <v>968</v>
      </c>
      <c r="E517" s="15"/>
      <c r="F517" s="15">
        <f>SUM(F518:F526)</f>
        <v>324.46897546897549</v>
      </c>
      <c r="G517" s="14">
        <f>+G519</f>
        <v>44893</v>
      </c>
      <c r="I517" s="2" t="s">
        <v>1</v>
      </c>
      <c r="J517" s="2" t="s">
        <v>1</v>
      </c>
      <c r="K517" s="2" t="s">
        <v>1</v>
      </c>
    </row>
    <row r="518" spans="1:11">
      <c r="B518" s="238" t="s">
        <v>7456</v>
      </c>
      <c r="C518" s="2" t="s">
        <v>7</v>
      </c>
      <c r="D518" s="2" t="s">
        <v>1125</v>
      </c>
      <c r="E518" s="3">
        <v>2500</v>
      </c>
      <c r="F518" s="3">
        <f>2000/11</f>
        <v>181.81818181818181</v>
      </c>
      <c r="G518" s="4">
        <v>44363</v>
      </c>
    </row>
    <row r="519" spans="1:11">
      <c r="B519" s="254" t="s">
        <v>7631</v>
      </c>
      <c r="C519" s="2" t="s">
        <v>5</v>
      </c>
      <c r="D519" s="2" t="s">
        <v>779</v>
      </c>
      <c r="E519" s="3">
        <v>33</v>
      </c>
      <c r="F519" s="3">
        <v>10</v>
      </c>
      <c r="G519" s="4">
        <v>44893</v>
      </c>
    </row>
    <row r="520" spans="1:11">
      <c r="C520" s="2" t="s">
        <v>7</v>
      </c>
      <c r="D520" s="2" t="s">
        <v>475</v>
      </c>
      <c r="E520" s="3">
        <v>90</v>
      </c>
      <c r="F520" s="3">
        <v>15</v>
      </c>
      <c r="G520" s="4">
        <v>44398</v>
      </c>
    </row>
    <row r="521" spans="1:11">
      <c r="C521" s="2" t="s">
        <v>18</v>
      </c>
      <c r="D521" s="2" t="s">
        <v>424</v>
      </c>
      <c r="E521" s="3">
        <v>80</v>
      </c>
      <c r="F521" s="3">
        <v>10</v>
      </c>
      <c r="G521" s="4">
        <v>44404</v>
      </c>
    </row>
    <row r="522" spans="1:11">
      <c r="C522" s="2" t="s">
        <v>8</v>
      </c>
      <c r="D522" s="2" t="s">
        <v>208</v>
      </c>
      <c r="E522" s="3">
        <v>676</v>
      </c>
      <c r="F522" s="3">
        <f>500/7</f>
        <v>71.428571428571431</v>
      </c>
      <c r="G522" s="4">
        <v>44299</v>
      </c>
      <c r="I522" s="1">
        <v>4400</v>
      </c>
    </row>
    <row r="523" spans="1:11">
      <c r="C523" s="2" t="s">
        <v>18</v>
      </c>
      <c r="D523" s="2" t="s">
        <v>197</v>
      </c>
      <c r="E523" s="3">
        <v>500</v>
      </c>
      <c r="F523" s="3">
        <f>200/9</f>
        <v>22.222222222222221</v>
      </c>
      <c r="G523" s="4">
        <v>44274</v>
      </c>
    </row>
    <row r="524" spans="1:11">
      <c r="C524" s="2" t="s">
        <v>5</v>
      </c>
      <c r="D524" s="2" t="s">
        <v>148</v>
      </c>
      <c r="E524" s="3">
        <v>3</v>
      </c>
      <c r="F524" s="6" t="s">
        <v>1051</v>
      </c>
      <c r="G524" s="4">
        <v>41879</v>
      </c>
      <c r="I524" s="1">
        <v>11</v>
      </c>
    </row>
    <row r="525" spans="1:11">
      <c r="C525" s="2" t="s">
        <v>7</v>
      </c>
      <c r="D525" s="2" t="s">
        <v>108</v>
      </c>
      <c r="E525" s="3">
        <v>37</v>
      </c>
      <c r="F525" s="6">
        <v>6.5</v>
      </c>
      <c r="G525" s="4">
        <v>43783</v>
      </c>
      <c r="I525" s="1">
        <v>113</v>
      </c>
    </row>
    <row r="526" spans="1:11">
      <c r="C526" s="2" t="s">
        <v>5</v>
      </c>
      <c r="D526" s="2" t="s">
        <v>108</v>
      </c>
      <c r="E526" s="3">
        <v>15</v>
      </c>
      <c r="F526" s="6">
        <f>E526/2</f>
        <v>7.5</v>
      </c>
      <c r="G526" s="4">
        <v>43262</v>
      </c>
    </row>
    <row r="527" spans="1:11">
      <c r="G527" s="4"/>
    </row>
    <row r="528" spans="1:11" s="12" customFormat="1">
      <c r="B528" s="12" t="s">
        <v>1102</v>
      </c>
      <c r="C528" s="13" t="s">
        <v>969</v>
      </c>
      <c r="D528" s="13" t="s">
        <v>968</v>
      </c>
      <c r="E528" s="15"/>
      <c r="F528" s="15">
        <f>SUM(F529:F533)</f>
        <v>309.68994708994705</v>
      </c>
      <c r="G528" s="14">
        <f>G531</f>
        <v>45183</v>
      </c>
    </row>
    <row r="529" spans="1:18">
      <c r="B529" s="238" t="s">
        <v>7634</v>
      </c>
      <c r="C529" s="2" t="s">
        <v>504</v>
      </c>
      <c r="D529" s="2" t="s">
        <v>489</v>
      </c>
      <c r="E529" s="3">
        <v>250</v>
      </c>
      <c r="F529" s="3">
        <f>150/5</f>
        <v>30</v>
      </c>
      <c r="G529" s="4">
        <v>44376</v>
      </c>
      <c r="M529" s="1"/>
      <c r="N529" s="1"/>
      <c r="O529" s="1"/>
      <c r="P529" s="1"/>
      <c r="Q529" s="1"/>
      <c r="R529" s="1"/>
    </row>
    <row r="530" spans="1:18">
      <c r="B530" s="254" t="s">
        <v>7631</v>
      </c>
      <c r="C530" s="2" t="s">
        <v>9</v>
      </c>
      <c r="D530" s="2" t="s">
        <v>55</v>
      </c>
      <c r="E530" s="3">
        <v>250</v>
      </c>
      <c r="F530" s="3">
        <v>100</v>
      </c>
      <c r="G530" s="4">
        <v>44350</v>
      </c>
      <c r="I530" s="1">
        <v>7000</v>
      </c>
      <c r="J530" s="1">
        <v>7000</v>
      </c>
      <c r="M530" s="1"/>
      <c r="N530" s="1"/>
      <c r="O530" s="1"/>
      <c r="P530" s="1"/>
      <c r="Q530" s="1"/>
      <c r="R530" s="1"/>
    </row>
    <row r="531" spans="1:18">
      <c r="B531" s="2"/>
      <c r="C531" s="265" t="s">
        <v>7890</v>
      </c>
      <c r="D531" s="265" t="s">
        <v>1006</v>
      </c>
      <c r="E531" s="3">
        <v>684.6</v>
      </c>
      <c r="F531" s="3">
        <f>584.6/21</f>
        <v>27.838095238095239</v>
      </c>
      <c r="G531" s="4">
        <v>45183</v>
      </c>
      <c r="I531" s="1">
        <v>42500</v>
      </c>
      <c r="J531" s="1">
        <v>42500</v>
      </c>
      <c r="M531" s="1"/>
      <c r="N531" s="1"/>
      <c r="O531" s="1"/>
      <c r="P531" s="1"/>
      <c r="Q531" s="1"/>
      <c r="R531" s="1"/>
    </row>
    <row r="532" spans="1:18">
      <c r="B532" s="2"/>
      <c r="C532" s="265" t="s">
        <v>2486</v>
      </c>
      <c r="D532" s="265" t="s">
        <v>1006</v>
      </c>
      <c r="E532" s="3">
        <v>1600</v>
      </c>
      <c r="F532" s="3">
        <f>1400/27</f>
        <v>51.851851851851855</v>
      </c>
      <c r="G532" s="4">
        <v>44439</v>
      </c>
      <c r="I532" s="1">
        <v>36400</v>
      </c>
      <c r="J532" s="1">
        <v>42500</v>
      </c>
      <c r="M532" s="1"/>
      <c r="N532" s="1"/>
      <c r="O532" s="1"/>
      <c r="P532" s="1"/>
      <c r="Q532" s="1"/>
      <c r="R532" s="1"/>
    </row>
    <row r="533" spans="1:18">
      <c r="B533" s="2"/>
      <c r="C533" s="265" t="s">
        <v>504</v>
      </c>
      <c r="D533" s="265" t="s">
        <v>1006</v>
      </c>
      <c r="E533" s="3">
        <v>1000</v>
      </c>
      <c r="F533" s="3">
        <v>100</v>
      </c>
      <c r="G533" s="4">
        <v>44228</v>
      </c>
      <c r="I533" s="1">
        <v>27000</v>
      </c>
      <c r="J533" s="1">
        <v>42500</v>
      </c>
      <c r="M533" s="1"/>
      <c r="N533" s="1"/>
      <c r="O533" s="1"/>
      <c r="P533" s="1"/>
      <c r="Q533" s="1"/>
      <c r="R533" s="1"/>
    </row>
    <row r="534" spans="1:18">
      <c r="G534" s="4"/>
      <c r="M534" s="1"/>
      <c r="N534" s="1"/>
      <c r="O534" s="1"/>
      <c r="P534" s="1"/>
      <c r="Q534" s="1"/>
      <c r="R534" s="1"/>
    </row>
    <row r="535" spans="1:18" s="12" customFormat="1">
      <c r="A535" s="12">
        <v>24</v>
      </c>
      <c r="B535" s="12" t="s">
        <v>242</v>
      </c>
      <c r="C535" s="13" t="s">
        <v>969</v>
      </c>
      <c r="D535" s="13" t="s">
        <v>968</v>
      </c>
      <c r="E535" s="15"/>
      <c r="F535" s="15">
        <f>SUM(F536:F538)</f>
        <v>302.5</v>
      </c>
      <c r="G535" s="14">
        <f>G538</f>
        <v>44550</v>
      </c>
      <c r="M535" s="13"/>
      <c r="N535" s="13"/>
      <c r="O535" s="13"/>
      <c r="P535" s="13"/>
      <c r="Q535" s="13"/>
      <c r="R535" s="13"/>
    </row>
    <row r="536" spans="1:18">
      <c r="B536" s="238" t="s">
        <v>7459</v>
      </c>
      <c r="C536" s="2" t="s">
        <v>8</v>
      </c>
      <c r="D536" s="2" t="s">
        <v>232</v>
      </c>
      <c r="E536" s="3">
        <v>750</v>
      </c>
      <c r="F536" s="3">
        <f>450/4</f>
        <v>112.5</v>
      </c>
      <c r="G536" s="4">
        <v>43593</v>
      </c>
    </row>
    <row r="537" spans="1:18">
      <c r="B537" s="254" t="s">
        <v>7631</v>
      </c>
      <c r="C537" s="2" t="s">
        <v>18</v>
      </c>
      <c r="D537" s="2" t="s">
        <v>232</v>
      </c>
      <c r="E537" s="3">
        <v>460</v>
      </c>
      <c r="F537" s="3">
        <v>150</v>
      </c>
      <c r="G537" s="4">
        <v>43040</v>
      </c>
    </row>
    <row r="538" spans="1:18">
      <c r="C538" s="2" t="s">
        <v>7</v>
      </c>
      <c r="D538" s="2" t="s">
        <v>64</v>
      </c>
      <c r="E538" s="3">
        <f>1600/7</f>
        <v>228.57142857142858</v>
      </c>
      <c r="F538" s="3">
        <v>40</v>
      </c>
      <c r="G538" s="4">
        <v>44550</v>
      </c>
    </row>
    <row r="539" spans="1:18">
      <c r="G539" s="4"/>
    </row>
    <row r="540" spans="1:18" s="12" customFormat="1">
      <c r="A540" s="12">
        <v>25</v>
      </c>
      <c r="B540" s="12" t="s">
        <v>7463</v>
      </c>
      <c r="C540" s="13" t="s">
        <v>969</v>
      </c>
      <c r="D540" s="13" t="s">
        <v>968</v>
      </c>
      <c r="E540" s="15"/>
      <c r="F540" s="15">
        <f>SUM(F541:F561)</f>
        <v>301.73333333333329</v>
      </c>
      <c r="G540" s="14">
        <f>+G552</f>
        <v>45090</v>
      </c>
      <c r="I540" s="12">
        <v>13000</v>
      </c>
      <c r="J540" s="22">
        <f>+F540/I540</f>
        <v>2.3210256410256407E-2</v>
      </c>
      <c r="K540" s="12">
        <v>1996</v>
      </c>
      <c r="M540" s="13"/>
      <c r="N540" s="13"/>
      <c r="O540" s="13"/>
      <c r="P540" s="13"/>
      <c r="Q540" s="13"/>
      <c r="R540" s="13"/>
    </row>
    <row r="541" spans="1:18">
      <c r="B541" s="389" t="s">
        <v>9613</v>
      </c>
      <c r="C541" s="2" t="s">
        <v>9</v>
      </c>
      <c r="D541" s="2" t="s">
        <v>803</v>
      </c>
      <c r="E541" s="3">
        <v>325</v>
      </c>
      <c r="F541" s="3">
        <v>18.5</v>
      </c>
      <c r="G541" s="4">
        <v>44299</v>
      </c>
    </row>
    <row r="542" spans="1:18">
      <c r="C542" s="2" t="s">
        <v>7</v>
      </c>
      <c r="D542" s="2" t="s">
        <v>803</v>
      </c>
      <c r="E542" s="3">
        <v>18</v>
      </c>
      <c r="F542" s="3">
        <v>12</v>
      </c>
      <c r="G542" s="4">
        <v>43319</v>
      </c>
    </row>
    <row r="543" spans="1:18">
      <c r="C543" s="2" t="s">
        <v>18</v>
      </c>
      <c r="D543" s="2" t="s">
        <v>952</v>
      </c>
      <c r="E543" s="3">
        <v>270</v>
      </c>
      <c r="F543" s="3">
        <v>24</v>
      </c>
      <c r="G543" s="4">
        <v>45048</v>
      </c>
    </row>
    <row r="544" spans="1:18">
      <c r="C544" s="2" t="s">
        <v>7</v>
      </c>
      <c r="D544" s="2" t="s">
        <v>952</v>
      </c>
      <c r="E544" s="3">
        <v>130</v>
      </c>
      <c r="F544" s="3">
        <v>23</v>
      </c>
      <c r="G544" s="4">
        <v>44607</v>
      </c>
    </row>
    <row r="545" spans="3:10">
      <c r="C545" s="2" t="s">
        <v>5</v>
      </c>
      <c r="D545" s="2" t="s">
        <v>952</v>
      </c>
      <c r="E545" s="3">
        <v>40</v>
      </c>
      <c r="F545" s="3">
        <v>20</v>
      </c>
      <c r="G545" s="4">
        <v>44446</v>
      </c>
    </row>
    <row r="546" spans="3:10">
      <c r="C546" s="2" t="s">
        <v>18</v>
      </c>
      <c r="D546" s="2" t="s">
        <v>798</v>
      </c>
      <c r="E546" s="3">
        <v>50</v>
      </c>
      <c r="F546" s="3">
        <f>25/3</f>
        <v>8.3333333333333339</v>
      </c>
      <c r="G546" s="4">
        <v>44496</v>
      </c>
    </row>
    <row r="547" spans="3:10">
      <c r="C547" s="2" t="s">
        <v>7</v>
      </c>
      <c r="D547" s="2" t="s">
        <v>798</v>
      </c>
      <c r="E547" s="3">
        <v>22</v>
      </c>
      <c r="F547" s="3">
        <v>5</v>
      </c>
      <c r="G547" s="4">
        <v>44153</v>
      </c>
    </row>
    <row r="548" spans="3:10">
      <c r="C548" s="2" t="s">
        <v>5</v>
      </c>
      <c r="D548" s="2" t="s">
        <v>798</v>
      </c>
      <c r="E548" s="3">
        <v>13</v>
      </c>
      <c r="F548" s="3">
        <v>10</v>
      </c>
      <c r="G548" s="4">
        <v>44026</v>
      </c>
    </row>
    <row r="549" spans="3:10">
      <c r="C549" s="2" t="s">
        <v>7</v>
      </c>
      <c r="D549" s="2" t="s">
        <v>796</v>
      </c>
      <c r="E549" s="3">
        <v>50</v>
      </c>
      <c r="F549" s="3">
        <v>20</v>
      </c>
      <c r="G549" s="4">
        <v>45036</v>
      </c>
    </row>
    <row r="550" spans="3:10">
      <c r="C550" s="2" t="s">
        <v>7</v>
      </c>
      <c r="D550" s="2" t="s">
        <v>894</v>
      </c>
      <c r="E550" s="3">
        <v>40</v>
      </c>
      <c r="F550" s="3">
        <v>5</v>
      </c>
      <c r="G550" s="4">
        <v>44728</v>
      </c>
    </row>
    <row r="551" spans="3:10">
      <c r="C551" s="2" t="s">
        <v>5</v>
      </c>
      <c r="D551" s="2" t="s">
        <v>894</v>
      </c>
      <c r="E551" s="3">
        <v>18.600000000000001</v>
      </c>
      <c r="F551" s="3">
        <v>10</v>
      </c>
      <c r="G551" s="4">
        <v>44112</v>
      </c>
    </row>
    <row r="552" spans="3:10">
      <c r="C552" s="2" t="s">
        <v>4</v>
      </c>
      <c r="D552" s="2" t="s">
        <v>705</v>
      </c>
      <c r="E552" s="3">
        <v>113</v>
      </c>
      <c r="F552" s="3">
        <v>19</v>
      </c>
      <c r="G552" s="4">
        <v>45090</v>
      </c>
    </row>
    <row r="553" spans="3:10">
      <c r="C553" s="2" t="s">
        <v>5</v>
      </c>
      <c r="D553" s="2" t="s">
        <v>520</v>
      </c>
      <c r="E553" s="3">
        <v>7</v>
      </c>
      <c r="F553" s="3">
        <v>1</v>
      </c>
      <c r="G553" s="4">
        <v>42885</v>
      </c>
    </row>
    <row r="554" spans="3:10">
      <c r="C554" s="2" t="s">
        <v>18</v>
      </c>
      <c r="D554" s="2" t="s">
        <v>424</v>
      </c>
      <c r="E554" s="3">
        <v>75</v>
      </c>
      <c r="F554" s="3">
        <v>20</v>
      </c>
      <c r="G554" s="4">
        <v>45020</v>
      </c>
    </row>
    <row r="555" spans="3:10">
      <c r="C555" s="2" t="s">
        <v>18</v>
      </c>
      <c r="D555" s="2" t="s">
        <v>424</v>
      </c>
      <c r="E555" s="3">
        <v>80</v>
      </c>
      <c r="F555" s="3">
        <v>40</v>
      </c>
      <c r="G555" s="4">
        <v>44404</v>
      </c>
    </row>
    <row r="556" spans="3:10">
      <c r="C556" s="2" t="s">
        <v>7</v>
      </c>
      <c r="D556" s="2" t="s">
        <v>424</v>
      </c>
      <c r="E556" s="3">
        <v>40</v>
      </c>
      <c r="F556" s="3">
        <v>20</v>
      </c>
      <c r="G556" s="4">
        <v>43957</v>
      </c>
    </row>
    <row r="557" spans="3:10">
      <c r="C557" s="2" t="s">
        <v>8</v>
      </c>
      <c r="D557" s="2" t="s">
        <v>55</v>
      </c>
      <c r="E557" s="3">
        <v>200</v>
      </c>
      <c r="F557" s="3">
        <f>150/8</f>
        <v>18.75</v>
      </c>
      <c r="G557" s="4">
        <v>44055</v>
      </c>
      <c r="I557" s="1">
        <v>2000</v>
      </c>
      <c r="J557" s="1">
        <v>7000</v>
      </c>
    </row>
    <row r="558" spans="3:10">
      <c r="C558" s="153" t="s">
        <v>7</v>
      </c>
      <c r="D558" s="153" t="s">
        <v>2041</v>
      </c>
      <c r="E558" s="3">
        <v>42</v>
      </c>
      <c r="F558" s="3">
        <f>22/4</f>
        <v>5.5</v>
      </c>
      <c r="G558" s="4">
        <v>44831</v>
      </c>
    </row>
    <row r="559" spans="3:10">
      <c r="C559" s="153" t="s">
        <v>5</v>
      </c>
      <c r="D559" s="153" t="s">
        <v>2041</v>
      </c>
      <c r="E559" s="3">
        <v>15</v>
      </c>
      <c r="F559" s="3">
        <v>5</v>
      </c>
      <c r="G559" s="4">
        <v>44174</v>
      </c>
    </row>
    <row r="560" spans="3:10">
      <c r="C560" s="153" t="s">
        <v>4</v>
      </c>
      <c r="D560" s="153" t="s">
        <v>2041</v>
      </c>
      <c r="E560" s="3">
        <v>3.3</v>
      </c>
      <c r="F560" s="3">
        <f>E560/2</f>
        <v>1.65</v>
      </c>
      <c r="G560" s="4">
        <v>43810</v>
      </c>
    </row>
    <row r="561" spans="1:18">
      <c r="C561" s="168" t="s">
        <v>2032</v>
      </c>
      <c r="D561" s="168" t="s">
        <v>5</v>
      </c>
      <c r="E561" s="3">
        <v>30</v>
      </c>
      <c r="F561" s="3">
        <v>15</v>
      </c>
      <c r="G561" s="4">
        <v>44729</v>
      </c>
    </row>
    <row r="562" spans="1:18">
      <c r="G562" s="4"/>
    </row>
    <row r="563" spans="1:18" s="12" customFormat="1">
      <c r="A563" s="12">
        <v>26</v>
      </c>
      <c r="B563" s="12" t="s">
        <v>7464</v>
      </c>
      <c r="C563" s="13" t="s">
        <v>969</v>
      </c>
      <c r="D563" s="13" t="s">
        <v>968</v>
      </c>
      <c r="E563" s="15"/>
      <c r="F563" s="15">
        <f>SUM(F564:F567)</f>
        <v>268</v>
      </c>
      <c r="G563" s="14">
        <f>+G564</f>
        <v>45069</v>
      </c>
      <c r="I563" s="12">
        <v>3800</v>
      </c>
      <c r="J563" s="22">
        <f>+F563/I563</f>
        <v>7.0526315789473687E-2</v>
      </c>
      <c r="K563" s="12">
        <v>2005</v>
      </c>
      <c r="M563" s="13"/>
      <c r="N563" s="13"/>
      <c r="O563" s="13"/>
      <c r="P563" s="13"/>
      <c r="Q563" s="13"/>
      <c r="R563" s="13"/>
    </row>
    <row r="564" spans="1:18">
      <c r="B564" s="253" t="s">
        <v>7632</v>
      </c>
      <c r="C564" s="2" t="s">
        <v>18</v>
      </c>
      <c r="D564" s="2" t="s">
        <v>964</v>
      </c>
      <c r="E564" s="3">
        <v>450</v>
      </c>
      <c r="F564" s="3">
        <v>150</v>
      </c>
      <c r="G564" s="4">
        <v>45069</v>
      </c>
    </row>
    <row r="565" spans="1:18">
      <c r="C565" s="2" t="s">
        <v>7</v>
      </c>
      <c r="D565" s="2" t="s">
        <v>949</v>
      </c>
      <c r="E565" s="3">
        <v>350</v>
      </c>
      <c r="F565" s="3">
        <v>75</v>
      </c>
      <c r="G565" s="4">
        <v>44999</v>
      </c>
    </row>
    <row r="566" spans="1:18">
      <c r="C566" s="2" t="s">
        <v>18</v>
      </c>
      <c r="D566" s="2" t="s">
        <v>803</v>
      </c>
      <c r="E566" s="3">
        <v>100</v>
      </c>
      <c r="F566" s="3">
        <v>13</v>
      </c>
      <c r="G566" s="4">
        <v>43682</v>
      </c>
    </row>
    <row r="567" spans="1:18">
      <c r="C567" s="2" t="s">
        <v>18</v>
      </c>
      <c r="D567" s="2" t="s">
        <v>374</v>
      </c>
      <c r="E567" s="3">
        <v>130</v>
      </c>
      <c r="F567" s="3">
        <v>30</v>
      </c>
      <c r="G567" s="4">
        <v>44323</v>
      </c>
    </row>
    <row r="568" spans="1:18">
      <c r="G568" s="4"/>
    </row>
    <row r="569" spans="1:18">
      <c r="A569" s="1">
        <v>32</v>
      </c>
      <c r="B569" s="12" t="s">
        <v>1119</v>
      </c>
      <c r="C569" s="13" t="s">
        <v>969</v>
      </c>
      <c r="D569" s="13" t="s">
        <v>968</v>
      </c>
      <c r="E569" s="15"/>
      <c r="F569" s="15">
        <f>SUM(F570:F577)</f>
        <v>262.44708994708998</v>
      </c>
      <c r="G569" s="14">
        <f>G574</f>
        <v>44622</v>
      </c>
      <c r="I569" s="1" t="s">
        <v>1</v>
      </c>
      <c r="J569" s="1" t="s">
        <v>1</v>
      </c>
      <c r="K569" s="1" t="s">
        <v>1</v>
      </c>
    </row>
    <row r="570" spans="1:18">
      <c r="B570" s="238" t="s">
        <v>7470</v>
      </c>
      <c r="C570" s="2" t="s">
        <v>18</v>
      </c>
      <c r="D570" s="2" t="s">
        <v>877</v>
      </c>
      <c r="E570" s="3">
        <v>85</v>
      </c>
      <c r="F570" s="3">
        <v>20</v>
      </c>
      <c r="G570" s="4">
        <v>44417</v>
      </c>
    </row>
    <row r="571" spans="1:18">
      <c r="B571" s="254" t="s">
        <v>7631</v>
      </c>
      <c r="C571" s="2" t="s">
        <v>7</v>
      </c>
      <c r="D571" s="2" t="s">
        <v>877</v>
      </c>
      <c r="E571" s="3">
        <v>35</v>
      </c>
      <c r="F571" s="3">
        <f>25/6</f>
        <v>4.166666666666667</v>
      </c>
      <c r="G571" s="4">
        <v>44293</v>
      </c>
    </row>
    <row r="572" spans="1:18">
      <c r="C572" s="2" t="s">
        <v>53</v>
      </c>
      <c r="D572" s="2" t="s">
        <v>489</v>
      </c>
      <c r="E572" s="3">
        <v>270</v>
      </c>
      <c r="F572" s="3">
        <v>22</v>
      </c>
      <c r="G572" s="4">
        <v>44152</v>
      </c>
    </row>
    <row r="573" spans="1:18">
      <c r="C573" s="2" t="s">
        <v>7</v>
      </c>
      <c r="D573" s="2" t="s">
        <v>475</v>
      </c>
      <c r="E573" s="3">
        <v>90</v>
      </c>
      <c r="F573" s="3">
        <v>6</v>
      </c>
      <c r="G573" s="4">
        <v>44398</v>
      </c>
    </row>
    <row r="574" spans="1:18">
      <c r="C574" s="2" t="s">
        <v>8</v>
      </c>
      <c r="D574" s="2" t="s">
        <v>258</v>
      </c>
      <c r="E574" s="3">
        <v>111</v>
      </c>
      <c r="F574" s="3">
        <v>7</v>
      </c>
      <c r="G574" s="4">
        <v>44622</v>
      </c>
    </row>
    <row r="575" spans="1:18">
      <c r="C575" s="2" t="s">
        <v>8</v>
      </c>
      <c r="D575" s="2" t="s">
        <v>208</v>
      </c>
      <c r="E575" s="3">
        <v>676</v>
      </c>
      <c r="F575" s="3">
        <f>500/7</f>
        <v>71.428571428571431</v>
      </c>
      <c r="G575" s="4">
        <v>44299</v>
      </c>
      <c r="I575" s="1">
        <v>4400</v>
      </c>
    </row>
    <row r="576" spans="1:18">
      <c r="C576" s="2" t="s">
        <v>18</v>
      </c>
      <c r="D576" s="2" t="s">
        <v>208</v>
      </c>
      <c r="E576" s="3">
        <v>250</v>
      </c>
      <c r="F576" s="3">
        <v>80</v>
      </c>
      <c r="G576" s="4">
        <v>43886</v>
      </c>
      <c r="I576" s="1">
        <v>2300</v>
      </c>
    </row>
    <row r="577" spans="1:18">
      <c r="C577" s="265" t="s">
        <v>2486</v>
      </c>
      <c r="D577" s="265" t="s">
        <v>1006</v>
      </c>
      <c r="E577" s="3">
        <v>1600</v>
      </c>
      <c r="F577" s="3">
        <f>1400/27</f>
        <v>51.851851851851855</v>
      </c>
      <c r="G577" s="4">
        <v>44439</v>
      </c>
      <c r="I577" s="1">
        <v>36400</v>
      </c>
      <c r="J577" s="1">
        <v>42500</v>
      </c>
    </row>
    <row r="578" spans="1:18">
      <c r="C578" s="265" t="s">
        <v>504</v>
      </c>
      <c r="D578" s="265" t="s">
        <v>1006</v>
      </c>
      <c r="E578" s="3">
        <v>1000</v>
      </c>
      <c r="F578" s="3">
        <f>900/23</f>
        <v>39.130434782608695</v>
      </c>
      <c r="G578" s="4">
        <v>44228</v>
      </c>
      <c r="I578" s="1">
        <v>27000</v>
      </c>
      <c r="J578" s="1">
        <v>42500</v>
      </c>
    </row>
    <row r="579" spans="1:18">
      <c r="G579" s="4"/>
    </row>
    <row r="580" spans="1:18" s="12" customFormat="1">
      <c r="B580" s="12" t="s">
        <v>505</v>
      </c>
      <c r="C580" s="13" t="s">
        <v>969</v>
      </c>
      <c r="D580" s="13" t="s">
        <v>968</v>
      </c>
      <c r="E580" s="15"/>
      <c r="F580" s="15">
        <f>SUM(F581:F583)</f>
        <v>257.83809523809521</v>
      </c>
      <c r="G580" s="14">
        <f>G582</f>
        <v>45183</v>
      </c>
    </row>
    <row r="581" spans="1:18">
      <c r="C581" s="2" t="s">
        <v>504</v>
      </c>
      <c r="D581" s="2" t="s">
        <v>489</v>
      </c>
      <c r="E581" s="3">
        <v>250</v>
      </c>
      <c r="F581" s="3">
        <f>150/5</f>
        <v>30</v>
      </c>
      <c r="G581" s="4">
        <v>44376</v>
      </c>
      <c r="M581" s="1"/>
      <c r="N581" s="1"/>
      <c r="O581" s="1"/>
      <c r="P581" s="1"/>
      <c r="Q581" s="1"/>
      <c r="R581" s="1"/>
    </row>
    <row r="582" spans="1:18">
      <c r="C582" s="265" t="s">
        <v>7890</v>
      </c>
      <c r="D582" s="265" t="s">
        <v>1006</v>
      </c>
      <c r="E582" s="3">
        <v>684.6</v>
      </c>
      <c r="F582" s="3">
        <f>584.6/21</f>
        <v>27.838095238095239</v>
      </c>
      <c r="G582" s="4">
        <v>45183</v>
      </c>
      <c r="I582" s="1">
        <v>42500</v>
      </c>
      <c r="J582" s="1">
        <v>42500</v>
      </c>
      <c r="M582" s="1"/>
      <c r="N582" s="1"/>
      <c r="O582" s="1"/>
      <c r="P582" s="1"/>
      <c r="Q582" s="1"/>
      <c r="R582" s="1"/>
    </row>
    <row r="583" spans="1:18">
      <c r="C583" s="265" t="s">
        <v>2486</v>
      </c>
      <c r="D583" s="265" t="s">
        <v>1006</v>
      </c>
      <c r="E583" s="3">
        <v>1600</v>
      </c>
      <c r="F583" s="3">
        <v>200</v>
      </c>
      <c r="G583" s="4">
        <v>44439</v>
      </c>
      <c r="I583" s="1">
        <v>36400</v>
      </c>
      <c r="J583" s="1">
        <v>42500</v>
      </c>
      <c r="K583" s="5">
        <f>+(J583/I583-1)*F583</f>
        <v>33.516483516483532</v>
      </c>
      <c r="M583" s="1"/>
      <c r="N583" s="1"/>
      <c r="O583" s="1"/>
      <c r="P583" s="1"/>
      <c r="Q583" s="1"/>
      <c r="R583" s="1"/>
    </row>
    <row r="584" spans="1:18">
      <c r="C584" s="265"/>
      <c r="G584" s="4"/>
      <c r="M584" s="1"/>
      <c r="N584" s="1"/>
      <c r="O584" s="1"/>
      <c r="P584" s="1"/>
      <c r="Q584" s="1"/>
      <c r="R584" s="1"/>
    </row>
    <row r="585" spans="1:18">
      <c r="A585" s="1">
        <v>27</v>
      </c>
      <c r="B585" s="12" t="s">
        <v>7913</v>
      </c>
      <c r="C585" s="13" t="s">
        <v>969</v>
      </c>
      <c r="D585" s="13" t="s">
        <v>968</v>
      </c>
      <c r="F585" s="15">
        <f>SUM(F586:F600)</f>
        <v>329.55357142857144</v>
      </c>
      <c r="G585" s="14">
        <f>G586</f>
        <v>44796</v>
      </c>
    </row>
    <row r="586" spans="1:18">
      <c r="B586" s="238" t="s">
        <v>7465</v>
      </c>
      <c r="C586" s="2" t="s">
        <v>1040</v>
      </c>
      <c r="D586" s="2" t="s">
        <v>832</v>
      </c>
      <c r="E586" s="3">
        <v>99</v>
      </c>
      <c r="F586" s="3">
        <v>30</v>
      </c>
      <c r="G586" s="4">
        <v>44796</v>
      </c>
    </row>
    <row r="587" spans="1:18">
      <c r="B587" s="254" t="s">
        <v>7631</v>
      </c>
      <c r="C587" s="2" t="s">
        <v>1116</v>
      </c>
      <c r="D587" s="2" t="s">
        <v>832</v>
      </c>
      <c r="E587" s="3">
        <v>100</v>
      </c>
      <c r="F587" s="3">
        <f>40/3</f>
        <v>13.333333333333334</v>
      </c>
      <c r="G587" s="4">
        <v>44537</v>
      </c>
    </row>
    <row r="588" spans="1:18">
      <c r="C588" s="2" t="s">
        <v>7</v>
      </c>
      <c r="D588" s="2" t="s">
        <v>832</v>
      </c>
      <c r="E588" s="3">
        <v>40</v>
      </c>
      <c r="F588" s="3">
        <f>20/3</f>
        <v>6.666666666666667</v>
      </c>
      <c r="G588" s="4">
        <v>44125</v>
      </c>
    </row>
    <row r="589" spans="1:18">
      <c r="C589" s="2" t="s">
        <v>5</v>
      </c>
      <c r="D589" s="2" t="s">
        <v>832</v>
      </c>
      <c r="E589" s="3">
        <v>20</v>
      </c>
      <c r="F589" s="3">
        <f>12/6</f>
        <v>2</v>
      </c>
      <c r="G589" s="4">
        <v>43816</v>
      </c>
    </row>
    <row r="590" spans="1:18">
      <c r="C590" s="2" t="s">
        <v>5</v>
      </c>
      <c r="D590" s="2" t="s">
        <v>701</v>
      </c>
      <c r="E590" s="3">
        <v>50</v>
      </c>
      <c r="F590" s="3">
        <v>10</v>
      </c>
      <c r="G590" s="4">
        <v>44796</v>
      </c>
    </row>
    <row r="591" spans="1:18">
      <c r="C591" s="2" t="s">
        <v>5</v>
      </c>
      <c r="D591" s="2" t="s">
        <v>516</v>
      </c>
      <c r="E591" s="3">
        <v>14.5</v>
      </c>
      <c r="F591" s="3">
        <v>3</v>
      </c>
      <c r="G591" s="4">
        <v>43389</v>
      </c>
    </row>
    <row r="592" spans="1:18">
      <c r="C592" s="2" t="s">
        <v>9</v>
      </c>
      <c r="D592" s="2" t="s">
        <v>489</v>
      </c>
      <c r="E592" s="3">
        <v>206</v>
      </c>
      <c r="F592" s="3">
        <v>14</v>
      </c>
      <c r="G592" s="4">
        <v>43725</v>
      </c>
    </row>
    <row r="593" spans="1:18">
      <c r="C593" s="2" t="s">
        <v>8</v>
      </c>
      <c r="D593" s="2" t="s">
        <v>489</v>
      </c>
      <c r="E593" s="3">
        <v>100</v>
      </c>
      <c r="F593" s="3">
        <v>15</v>
      </c>
      <c r="G593" s="4">
        <v>43397</v>
      </c>
    </row>
    <row r="594" spans="1:18">
      <c r="C594" s="2" t="s">
        <v>4</v>
      </c>
      <c r="D594" s="2" t="s">
        <v>332</v>
      </c>
      <c r="E594" s="3">
        <v>5</v>
      </c>
      <c r="F594" s="3">
        <v>1</v>
      </c>
      <c r="G594" s="4">
        <v>43990</v>
      </c>
    </row>
    <row r="595" spans="1:18">
      <c r="C595" s="2" t="s">
        <v>5</v>
      </c>
      <c r="D595" s="2" t="s">
        <v>313</v>
      </c>
      <c r="E595" s="3">
        <v>57</v>
      </c>
      <c r="F595" s="3">
        <v>6</v>
      </c>
      <c r="G595" s="4">
        <v>44508</v>
      </c>
    </row>
    <row r="596" spans="1:18">
      <c r="C596" s="2" t="s">
        <v>8</v>
      </c>
      <c r="D596" s="2" t="s">
        <v>208</v>
      </c>
      <c r="E596" s="3">
        <v>676</v>
      </c>
      <c r="F596" s="3">
        <f>500/7</f>
        <v>71.428571428571431</v>
      </c>
      <c r="G596" s="4">
        <v>44299</v>
      </c>
      <c r="I596" s="1">
        <v>4400</v>
      </c>
    </row>
    <row r="597" spans="1:18">
      <c r="C597" s="2" t="s">
        <v>18</v>
      </c>
      <c r="D597" s="2" t="s">
        <v>208</v>
      </c>
      <c r="E597" s="3">
        <v>250</v>
      </c>
      <c r="F597" s="3">
        <f>170/5</f>
        <v>34</v>
      </c>
      <c r="G597" s="4">
        <v>43886</v>
      </c>
      <c r="I597" s="1">
        <v>2300</v>
      </c>
    </row>
    <row r="598" spans="1:18">
      <c r="C598" s="2" t="s">
        <v>7</v>
      </c>
      <c r="D598" s="2" t="s">
        <v>208</v>
      </c>
      <c r="E598" s="3">
        <v>150</v>
      </c>
      <c r="F598" s="3">
        <v>50</v>
      </c>
      <c r="G598" s="4">
        <v>43556</v>
      </c>
    </row>
    <row r="599" spans="1:18">
      <c r="C599" s="265" t="s">
        <v>8</v>
      </c>
      <c r="D599" s="265" t="s">
        <v>3733</v>
      </c>
      <c r="E599" s="3">
        <v>235</v>
      </c>
      <c r="F599" s="3">
        <f>185/8</f>
        <v>23.125</v>
      </c>
      <c r="G599" s="4">
        <v>45161</v>
      </c>
      <c r="I599" s="1">
        <v>4300</v>
      </c>
      <c r="J599" s="1">
        <v>4300</v>
      </c>
    </row>
    <row r="600" spans="1:18">
      <c r="C600" s="265" t="s">
        <v>7920</v>
      </c>
      <c r="D600" s="265" t="s">
        <v>936</v>
      </c>
      <c r="E600" s="3">
        <v>50</v>
      </c>
      <c r="F600" s="3">
        <v>50</v>
      </c>
      <c r="G600" s="4">
        <v>45239</v>
      </c>
    </row>
    <row r="601" spans="1:18">
      <c r="G601" s="4"/>
    </row>
    <row r="602" spans="1:18" s="12" customFormat="1">
      <c r="A602" s="12">
        <v>31</v>
      </c>
      <c r="B602" s="12" t="s">
        <v>1120</v>
      </c>
      <c r="C602" s="13" t="s">
        <v>969</v>
      </c>
      <c r="D602" s="13" t="s">
        <v>968</v>
      </c>
      <c r="E602" s="15"/>
      <c r="F602" s="15">
        <f>SUM(F603:F613)</f>
        <v>335.65821256038646</v>
      </c>
      <c r="G602" s="14">
        <f>G603</f>
        <v>45069</v>
      </c>
      <c r="I602" s="13" t="s">
        <v>1</v>
      </c>
      <c r="J602" s="13" t="s">
        <v>1</v>
      </c>
      <c r="K602" s="13" t="s">
        <v>1</v>
      </c>
      <c r="M602" s="13"/>
      <c r="N602" s="13"/>
      <c r="O602" s="13"/>
      <c r="P602" s="13"/>
      <c r="Q602" s="13"/>
      <c r="R602" s="13"/>
    </row>
    <row r="603" spans="1:18">
      <c r="B603" s="238" t="s">
        <v>7469</v>
      </c>
      <c r="C603" s="2" t="s">
        <v>18</v>
      </c>
      <c r="D603" s="2" t="s">
        <v>964</v>
      </c>
      <c r="E603" s="3">
        <v>450</v>
      </c>
      <c r="F603" s="3">
        <f>300/5</f>
        <v>60</v>
      </c>
      <c r="G603" s="4">
        <v>45069</v>
      </c>
    </row>
    <row r="604" spans="1:18">
      <c r="B604" s="254" t="s">
        <v>7631</v>
      </c>
      <c r="C604" s="2" t="s">
        <v>18</v>
      </c>
      <c r="D604" s="2" t="s">
        <v>952</v>
      </c>
      <c r="E604" s="3">
        <v>270</v>
      </c>
      <c r="F604" s="3">
        <f>220/9</f>
        <v>24.444444444444443</v>
      </c>
      <c r="G604" s="4">
        <v>45048</v>
      </c>
    </row>
    <row r="605" spans="1:18">
      <c r="C605" s="2" t="s">
        <v>4</v>
      </c>
      <c r="D605" s="2" t="s">
        <v>651</v>
      </c>
      <c r="E605" s="3">
        <v>12.3</v>
      </c>
      <c r="F605" s="3">
        <v>3</v>
      </c>
      <c r="G605" s="4">
        <v>44622</v>
      </c>
    </row>
    <row r="606" spans="1:18">
      <c r="C606" s="2" t="s">
        <v>504</v>
      </c>
      <c r="D606" s="2" t="s">
        <v>489</v>
      </c>
      <c r="E606" s="3">
        <v>250</v>
      </c>
      <c r="F606" s="3">
        <v>30</v>
      </c>
      <c r="G606" s="4">
        <v>44376</v>
      </c>
    </row>
    <row r="607" spans="1:18">
      <c r="C607" s="2" t="s">
        <v>53</v>
      </c>
      <c r="D607" s="2" t="s">
        <v>489</v>
      </c>
      <c r="E607" s="3">
        <v>50</v>
      </c>
      <c r="F607" s="3">
        <v>10</v>
      </c>
      <c r="G607" s="4">
        <v>44174</v>
      </c>
    </row>
    <row r="608" spans="1:18">
      <c r="C608" s="2" t="s">
        <v>9</v>
      </c>
      <c r="D608" s="2" t="s">
        <v>55</v>
      </c>
      <c r="E608" s="3">
        <v>250</v>
      </c>
      <c r="F608" s="3">
        <v>30</v>
      </c>
      <c r="G608" s="4">
        <v>44350</v>
      </c>
      <c r="I608" s="1">
        <v>7000</v>
      </c>
      <c r="J608" s="1">
        <v>7000</v>
      </c>
    </row>
    <row r="609" spans="1:18">
      <c r="C609" s="2" t="s">
        <v>8</v>
      </c>
      <c r="D609" s="2" t="s">
        <v>55</v>
      </c>
      <c r="E609" s="3">
        <v>200</v>
      </c>
      <c r="F609" s="3">
        <v>18.75</v>
      </c>
      <c r="G609" s="4">
        <v>44055</v>
      </c>
      <c r="I609" s="1">
        <v>2000</v>
      </c>
      <c r="J609" s="1">
        <v>7000</v>
      </c>
    </row>
    <row r="610" spans="1:18">
      <c r="C610" s="2" t="s">
        <v>7</v>
      </c>
      <c r="D610" s="2" t="s">
        <v>1063</v>
      </c>
      <c r="E610" s="3">
        <v>100</v>
      </c>
      <c r="F610" s="3">
        <v>40</v>
      </c>
      <c r="G610" s="4">
        <v>45106</v>
      </c>
    </row>
    <row r="611" spans="1:18">
      <c r="C611" s="265" t="s">
        <v>504</v>
      </c>
      <c r="D611" s="265" t="s">
        <v>1006</v>
      </c>
      <c r="E611" s="3">
        <v>1000</v>
      </c>
      <c r="F611" s="3">
        <f>900/23</f>
        <v>39.130434782608695</v>
      </c>
      <c r="G611" s="4">
        <v>44228</v>
      </c>
      <c r="I611" s="1">
        <v>27000</v>
      </c>
      <c r="J611" s="1">
        <v>42500</v>
      </c>
    </row>
    <row r="612" spans="1:18">
      <c r="C612" s="265" t="s">
        <v>8</v>
      </c>
      <c r="D612" s="265" t="s">
        <v>926</v>
      </c>
      <c r="E612" s="3">
        <v>235</v>
      </c>
      <c r="F612" s="3">
        <v>50</v>
      </c>
      <c r="G612" s="4">
        <v>45161</v>
      </c>
      <c r="I612" s="1">
        <v>4300</v>
      </c>
      <c r="J612" s="1">
        <v>4300</v>
      </c>
    </row>
    <row r="613" spans="1:18">
      <c r="C613" s="265" t="s">
        <v>1040</v>
      </c>
      <c r="D613" s="265" t="s">
        <v>957</v>
      </c>
      <c r="E613" s="3">
        <v>141</v>
      </c>
      <c r="F613" s="3">
        <f>91/3</f>
        <v>30.333333333333332</v>
      </c>
      <c r="G613" s="4">
        <v>45106</v>
      </c>
      <c r="I613" s="1">
        <v>1400</v>
      </c>
      <c r="J613" s="1">
        <v>1400</v>
      </c>
    </row>
    <row r="614" spans="1:18">
      <c r="G614" s="4"/>
    </row>
    <row r="615" spans="1:18" s="12" customFormat="1">
      <c r="A615" s="12">
        <v>28</v>
      </c>
      <c r="B615" s="12" t="s">
        <v>7466</v>
      </c>
      <c r="C615" s="13" t="s">
        <v>969</v>
      </c>
      <c r="D615" s="13" t="s">
        <v>968</v>
      </c>
      <c r="E615" s="15"/>
      <c r="F615" s="15">
        <f>SUM(F616:F627)</f>
        <v>248.75</v>
      </c>
      <c r="G615" s="14">
        <f>G616</f>
        <v>44852</v>
      </c>
      <c r="M615" s="13"/>
      <c r="N615" s="13"/>
      <c r="O615" s="13"/>
      <c r="P615" s="13"/>
      <c r="Q615" s="13"/>
      <c r="R615" s="13"/>
    </row>
    <row r="616" spans="1:18">
      <c r="B616" s="254" t="s">
        <v>7799</v>
      </c>
      <c r="C616" s="2" t="s">
        <v>5</v>
      </c>
      <c r="D616" s="2" t="s">
        <v>763</v>
      </c>
      <c r="E616" s="3">
        <v>125</v>
      </c>
      <c r="F616" s="3">
        <v>15</v>
      </c>
      <c r="G616" s="4">
        <v>44852</v>
      </c>
    </row>
    <row r="617" spans="1:18">
      <c r="C617" s="2" t="s">
        <v>53</v>
      </c>
      <c r="D617" s="2" t="s">
        <v>176</v>
      </c>
      <c r="E617" s="3">
        <v>475</v>
      </c>
      <c r="F617" s="3">
        <v>40</v>
      </c>
      <c r="G617" s="4">
        <v>44278</v>
      </c>
    </row>
    <row r="618" spans="1:18">
      <c r="C618" s="2" t="s">
        <v>8</v>
      </c>
      <c r="D618" s="2" t="s">
        <v>176</v>
      </c>
      <c r="E618" s="3">
        <v>130</v>
      </c>
      <c r="F618" s="3">
        <v>12</v>
      </c>
      <c r="G618" s="4">
        <v>42080</v>
      </c>
      <c r="I618" s="1">
        <v>570</v>
      </c>
    </row>
    <row r="619" spans="1:18">
      <c r="C619" s="2" t="s">
        <v>18</v>
      </c>
      <c r="D619" s="2" t="s">
        <v>176</v>
      </c>
      <c r="E619" s="3">
        <v>34</v>
      </c>
      <c r="F619" s="3">
        <v>20</v>
      </c>
      <c r="G619" s="4">
        <v>41437</v>
      </c>
    </row>
    <row r="620" spans="1:18">
      <c r="C620" s="2" t="s">
        <v>9</v>
      </c>
      <c r="D620" s="2" t="s">
        <v>39</v>
      </c>
      <c r="E620" s="3">
        <v>230</v>
      </c>
      <c r="F620" s="3">
        <v>24</v>
      </c>
      <c r="G620" s="4">
        <v>44984</v>
      </c>
      <c r="I620" s="1">
        <v>2000</v>
      </c>
      <c r="J620" s="1">
        <v>2000</v>
      </c>
    </row>
    <row r="621" spans="1:18">
      <c r="C621" s="2" t="s">
        <v>8</v>
      </c>
      <c r="D621" s="2" t="s">
        <v>39</v>
      </c>
      <c r="E621" s="3">
        <v>170</v>
      </c>
      <c r="F621" s="3">
        <v>22</v>
      </c>
      <c r="G621" s="4">
        <v>44255</v>
      </c>
      <c r="I621" s="1">
        <v>830</v>
      </c>
      <c r="J621" s="1">
        <v>2000</v>
      </c>
    </row>
    <row r="622" spans="1:18">
      <c r="C622" s="2" t="s">
        <v>18</v>
      </c>
      <c r="D622" s="2" t="s">
        <v>39</v>
      </c>
      <c r="E622" s="3">
        <v>100</v>
      </c>
      <c r="F622" s="3">
        <v>15</v>
      </c>
      <c r="G622" s="4">
        <v>44025</v>
      </c>
      <c r="J622" s="1">
        <v>2000</v>
      </c>
    </row>
    <row r="623" spans="1:18">
      <c r="C623" s="2" t="s">
        <v>7</v>
      </c>
      <c r="D623" s="2" t="s">
        <v>39</v>
      </c>
      <c r="E623" s="3">
        <v>42</v>
      </c>
      <c r="F623" s="3">
        <v>10</v>
      </c>
      <c r="G623" s="4">
        <v>43144</v>
      </c>
      <c r="J623" s="1">
        <v>2000</v>
      </c>
    </row>
    <row r="624" spans="1:18">
      <c r="C624" s="2" t="s">
        <v>9</v>
      </c>
      <c r="D624" s="2" t="s">
        <v>52</v>
      </c>
      <c r="E624" s="3">
        <v>220</v>
      </c>
      <c r="F624" s="3">
        <v>28</v>
      </c>
      <c r="G624" s="4">
        <v>44357</v>
      </c>
      <c r="I624" s="1">
        <v>1900</v>
      </c>
      <c r="J624" s="1">
        <v>1900</v>
      </c>
    </row>
    <row r="625" spans="1:18">
      <c r="C625" s="2" t="s">
        <v>8</v>
      </c>
      <c r="D625" s="2" t="s">
        <v>52</v>
      </c>
      <c r="E625" s="3">
        <v>125</v>
      </c>
      <c r="F625" s="3">
        <v>18.75</v>
      </c>
      <c r="G625" s="4">
        <v>44131</v>
      </c>
      <c r="I625" s="1">
        <v>875</v>
      </c>
      <c r="J625" s="1">
        <v>1900</v>
      </c>
    </row>
    <row r="626" spans="1:18">
      <c r="C626" s="2" t="s">
        <v>18</v>
      </c>
      <c r="D626" s="2" t="s">
        <v>52</v>
      </c>
      <c r="E626" s="3">
        <v>28</v>
      </c>
      <c r="F626" s="3">
        <v>14</v>
      </c>
      <c r="G626" s="4">
        <v>43579</v>
      </c>
      <c r="J626" s="1">
        <v>1900</v>
      </c>
    </row>
    <row r="627" spans="1:18">
      <c r="C627" s="92" t="s">
        <v>7</v>
      </c>
      <c r="D627" s="92" t="s">
        <v>2076</v>
      </c>
      <c r="E627" s="3">
        <v>100</v>
      </c>
      <c r="F627" s="3">
        <v>30</v>
      </c>
      <c r="G627" s="4">
        <v>44937</v>
      </c>
      <c r="I627" s="1">
        <v>900</v>
      </c>
      <c r="J627" s="1">
        <v>900</v>
      </c>
    </row>
    <row r="628" spans="1:18">
      <c r="G628" s="4"/>
    </row>
    <row r="629" spans="1:18" s="12" customFormat="1">
      <c r="A629" s="12">
        <v>29</v>
      </c>
      <c r="B629" s="12" t="s">
        <v>7467</v>
      </c>
      <c r="C629" s="13" t="s">
        <v>969</v>
      </c>
      <c r="D629" s="13" t="s">
        <v>968</v>
      </c>
      <c r="E629" s="15"/>
      <c r="F629" s="15">
        <f>SUM(F630:F639)</f>
        <v>231.21428571428572</v>
      </c>
      <c r="G629" s="14">
        <f>G635</f>
        <v>44515</v>
      </c>
    </row>
    <row r="630" spans="1:18">
      <c r="B630" s="254" t="s">
        <v>7631</v>
      </c>
      <c r="C630" s="2" t="s">
        <v>18</v>
      </c>
      <c r="D630" s="2" t="s">
        <v>883</v>
      </c>
      <c r="E630" s="3">
        <v>200</v>
      </c>
      <c r="F630" s="3">
        <f>100/5</f>
        <v>20</v>
      </c>
      <c r="G630" s="4">
        <v>44377</v>
      </c>
      <c r="M630" s="1"/>
      <c r="N630" s="1"/>
      <c r="O630" s="1"/>
      <c r="P630" s="1"/>
      <c r="Q630" s="1"/>
      <c r="R630" s="1"/>
    </row>
    <row r="631" spans="1:18">
      <c r="C631" s="2" t="s">
        <v>7</v>
      </c>
      <c r="D631" s="2" t="s">
        <v>883</v>
      </c>
      <c r="E631" s="3">
        <v>75</v>
      </c>
      <c r="F631" s="3">
        <v>20</v>
      </c>
      <c r="G631" s="4">
        <v>43783</v>
      </c>
      <c r="M631" s="1"/>
      <c r="N631" s="1"/>
      <c r="O631" s="1"/>
      <c r="P631" s="1"/>
      <c r="Q631" s="1"/>
      <c r="R631" s="1"/>
    </row>
    <row r="632" spans="1:18">
      <c r="C632" s="2" t="s">
        <v>53</v>
      </c>
      <c r="D632" s="2" t="s">
        <v>489</v>
      </c>
      <c r="E632" s="3">
        <v>270</v>
      </c>
      <c r="F632" s="3">
        <v>22</v>
      </c>
      <c r="G632" s="4">
        <v>44152</v>
      </c>
      <c r="M632" s="1"/>
      <c r="N632" s="1"/>
      <c r="O632" s="1"/>
      <c r="P632" s="1"/>
      <c r="Q632" s="1"/>
      <c r="R632" s="1"/>
    </row>
    <row r="633" spans="1:18">
      <c r="C633" s="2" t="s">
        <v>9</v>
      </c>
      <c r="D633" s="2" t="s">
        <v>489</v>
      </c>
      <c r="E633" s="3">
        <v>206</v>
      </c>
      <c r="F633" s="3">
        <v>36</v>
      </c>
      <c r="G633" s="4">
        <v>43725</v>
      </c>
      <c r="M633" s="1"/>
      <c r="N633" s="1"/>
      <c r="O633" s="1"/>
      <c r="P633" s="1"/>
      <c r="Q633" s="1"/>
      <c r="R633" s="1"/>
    </row>
    <row r="634" spans="1:18">
      <c r="C634" s="2" t="s">
        <v>8</v>
      </c>
      <c r="D634" s="2" t="s">
        <v>489</v>
      </c>
      <c r="E634" s="3">
        <v>100</v>
      </c>
      <c r="F634" s="3">
        <v>20</v>
      </c>
      <c r="G634" s="4">
        <v>43397</v>
      </c>
      <c r="M634" s="1"/>
      <c r="N634" s="1"/>
      <c r="O634" s="1"/>
      <c r="P634" s="1"/>
      <c r="Q634" s="1"/>
      <c r="R634" s="1"/>
    </row>
    <row r="635" spans="1:18">
      <c r="C635" s="2" t="s">
        <v>53</v>
      </c>
      <c r="D635" s="2" t="s">
        <v>47</v>
      </c>
      <c r="E635" s="3">
        <v>100</v>
      </c>
      <c r="F635" s="3">
        <f>75/7</f>
        <v>10.714285714285714</v>
      </c>
      <c r="G635" s="4">
        <v>44515</v>
      </c>
      <c r="I635" s="1">
        <v>4100</v>
      </c>
      <c r="J635" s="1">
        <v>4100</v>
      </c>
      <c r="M635" s="1"/>
      <c r="N635" s="1"/>
      <c r="O635" s="1"/>
      <c r="P635" s="1"/>
      <c r="Q635" s="1"/>
      <c r="R635" s="1"/>
    </row>
    <row r="636" spans="1:18">
      <c r="C636" s="2" t="s">
        <v>9</v>
      </c>
      <c r="D636" s="2" t="s">
        <v>47</v>
      </c>
      <c r="E636" s="3">
        <v>248</v>
      </c>
      <c r="F636" s="3">
        <v>37.5</v>
      </c>
      <c r="G636" s="4">
        <v>43678</v>
      </c>
      <c r="I636" s="1">
        <v>1700</v>
      </c>
      <c r="J636" s="1">
        <v>4100</v>
      </c>
      <c r="M636" s="1"/>
      <c r="N636" s="1"/>
      <c r="O636" s="1"/>
      <c r="P636" s="1"/>
      <c r="Q636" s="1"/>
      <c r="R636" s="1"/>
    </row>
    <row r="637" spans="1:18">
      <c r="C637" s="2" t="s">
        <v>8</v>
      </c>
      <c r="D637" s="2" t="s">
        <v>47</v>
      </c>
      <c r="E637" s="3">
        <v>145</v>
      </c>
      <c r="F637" s="3">
        <v>30</v>
      </c>
      <c r="G637" s="4">
        <v>43228</v>
      </c>
      <c r="I637" s="1">
        <v>855</v>
      </c>
      <c r="J637" s="1">
        <v>4100</v>
      </c>
      <c r="M637" s="1"/>
      <c r="N637" s="1"/>
      <c r="O637" s="1"/>
      <c r="P637" s="1"/>
      <c r="Q637" s="1"/>
      <c r="R637" s="1"/>
    </row>
    <row r="638" spans="1:18">
      <c r="C638" s="2" t="s">
        <v>18</v>
      </c>
      <c r="D638" s="2" t="s">
        <v>2127</v>
      </c>
      <c r="E638" s="3">
        <v>200</v>
      </c>
      <c r="F638" s="3">
        <v>30</v>
      </c>
      <c r="G638" s="4">
        <v>44557</v>
      </c>
      <c r="M638" s="1"/>
      <c r="N638" s="1"/>
      <c r="O638" s="1"/>
      <c r="P638" s="1"/>
      <c r="Q638" s="1"/>
      <c r="R638" s="1"/>
    </row>
    <row r="639" spans="1:18">
      <c r="C639" s="265" t="s">
        <v>1040</v>
      </c>
      <c r="D639" s="265" t="s">
        <v>3662</v>
      </c>
      <c r="E639" s="3">
        <v>50</v>
      </c>
      <c r="F639" s="3">
        <f>35/7</f>
        <v>5</v>
      </c>
      <c r="G639" s="4">
        <v>45147</v>
      </c>
      <c r="M639" s="1"/>
      <c r="N639" s="1"/>
      <c r="O639" s="1"/>
      <c r="P639" s="1"/>
      <c r="Q639" s="1"/>
      <c r="R639" s="1"/>
    </row>
    <row r="640" spans="1:18">
      <c r="G640" s="4"/>
      <c r="M640" s="1"/>
      <c r="N640" s="1"/>
      <c r="O640" s="1"/>
      <c r="P640" s="1"/>
      <c r="Q640" s="1"/>
      <c r="R640" s="1"/>
    </row>
    <row r="641" spans="1:11">
      <c r="A641" s="1">
        <v>30</v>
      </c>
      <c r="B641" s="12" t="s">
        <v>7468</v>
      </c>
      <c r="C641" s="13" t="s">
        <v>969</v>
      </c>
      <c r="D641" s="13" t="s">
        <v>968</v>
      </c>
      <c r="E641" s="15"/>
      <c r="F641" s="15">
        <f>SUM(F642:F652)</f>
        <v>224.75</v>
      </c>
      <c r="G641" s="14">
        <f>G647</f>
        <v>44882</v>
      </c>
    </row>
    <row r="642" spans="1:11">
      <c r="B642" s="238" t="s">
        <v>7793</v>
      </c>
      <c r="C642" s="2" t="s">
        <v>9</v>
      </c>
      <c r="D642" s="2" t="s">
        <v>803</v>
      </c>
      <c r="E642" s="3">
        <v>325</v>
      </c>
      <c r="F642" s="3">
        <v>18.5</v>
      </c>
      <c r="G642" s="4">
        <v>44299</v>
      </c>
    </row>
    <row r="643" spans="1:11">
      <c r="C643" s="2" t="s">
        <v>18</v>
      </c>
      <c r="D643" s="2" t="s">
        <v>803</v>
      </c>
      <c r="E643" s="3">
        <v>100</v>
      </c>
      <c r="F643" s="3">
        <v>35</v>
      </c>
      <c r="G643" s="4">
        <v>43682</v>
      </c>
    </row>
    <row r="644" spans="1:11">
      <c r="C644" s="2" t="s">
        <v>5</v>
      </c>
      <c r="D644" s="2" t="s">
        <v>701</v>
      </c>
      <c r="E644" s="3">
        <v>50</v>
      </c>
      <c r="F644" s="3">
        <f>30/12</f>
        <v>2.5</v>
      </c>
      <c r="G644" s="4">
        <v>44796</v>
      </c>
    </row>
    <row r="645" spans="1:11">
      <c r="C645" s="2" t="s">
        <v>5</v>
      </c>
      <c r="D645" s="2" t="s">
        <v>1082</v>
      </c>
      <c r="E645" s="3">
        <v>25</v>
      </c>
      <c r="F645" s="3">
        <v>10</v>
      </c>
      <c r="G645" s="4">
        <v>44679</v>
      </c>
    </row>
    <row r="646" spans="1:11">
      <c r="C646" s="2" t="s">
        <v>4</v>
      </c>
      <c r="D646" s="2" t="s">
        <v>1082</v>
      </c>
      <c r="E646" s="3">
        <v>3</v>
      </c>
      <c r="F646" s="3">
        <v>1</v>
      </c>
      <c r="G646" s="4">
        <v>44197</v>
      </c>
    </row>
    <row r="647" spans="1:11">
      <c r="C647" s="2" t="s">
        <v>7</v>
      </c>
      <c r="D647" s="2" t="s">
        <v>810</v>
      </c>
      <c r="E647" s="3">
        <v>27</v>
      </c>
      <c r="F647" s="3">
        <v>10</v>
      </c>
      <c r="G647" s="4">
        <v>44882</v>
      </c>
    </row>
    <row r="648" spans="1:11">
      <c r="C648" s="2" t="s">
        <v>8</v>
      </c>
      <c r="D648" s="2" t="s">
        <v>3935</v>
      </c>
      <c r="E648" s="3">
        <v>90</v>
      </c>
      <c r="F648" s="3">
        <v>45</v>
      </c>
      <c r="G648" s="4">
        <v>40354</v>
      </c>
      <c r="I648" s="1">
        <v>645</v>
      </c>
      <c r="J648" s="1">
        <v>32500</v>
      </c>
    </row>
    <row r="649" spans="1:11">
      <c r="C649" s="2" t="s">
        <v>2486</v>
      </c>
      <c r="D649" s="2" t="s">
        <v>3935</v>
      </c>
      <c r="E649" s="3">
        <v>196.5</v>
      </c>
      <c r="F649" s="3">
        <f>E649/2</f>
        <v>98.25</v>
      </c>
      <c r="G649" s="4">
        <v>41544</v>
      </c>
      <c r="I649" s="1">
        <v>8000</v>
      </c>
      <c r="J649" s="1">
        <v>32500</v>
      </c>
    </row>
    <row r="650" spans="1:11">
      <c r="C650" s="92" t="s">
        <v>5</v>
      </c>
      <c r="D650" s="92" t="s">
        <v>5407</v>
      </c>
      <c r="E650" s="3">
        <v>18.100000000000001</v>
      </c>
      <c r="F650" s="3">
        <v>2</v>
      </c>
      <c r="G650" s="4">
        <v>42719</v>
      </c>
      <c r="J650" s="1">
        <v>2000</v>
      </c>
    </row>
    <row r="651" spans="1:11">
      <c r="C651" s="241" t="s">
        <v>5</v>
      </c>
      <c r="D651" s="241" t="s">
        <v>2010</v>
      </c>
      <c r="E651" s="3">
        <v>9</v>
      </c>
      <c r="F651" s="3">
        <f>6/4</f>
        <v>1.5</v>
      </c>
      <c r="G651" s="4">
        <v>44540</v>
      </c>
    </row>
    <row r="652" spans="1:11">
      <c r="C652" s="241" t="s">
        <v>4</v>
      </c>
      <c r="D652" s="241" t="s">
        <v>2010</v>
      </c>
      <c r="E652" s="3">
        <v>2.5</v>
      </c>
      <c r="F652" s="3">
        <v>1</v>
      </c>
      <c r="G652" s="4">
        <v>44296</v>
      </c>
    </row>
    <row r="653" spans="1:11">
      <c r="G653" s="4"/>
    </row>
    <row r="654" spans="1:11">
      <c r="B654" s="12" t="s">
        <v>1108</v>
      </c>
      <c r="C654" s="13" t="s">
        <v>969</v>
      </c>
      <c r="D654" s="13" t="s">
        <v>968</v>
      </c>
      <c r="E654" s="15"/>
      <c r="F654" s="15">
        <f>SUM(F655:F672)</f>
        <v>223.50000000000003</v>
      </c>
      <c r="G654" s="14">
        <f>G672</f>
        <v>45260</v>
      </c>
      <c r="I654" s="1">
        <v>6800</v>
      </c>
      <c r="J654" s="20">
        <f>+F654/I654</f>
        <v>3.2867647058823536E-2</v>
      </c>
      <c r="K654" s="1">
        <v>1972</v>
      </c>
    </row>
    <row r="655" spans="1:11">
      <c r="B655" s="253" t="s">
        <v>7632</v>
      </c>
      <c r="C655" s="2" t="s">
        <v>18</v>
      </c>
      <c r="D655" s="2" t="s">
        <v>1043</v>
      </c>
      <c r="E655" s="3">
        <v>100</v>
      </c>
      <c r="F655" s="3">
        <v>15</v>
      </c>
      <c r="G655" s="4">
        <v>44699</v>
      </c>
    </row>
    <row r="656" spans="1:11">
      <c r="C656" s="2" t="s">
        <v>7</v>
      </c>
      <c r="D656" s="2" t="s">
        <v>1043</v>
      </c>
      <c r="E656" s="3">
        <v>100</v>
      </c>
      <c r="F656" s="3">
        <f>25/3</f>
        <v>8.3333333333333339</v>
      </c>
      <c r="G656" s="4">
        <v>44286</v>
      </c>
    </row>
    <row r="657" spans="3:10">
      <c r="C657" s="2" t="s">
        <v>18</v>
      </c>
      <c r="D657" s="2" t="s">
        <v>1005</v>
      </c>
      <c r="E657" s="3">
        <v>100</v>
      </c>
      <c r="F657" s="3">
        <v>40</v>
      </c>
      <c r="G657" s="4">
        <v>44754</v>
      </c>
    </row>
    <row r="658" spans="3:10">
      <c r="C658" s="2" t="s">
        <v>5</v>
      </c>
      <c r="D658" s="2" t="s">
        <v>701</v>
      </c>
      <c r="E658" s="3">
        <v>50</v>
      </c>
      <c r="F658" s="3">
        <f>30/12</f>
        <v>2.5</v>
      </c>
      <c r="G658" s="4">
        <v>44796</v>
      </c>
    </row>
    <row r="659" spans="3:10">
      <c r="C659" s="2" t="s">
        <v>4</v>
      </c>
      <c r="D659" s="2" t="s">
        <v>701</v>
      </c>
      <c r="E659" s="3">
        <v>12.5</v>
      </c>
      <c r="F659" s="3">
        <f>8/5</f>
        <v>1.6</v>
      </c>
      <c r="G659" s="4">
        <v>44623</v>
      </c>
    </row>
    <row r="660" spans="3:10">
      <c r="C660" s="2" t="s">
        <v>4</v>
      </c>
      <c r="D660" s="2" t="s">
        <v>701</v>
      </c>
      <c r="E660" s="3">
        <v>7.2</v>
      </c>
      <c r="F660" s="3">
        <v>2</v>
      </c>
      <c r="G660" s="4">
        <v>44508</v>
      </c>
    </row>
    <row r="661" spans="3:10">
      <c r="C661" s="2" t="s">
        <v>7</v>
      </c>
      <c r="D661" s="2" t="s">
        <v>871</v>
      </c>
      <c r="E661" s="3">
        <v>30</v>
      </c>
      <c r="F661" s="3">
        <f>20/3</f>
        <v>6.666666666666667</v>
      </c>
      <c r="G661" s="4">
        <v>44510</v>
      </c>
    </row>
    <row r="662" spans="3:10">
      <c r="C662" s="2" t="s">
        <v>5</v>
      </c>
      <c r="D662" s="2" t="s">
        <v>871</v>
      </c>
      <c r="E662" s="3">
        <v>21.4</v>
      </c>
      <c r="F662" s="3">
        <v>5</v>
      </c>
      <c r="G662" s="4">
        <v>44232</v>
      </c>
    </row>
    <row r="663" spans="3:10">
      <c r="C663" s="2" t="s">
        <v>18</v>
      </c>
      <c r="D663" s="2" t="s">
        <v>883</v>
      </c>
      <c r="E663" s="3">
        <v>200</v>
      </c>
      <c r="F663" s="3">
        <v>20</v>
      </c>
      <c r="G663" s="4">
        <v>44377</v>
      </c>
    </row>
    <row r="664" spans="3:10">
      <c r="C664" s="2" t="s">
        <v>7</v>
      </c>
      <c r="D664" s="2" t="s">
        <v>883</v>
      </c>
      <c r="E664" s="3">
        <v>75</v>
      </c>
      <c r="F664" s="3">
        <v>20</v>
      </c>
      <c r="G664" s="4">
        <v>43783</v>
      </c>
    </row>
    <row r="665" spans="3:10">
      <c r="C665" s="2" t="s">
        <v>18</v>
      </c>
      <c r="D665" s="2" t="s">
        <v>403</v>
      </c>
      <c r="E665" s="3">
        <v>90</v>
      </c>
      <c r="F665" s="3">
        <v>15</v>
      </c>
      <c r="G665" s="4">
        <v>45090</v>
      </c>
    </row>
    <row r="666" spans="3:10">
      <c r="C666" s="2" t="s">
        <v>7</v>
      </c>
      <c r="D666" s="2" t="s">
        <v>403</v>
      </c>
      <c r="E666" s="3">
        <v>50</v>
      </c>
      <c r="F666" s="3">
        <v>20</v>
      </c>
      <c r="G666" s="4">
        <v>44538</v>
      </c>
    </row>
    <row r="667" spans="3:10">
      <c r="C667" s="52" t="s">
        <v>7</v>
      </c>
      <c r="D667" s="52" t="s">
        <v>2116</v>
      </c>
      <c r="E667" s="3">
        <v>40</v>
      </c>
      <c r="F667" s="3">
        <v>3</v>
      </c>
      <c r="G667" s="4">
        <v>43720</v>
      </c>
      <c r="J667" s="1">
        <v>3400</v>
      </c>
    </row>
    <row r="668" spans="3:10">
      <c r="C668" s="55" t="s">
        <v>18</v>
      </c>
      <c r="D668" s="55" t="s">
        <v>2109</v>
      </c>
      <c r="E668" s="3">
        <v>40</v>
      </c>
      <c r="F668" s="3">
        <v>5</v>
      </c>
      <c r="G668" s="4">
        <v>44238</v>
      </c>
      <c r="J668" s="1">
        <v>790</v>
      </c>
    </row>
    <row r="669" spans="3:10">
      <c r="C669" s="55" t="s">
        <v>7</v>
      </c>
      <c r="D669" s="55" t="s">
        <v>2109</v>
      </c>
      <c r="E669" s="3">
        <v>25</v>
      </c>
      <c r="F669" s="3">
        <v>5</v>
      </c>
      <c r="G669" s="4">
        <v>43865</v>
      </c>
      <c r="J669" s="1">
        <v>790</v>
      </c>
    </row>
    <row r="670" spans="3:10">
      <c r="C670" s="55" t="s">
        <v>5</v>
      </c>
      <c r="D670" s="55" t="s">
        <v>2109</v>
      </c>
      <c r="E670" s="3">
        <v>10</v>
      </c>
      <c r="F670" s="3">
        <v>2.5</v>
      </c>
      <c r="G670" s="4">
        <v>43564</v>
      </c>
      <c r="J670" s="1">
        <v>790</v>
      </c>
    </row>
    <row r="671" spans="3:10">
      <c r="C671" s="55" t="s">
        <v>4</v>
      </c>
      <c r="D671" s="55" t="s">
        <v>2109</v>
      </c>
      <c r="E671" s="3">
        <v>3.9</v>
      </c>
      <c r="F671" s="3">
        <v>1.9</v>
      </c>
      <c r="G671" s="4">
        <v>43311</v>
      </c>
      <c r="J671" s="1">
        <v>790</v>
      </c>
    </row>
    <row r="672" spans="3:10">
      <c r="C672" s="335" t="s">
        <v>5</v>
      </c>
      <c r="D672" s="335" t="s">
        <v>9429</v>
      </c>
      <c r="E672" s="3">
        <v>102.5</v>
      </c>
      <c r="F672" s="3">
        <v>50</v>
      </c>
      <c r="G672" s="4">
        <v>45260</v>
      </c>
    </row>
    <row r="673" spans="1:18">
      <c r="G673" s="4"/>
    </row>
    <row r="674" spans="1:18" s="12" customFormat="1">
      <c r="A674" s="12">
        <v>33</v>
      </c>
      <c r="B674" s="12" t="s">
        <v>204</v>
      </c>
      <c r="C674" s="13" t="s">
        <v>969</v>
      </c>
      <c r="D674" s="13" t="s">
        <v>968</v>
      </c>
      <c r="E674" s="15"/>
      <c r="F674" s="15">
        <f>SUM(F675:F676)</f>
        <v>209</v>
      </c>
      <c r="G674" s="14">
        <f>G675</f>
        <v>44504</v>
      </c>
      <c r="M674" s="13"/>
      <c r="N674" s="13"/>
      <c r="O674" s="13"/>
      <c r="P674" s="13"/>
      <c r="Q674" s="13"/>
      <c r="R674" s="13"/>
    </row>
    <row r="675" spans="1:18">
      <c r="B675" s="254" t="s">
        <v>7631</v>
      </c>
      <c r="C675" s="2" t="s">
        <v>18</v>
      </c>
      <c r="D675" s="2" t="s">
        <v>197</v>
      </c>
      <c r="E675" s="3">
        <v>200</v>
      </c>
      <c r="F675" s="3">
        <v>200</v>
      </c>
      <c r="G675" s="4">
        <v>44504</v>
      </c>
    </row>
    <row r="676" spans="1:18">
      <c r="C676" s="2" t="s">
        <v>5</v>
      </c>
      <c r="D676" s="2" t="s">
        <v>161</v>
      </c>
      <c r="E676" s="3">
        <v>112</v>
      </c>
      <c r="F676" s="3">
        <v>9</v>
      </c>
      <c r="G676" s="4">
        <v>43115</v>
      </c>
      <c r="J676" s="1">
        <v>8400</v>
      </c>
    </row>
    <row r="677" spans="1:18">
      <c r="G677" s="4"/>
    </row>
    <row r="678" spans="1:18">
      <c r="A678" s="12">
        <v>34</v>
      </c>
      <c r="B678" s="12" t="s">
        <v>1117</v>
      </c>
      <c r="C678" s="13" t="s">
        <v>969</v>
      </c>
      <c r="D678" s="13" t="s">
        <v>968</v>
      </c>
      <c r="F678" s="15">
        <f>SUM(F679:F702)</f>
        <v>205.44603174603174</v>
      </c>
      <c r="G678" s="14">
        <f>G679</f>
        <v>44852</v>
      </c>
    </row>
    <row r="679" spans="1:18">
      <c r="B679" s="253" t="s">
        <v>7632</v>
      </c>
      <c r="C679" s="2" t="s">
        <v>5</v>
      </c>
      <c r="D679" s="2" t="s">
        <v>763</v>
      </c>
      <c r="E679" s="3">
        <v>125</v>
      </c>
      <c r="F679" s="3">
        <v>15</v>
      </c>
      <c r="G679" s="4">
        <v>44852</v>
      </c>
    </row>
    <row r="680" spans="1:18">
      <c r="C680" s="2" t="s">
        <v>4</v>
      </c>
      <c r="D680" s="2" t="s">
        <v>763</v>
      </c>
      <c r="E680" s="3">
        <v>6</v>
      </c>
      <c r="F680" s="3">
        <v>4</v>
      </c>
      <c r="G680" s="4">
        <v>44352</v>
      </c>
    </row>
    <row r="681" spans="1:18">
      <c r="C681" s="2" t="s">
        <v>1040</v>
      </c>
      <c r="D681" s="2" t="s">
        <v>832</v>
      </c>
      <c r="E681" s="3">
        <v>99</v>
      </c>
      <c r="F681" s="3">
        <v>20</v>
      </c>
      <c r="G681" s="4">
        <v>44796</v>
      </c>
    </row>
    <row r="682" spans="1:18">
      <c r="C682" s="2" t="s">
        <v>1116</v>
      </c>
      <c r="D682" s="2" t="s">
        <v>832</v>
      </c>
      <c r="E682" s="3">
        <v>100</v>
      </c>
      <c r="F682" s="3">
        <f>40/3</f>
        <v>13.333333333333334</v>
      </c>
      <c r="G682" s="4">
        <v>44537</v>
      </c>
    </row>
    <row r="683" spans="1:18">
      <c r="C683" s="2" t="s">
        <v>7</v>
      </c>
      <c r="D683" s="2" t="s">
        <v>832</v>
      </c>
      <c r="E683" s="3">
        <v>40</v>
      </c>
      <c r="F683" s="3">
        <v>8</v>
      </c>
      <c r="G683" s="4">
        <v>44125</v>
      </c>
    </row>
    <row r="684" spans="1:18">
      <c r="C684" s="2" t="s">
        <v>7</v>
      </c>
      <c r="D684" s="2" t="s">
        <v>984</v>
      </c>
      <c r="E684" s="3">
        <v>38</v>
      </c>
      <c r="F684" s="3">
        <f>20/3</f>
        <v>6.666666666666667</v>
      </c>
      <c r="G684" s="4">
        <v>44812</v>
      </c>
    </row>
    <row r="685" spans="1:18">
      <c r="C685" s="2" t="s">
        <v>5</v>
      </c>
      <c r="D685" s="2" t="s">
        <v>984</v>
      </c>
      <c r="E685" s="3">
        <v>19</v>
      </c>
      <c r="F685" s="3">
        <v>3.5</v>
      </c>
      <c r="G685" s="4">
        <v>44467</v>
      </c>
    </row>
    <row r="686" spans="1:18">
      <c r="C686" s="2" t="s">
        <v>4</v>
      </c>
      <c r="D686" s="2" t="s">
        <v>984</v>
      </c>
      <c r="E686" s="3">
        <v>4</v>
      </c>
      <c r="F686" s="3">
        <v>2</v>
      </c>
      <c r="G686" s="4">
        <v>43873</v>
      </c>
    </row>
    <row r="687" spans="1:18">
      <c r="C687" s="2" t="s">
        <v>4</v>
      </c>
      <c r="D687" s="2" t="s">
        <v>258</v>
      </c>
      <c r="E687" s="3">
        <v>3.5</v>
      </c>
      <c r="F687" s="3">
        <f>+E687/9</f>
        <v>0.3888888888888889</v>
      </c>
      <c r="G687" s="4">
        <v>42979</v>
      </c>
    </row>
    <row r="688" spans="1:18">
      <c r="C688" s="2" t="s">
        <v>4</v>
      </c>
      <c r="D688" s="2" t="s">
        <v>87</v>
      </c>
      <c r="E688" s="3">
        <v>4</v>
      </c>
      <c r="F688" s="3">
        <f>2.5/4</f>
        <v>0.625</v>
      </c>
      <c r="G688" s="4">
        <v>43122</v>
      </c>
    </row>
    <row r="689" spans="1:10">
      <c r="C689" s="2" t="s">
        <v>8</v>
      </c>
      <c r="D689" s="2" t="s">
        <v>240</v>
      </c>
      <c r="E689" s="3">
        <v>81</v>
      </c>
      <c r="F689" s="3">
        <f>E689/6</f>
        <v>13.5</v>
      </c>
      <c r="G689" s="4">
        <v>43418</v>
      </c>
      <c r="I689" s="1">
        <v>1700</v>
      </c>
      <c r="J689" s="1">
        <v>3800</v>
      </c>
    </row>
    <row r="690" spans="1:10">
      <c r="C690" s="2" t="s">
        <v>18</v>
      </c>
      <c r="D690" s="2" t="s">
        <v>240</v>
      </c>
      <c r="E690" s="3">
        <v>60</v>
      </c>
      <c r="F690" s="3">
        <f>+E690/5</f>
        <v>12</v>
      </c>
      <c r="G690" s="4">
        <v>42736</v>
      </c>
      <c r="I690" s="1">
        <v>800</v>
      </c>
      <c r="J690" s="1">
        <v>3800</v>
      </c>
    </row>
    <row r="691" spans="1:10">
      <c r="C691" s="2" t="s">
        <v>9</v>
      </c>
      <c r="D691" s="2" t="s">
        <v>22</v>
      </c>
      <c r="E691" s="3">
        <v>222</v>
      </c>
      <c r="F691" s="3">
        <f>200/21</f>
        <v>9.5238095238095237</v>
      </c>
      <c r="G691" s="4">
        <v>44194</v>
      </c>
      <c r="I691" s="1">
        <v>2500</v>
      </c>
      <c r="J691" s="1">
        <v>2500</v>
      </c>
    </row>
    <row r="692" spans="1:10">
      <c r="C692" s="2" t="s">
        <v>8</v>
      </c>
      <c r="D692" s="2" t="s">
        <v>22</v>
      </c>
      <c r="E692" s="3">
        <v>200</v>
      </c>
      <c r="F692" s="3">
        <v>13</v>
      </c>
      <c r="G692" s="4">
        <v>43452</v>
      </c>
      <c r="I692" s="1">
        <v>1500</v>
      </c>
      <c r="J692" s="1">
        <v>2500</v>
      </c>
    </row>
    <row r="693" spans="1:10">
      <c r="C693" s="2" t="s">
        <v>18</v>
      </c>
      <c r="D693" s="2" t="s">
        <v>22</v>
      </c>
      <c r="E693" s="3">
        <v>50</v>
      </c>
      <c r="F693" s="3">
        <v>5</v>
      </c>
      <c r="G693" s="4">
        <v>43051</v>
      </c>
      <c r="J693" s="1">
        <v>2500</v>
      </c>
    </row>
    <row r="694" spans="1:10">
      <c r="C694" s="2" t="s">
        <v>7</v>
      </c>
      <c r="D694" s="2" t="s">
        <v>22</v>
      </c>
      <c r="E694" s="3">
        <v>30</v>
      </c>
      <c r="F694" s="3">
        <v>3</v>
      </c>
      <c r="G694" s="4">
        <v>42936</v>
      </c>
      <c r="J694" s="1">
        <v>2500</v>
      </c>
    </row>
    <row r="695" spans="1:10">
      <c r="C695" s="2" t="s">
        <v>9</v>
      </c>
      <c r="D695" s="2" t="s">
        <v>52</v>
      </c>
      <c r="E695" s="3">
        <v>220</v>
      </c>
      <c r="F695" s="3">
        <v>28</v>
      </c>
      <c r="G695" s="4">
        <v>44357</v>
      </c>
      <c r="I695" s="1">
        <v>1900</v>
      </c>
      <c r="J695" s="1">
        <v>1900</v>
      </c>
    </row>
    <row r="696" spans="1:10">
      <c r="C696" s="2" t="s">
        <v>8</v>
      </c>
      <c r="D696" s="2" t="s">
        <v>52</v>
      </c>
      <c r="E696" s="3">
        <v>125</v>
      </c>
      <c r="F696" s="3">
        <v>18.75</v>
      </c>
      <c r="G696" s="4">
        <v>44131</v>
      </c>
      <c r="I696" s="1">
        <v>875</v>
      </c>
      <c r="J696" s="1">
        <v>1900</v>
      </c>
    </row>
    <row r="697" spans="1:10">
      <c r="C697" s="2" t="s">
        <v>18</v>
      </c>
      <c r="D697" s="2" t="s">
        <v>52</v>
      </c>
      <c r="E697" s="3">
        <v>28</v>
      </c>
      <c r="F697" s="3">
        <v>7</v>
      </c>
      <c r="G697" s="4">
        <v>43579</v>
      </c>
      <c r="J697" s="1">
        <v>1900</v>
      </c>
    </row>
    <row r="698" spans="1:10">
      <c r="C698" s="2" t="s">
        <v>7</v>
      </c>
      <c r="D698" s="2" t="s">
        <v>52</v>
      </c>
      <c r="E698" s="3">
        <v>18</v>
      </c>
      <c r="F698" s="3">
        <v>12</v>
      </c>
      <c r="G698" s="4">
        <v>43207</v>
      </c>
    </row>
    <row r="699" spans="1:10">
      <c r="C699" s="177" t="s">
        <v>5</v>
      </c>
      <c r="D699" s="177" t="s">
        <v>2028</v>
      </c>
      <c r="E699" s="3">
        <v>18.5</v>
      </c>
      <c r="F699" s="3">
        <f>E699/4</f>
        <v>4.625</v>
      </c>
      <c r="G699" s="4">
        <v>44561</v>
      </c>
    </row>
    <row r="700" spans="1:10">
      <c r="C700" s="177" t="s">
        <v>4</v>
      </c>
      <c r="D700" s="177" t="s">
        <v>2028</v>
      </c>
      <c r="E700" s="3">
        <v>5.8</v>
      </c>
      <c r="F700" s="3">
        <f>E700/3</f>
        <v>1.9333333333333333</v>
      </c>
      <c r="G700" s="4">
        <v>44348</v>
      </c>
    </row>
    <row r="701" spans="1:10">
      <c r="C701" s="177" t="s">
        <v>5</v>
      </c>
      <c r="D701" s="177" t="s">
        <v>2018</v>
      </c>
      <c r="E701" s="3">
        <v>16</v>
      </c>
      <c r="F701" s="3">
        <v>2</v>
      </c>
      <c r="G701" s="4">
        <v>44833</v>
      </c>
    </row>
    <row r="702" spans="1:10">
      <c r="C702" s="177" t="s">
        <v>4</v>
      </c>
      <c r="D702" s="177" t="s">
        <v>2018</v>
      </c>
      <c r="E702" s="3">
        <v>4.8</v>
      </c>
      <c r="F702" s="3">
        <f>E702/3</f>
        <v>1.5999999999999999</v>
      </c>
      <c r="G702" s="4">
        <v>44720</v>
      </c>
    </row>
    <row r="703" spans="1:10">
      <c r="G703" s="4"/>
    </row>
    <row r="704" spans="1:10">
      <c r="A704" s="1">
        <v>35</v>
      </c>
      <c r="B704" s="12" t="s">
        <v>1118</v>
      </c>
      <c r="C704" s="13" t="s">
        <v>969</v>
      </c>
      <c r="D704" s="13" t="s">
        <v>968</v>
      </c>
      <c r="E704" s="15"/>
      <c r="F704" s="15">
        <f>SUM(F705:F713)</f>
        <v>204.5</v>
      </c>
      <c r="G704" s="14">
        <f>G705</f>
        <v>45042</v>
      </c>
    </row>
    <row r="705" spans="1:18">
      <c r="B705" s="253" t="s">
        <v>7632</v>
      </c>
      <c r="C705" s="2" t="s">
        <v>7</v>
      </c>
      <c r="D705" s="2" t="s">
        <v>1086</v>
      </c>
      <c r="E705" s="3">
        <v>100</v>
      </c>
      <c r="F705" s="3">
        <v>5</v>
      </c>
      <c r="G705" s="4">
        <v>45042</v>
      </c>
    </row>
    <row r="706" spans="1:18">
      <c r="C706" s="2" t="s">
        <v>18</v>
      </c>
      <c r="D706" s="2" t="s">
        <v>883</v>
      </c>
      <c r="E706" s="3">
        <v>200</v>
      </c>
      <c r="F706" s="3">
        <v>20</v>
      </c>
      <c r="G706" s="4">
        <v>44377</v>
      </c>
    </row>
    <row r="707" spans="1:18">
      <c r="C707" s="2" t="s">
        <v>7</v>
      </c>
      <c r="D707" s="2" t="s">
        <v>883</v>
      </c>
      <c r="E707" s="3">
        <v>75</v>
      </c>
      <c r="F707" s="3">
        <v>20</v>
      </c>
      <c r="G707" s="4">
        <v>43783</v>
      </c>
    </row>
    <row r="708" spans="1:18">
      <c r="C708" s="2" t="s">
        <v>8</v>
      </c>
      <c r="D708" s="2" t="s">
        <v>520</v>
      </c>
      <c r="E708" s="3">
        <v>100</v>
      </c>
      <c r="F708" s="3">
        <f>50/4</f>
        <v>12.5</v>
      </c>
      <c r="G708" s="4">
        <v>44419</v>
      </c>
    </row>
    <row r="709" spans="1:18">
      <c r="C709" s="2" t="s">
        <v>18</v>
      </c>
      <c r="D709" s="2" t="s">
        <v>520</v>
      </c>
      <c r="E709" s="3">
        <v>60</v>
      </c>
      <c r="F709" s="3">
        <v>20</v>
      </c>
      <c r="G709" s="4">
        <v>43606</v>
      </c>
    </row>
    <row r="710" spans="1:18">
      <c r="C710" s="2" t="s">
        <v>9</v>
      </c>
      <c r="D710" s="2" t="s">
        <v>154</v>
      </c>
      <c r="E710" s="3">
        <v>400</v>
      </c>
      <c r="F710" s="3">
        <v>36</v>
      </c>
      <c r="G710" s="4">
        <v>44413</v>
      </c>
    </row>
    <row r="711" spans="1:18">
      <c r="C711" s="2" t="s">
        <v>8</v>
      </c>
      <c r="D711" s="2" t="s">
        <v>154</v>
      </c>
      <c r="E711" s="3">
        <v>100</v>
      </c>
      <c r="F711" s="3">
        <f>75/6</f>
        <v>12.5</v>
      </c>
      <c r="G711" s="4">
        <v>44067</v>
      </c>
    </row>
    <row r="712" spans="1:18">
      <c r="C712" s="2" t="s">
        <v>18</v>
      </c>
      <c r="D712" s="2" t="s">
        <v>154</v>
      </c>
      <c r="E712" s="3">
        <v>101</v>
      </c>
      <c r="F712" s="3">
        <v>41</v>
      </c>
      <c r="G712" s="4">
        <v>43453</v>
      </c>
    </row>
    <row r="713" spans="1:18">
      <c r="C713" s="2" t="s">
        <v>8</v>
      </c>
      <c r="D713" s="2" t="s">
        <v>57</v>
      </c>
      <c r="E713" s="3">
        <v>250</v>
      </c>
      <c r="F713" s="3">
        <f>150/4</f>
        <v>37.5</v>
      </c>
      <c r="G713" s="4">
        <v>45069</v>
      </c>
    </row>
    <row r="714" spans="1:18">
      <c r="G714" s="4"/>
    </row>
    <row r="715" spans="1:18" s="12" customFormat="1">
      <c r="A715" s="12">
        <v>40</v>
      </c>
      <c r="B715" s="12" t="s">
        <v>255</v>
      </c>
      <c r="C715" s="13" t="s">
        <v>969</v>
      </c>
      <c r="D715" s="13" t="s">
        <v>968</v>
      </c>
      <c r="E715" s="15"/>
      <c r="F715" s="15">
        <f>SUM(F716:F722)</f>
        <v>256.85661375661374</v>
      </c>
      <c r="G715" s="14">
        <f>G721</f>
        <v>45183</v>
      </c>
      <c r="M715" s="13"/>
      <c r="N715" s="13"/>
      <c r="O715" s="13"/>
      <c r="P715" s="13"/>
      <c r="Q715" s="13"/>
      <c r="R715" s="13"/>
    </row>
    <row r="716" spans="1:18">
      <c r="C716" s="2" t="s">
        <v>8</v>
      </c>
      <c r="D716" s="2" t="s">
        <v>253</v>
      </c>
      <c r="E716" s="3">
        <v>600</v>
      </c>
      <c r="F716" s="3">
        <f>500/8</f>
        <v>62.5</v>
      </c>
      <c r="G716" s="4">
        <v>44502</v>
      </c>
    </row>
    <row r="717" spans="1:18">
      <c r="C717" s="2" t="s">
        <v>18</v>
      </c>
      <c r="D717" s="2" t="s">
        <v>253</v>
      </c>
      <c r="E717" s="3">
        <v>500</v>
      </c>
      <c r="F717" s="3">
        <v>75</v>
      </c>
      <c r="G717" s="4">
        <v>44144</v>
      </c>
    </row>
    <row r="718" spans="1:18">
      <c r="C718" s="2" t="s">
        <v>9</v>
      </c>
      <c r="D718" s="2" t="s">
        <v>22</v>
      </c>
      <c r="E718" s="3">
        <v>222</v>
      </c>
      <c r="F718" s="3">
        <v>10</v>
      </c>
      <c r="G718" s="4">
        <v>44194</v>
      </c>
      <c r="I718" s="1">
        <v>2500</v>
      </c>
      <c r="J718" s="1">
        <v>2500</v>
      </c>
    </row>
    <row r="719" spans="1:18">
      <c r="C719" s="2" t="s">
        <v>8</v>
      </c>
      <c r="D719" s="2" t="s">
        <v>22</v>
      </c>
      <c r="E719" s="3">
        <v>150</v>
      </c>
      <c r="F719" s="3">
        <v>16.666666666666668</v>
      </c>
      <c r="G719" s="4">
        <v>43885</v>
      </c>
      <c r="I719" s="1">
        <v>1800</v>
      </c>
      <c r="J719" s="1">
        <v>2500</v>
      </c>
    </row>
    <row r="720" spans="1:18">
      <c r="C720" s="2" t="s">
        <v>7</v>
      </c>
      <c r="D720" s="2" t="s">
        <v>2129</v>
      </c>
      <c r="E720" s="3">
        <v>176</v>
      </c>
      <c r="F720" s="3">
        <v>13</v>
      </c>
      <c r="G720" s="4">
        <v>44578</v>
      </c>
    </row>
    <row r="721" spans="1:18">
      <c r="C721" s="265" t="s">
        <v>7890</v>
      </c>
      <c r="D721" s="265" t="s">
        <v>1006</v>
      </c>
      <c r="E721" s="3">
        <v>684.6</v>
      </c>
      <c r="F721" s="3">
        <f>584.6/21</f>
        <v>27.838095238095239</v>
      </c>
      <c r="G721" s="4">
        <v>45183</v>
      </c>
      <c r="I721" s="1">
        <v>42500</v>
      </c>
      <c r="J721" s="1">
        <v>42500</v>
      </c>
    </row>
    <row r="722" spans="1:18">
      <c r="C722" s="265" t="s">
        <v>2486</v>
      </c>
      <c r="D722" s="265" t="s">
        <v>1006</v>
      </c>
      <c r="E722" s="3">
        <v>1600</v>
      </c>
      <c r="F722" s="3">
        <f>1400/27</f>
        <v>51.851851851851855</v>
      </c>
      <c r="G722" s="4">
        <v>44439</v>
      </c>
      <c r="I722" s="1">
        <v>36400</v>
      </c>
      <c r="J722" s="1">
        <v>42500</v>
      </c>
    </row>
    <row r="723" spans="1:18">
      <c r="G723" s="4"/>
    </row>
    <row r="724" spans="1:18" s="12" customFormat="1">
      <c r="A724" s="12">
        <v>36</v>
      </c>
      <c r="B724" s="12" t="s">
        <v>623</v>
      </c>
      <c r="C724" s="13" t="s">
        <v>969</v>
      </c>
      <c r="D724" s="13" t="s">
        <v>968</v>
      </c>
      <c r="E724" s="15"/>
      <c r="F724" s="15">
        <f>SUM(F725:F726)</f>
        <v>201.5</v>
      </c>
      <c r="G724" s="14">
        <f>G725</f>
        <v>44727</v>
      </c>
    </row>
    <row r="725" spans="1:18">
      <c r="C725" s="2" t="s">
        <v>18</v>
      </c>
      <c r="D725" s="2" t="s">
        <v>622</v>
      </c>
      <c r="E725" s="3">
        <v>169</v>
      </c>
      <c r="F725" s="3">
        <v>169</v>
      </c>
      <c r="G725" s="4">
        <v>44727</v>
      </c>
      <c r="M725" s="1"/>
      <c r="N725" s="1"/>
      <c r="O725" s="1"/>
      <c r="P725" s="1"/>
      <c r="Q725" s="1"/>
      <c r="R725" s="1"/>
    </row>
    <row r="726" spans="1:18">
      <c r="C726" s="2" t="s">
        <v>18</v>
      </c>
      <c r="D726" s="2" t="s">
        <v>414</v>
      </c>
      <c r="E726" s="3">
        <v>65</v>
      </c>
      <c r="F726" s="3">
        <v>32.5</v>
      </c>
      <c r="G726" s="4">
        <v>43789</v>
      </c>
      <c r="M726" s="1"/>
      <c r="N726" s="1"/>
      <c r="O726" s="1"/>
      <c r="P726" s="1"/>
      <c r="Q726" s="1"/>
      <c r="R726" s="1"/>
    </row>
    <row r="727" spans="1:18">
      <c r="G727" s="4"/>
      <c r="M727" s="1"/>
      <c r="N727" s="1"/>
      <c r="O727" s="1"/>
      <c r="P727" s="1"/>
      <c r="Q727" s="1"/>
      <c r="R727" s="1"/>
    </row>
    <row r="728" spans="1:18" s="12" customFormat="1">
      <c r="B728" s="12" t="s">
        <v>210</v>
      </c>
      <c r="C728" s="13" t="s">
        <v>969</v>
      </c>
      <c r="D728" s="13" t="s">
        <v>968</v>
      </c>
      <c r="E728" s="15"/>
      <c r="F728" s="15">
        <f>SUM(F729:F733)</f>
        <v>201.24895330112722</v>
      </c>
      <c r="G728" s="14">
        <f>G731</f>
        <v>45183</v>
      </c>
      <c r="M728" s="13"/>
      <c r="N728" s="13"/>
      <c r="O728" s="13"/>
      <c r="P728" s="13"/>
      <c r="Q728" s="13"/>
      <c r="R728" s="13"/>
    </row>
    <row r="729" spans="1:18">
      <c r="C729" s="2" t="s">
        <v>8</v>
      </c>
      <c r="D729" s="2" t="s">
        <v>208</v>
      </c>
      <c r="E729" s="3">
        <v>676</v>
      </c>
      <c r="F729" s="3">
        <f>500/7</f>
        <v>71.428571428571431</v>
      </c>
      <c r="G729" s="4">
        <v>44299</v>
      </c>
      <c r="I729" s="1">
        <v>4400</v>
      </c>
      <c r="J729" s="1">
        <v>4400</v>
      </c>
    </row>
    <row r="730" spans="1:18">
      <c r="C730" s="2" t="s">
        <v>53</v>
      </c>
      <c r="D730" s="2" t="s">
        <v>47</v>
      </c>
      <c r="E730" s="3">
        <v>100</v>
      </c>
      <c r="F730" s="3">
        <v>11</v>
      </c>
      <c r="G730" s="4">
        <v>44515</v>
      </c>
      <c r="I730" s="1">
        <v>4100</v>
      </c>
      <c r="J730" s="1">
        <v>4100</v>
      </c>
    </row>
    <row r="731" spans="1:18">
      <c r="C731" s="265" t="s">
        <v>7890</v>
      </c>
      <c r="D731" s="265" t="s">
        <v>1006</v>
      </c>
      <c r="E731" s="3">
        <v>684.6</v>
      </c>
      <c r="F731" s="3">
        <f>584.6/21</f>
        <v>27.838095238095239</v>
      </c>
      <c r="G731" s="4">
        <v>45183</v>
      </c>
    </row>
    <row r="732" spans="1:18">
      <c r="C732" s="265" t="s">
        <v>2486</v>
      </c>
      <c r="D732" s="265" t="s">
        <v>1006</v>
      </c>
      <c r="E732" s="3">
        <v>1600</v>
      </c>
      <c r="F732" s="3">
        <f>1400/27</f>
        <v>51.851851851851855</v>
      </c>
      <c r="G732" s="4">
        <v>44439</v>
      </c>
      <c r="I732" s="1">
        <v>36400</v>
      </c>
      <c r="J732" s="1">
        <v>42500</v>
      </c>
    </row>
    <row r="733" spans="1:18">
      <c r="C733" s="265" t="s">
        <v>504</v>
      </c>
      <c r="D733" s="265" t="s">
        <v>1006</v>
      </c>
      <c r="E733" s="3">
        <v>1000</v>
      </c>
      <c r="F733" s="3">
        <f>900/23</f>
        <v>39.130434782608695</v>
      </c>
      <c r="G733" s="4">
        <v>44228</v>
      </c>
      <c r="I733" s="1">
        <v>27000</v>
      </c>
      <c r="J733" s="1">
        <v>42500</v>
      </c>
    </row>
    <row r="734" spans="1:18">
      <c r="G734" s="4"/>
    </row>
    <row r="735" spans="1:18" s="12" customFormat="1">
      <c r="A735" s="12">
        <v>37</v>
      </c>
      <c r="B735" s="12" t="s">
        <v>1115</v>
      </c>
      <c r="C735" s="13" t="s">
        <v>969</v>
      </c>
      <c r="D735" s="13" t="s">
        <v>968</v>
      </c>
      <c r="E735" s="15"/>
      <c r="F735" s="15">
        <f>SUM(F736:F748)</f>
        <v>193.96055555555554</v>
      </c>
      <c r="G735" s="14">
        <f>G739</f>
        <v>44274</v>
      </c>
      <c r="M735" s="13"/>
      <c r="N735" s="13"/>
      <c r="O735" s="13"/>
      <c r="P735" s="13"/>
      <c r="Q735" s="13"/>
      <c r="R735" s="13"/>
    </row>
    <row r="736" spans="1:18">
      <c r="C736" s="2" t="s">
        <v>18</v>
      </c>
      <c r="D736" s="2" t="s">
        <v>292</v>
      </c>
      <c r="E736" s="3">
        <v>38</v>
      </c>
      <c r="F736" s="3">
        <f>20/6</f>
        <v>3.3333333333333335</v>
      </c>
      <c r="G736" s="4">
        <v>43104</v>
      </c>
    </row>
    <row r="737" spans="1:18">
      <c r="C737" s="2" t="s">
        <v>7</v>
      </c>
      <c r="D737" s="2" t="s">
        <v>292</v>
      </c>
      <c r="E737" s="3">
        <v>6.9</v>
      </c>
      <c r="F737" s="3">
        <f>E737/5</f>
        <v>1.3800000000000001</v>
      </c>
      <c r="G737" s="4">
        <v>42458</v>
      </c>
    </row>
    <row r="738" spans="1:18">
      <c r="C738" s="2" t="s">
        <v>5</v>
      </c>
      <c r="D738" s="2" t="s">
        <v>292</v>
      </c>
      <c r="E738" s="3">
        <v>2.7</v>
      </c>
      <c r="F738" s="3">
        <f>1.7/4</f>
        <v>0.42499999999999999</v>
      </c>
      <c r="G738" s="4">
        <v>42139</v>
      </c>
    </row>
    <row r="739" spans="1:18">
      <c r="C739" s="2" t="s">
        <v>18</v>
      </c>
      <c r="D739" s="2" t="s">
        <v>197</v>
      </c>
      <c r="E739" s="3">
        <v>500</v>
      </c>
      <c r="F739" s="3">
        <v>100</v>
      </c>
      <c r="G739" s="4">
        <v>44274</v>
      </c>
    </row>
    <row r="740" spans="1:18">
      <c r="C740" s="2" t="s">
        <v>18</v>
      </c>
      <c r="D740" s="2" t="s">
        <v>197</v>
      </c>
      <c r="E740" s="3">
        <v>500</v>
      </c>
      <c r="F740" s="3">
        <f>200/9</f>
        <v>22.222222222222221</v>
      </c>
      <c r="G740" s="4">
        <v>44274</v>
      </c>
    </row>
    <row r="741" spans="1:18">
      <c r="C741" s="2" t="s">
        <v>7</v>
      </c>
      <c r="D741" s="2" t="s">
        <v>192</v>
      </c>
      <c r="E741" s="3">
        <v>43</v>
      </c>
      <c r="F741" s="3">
        <f>E741/5</f>
        <v>8.6</v>
      </c>
      <c r="G741" s="4">
        <v>44077</v>
      </c>
    </row>
    <row r="742" spans="1:18">
      <c r="C742" s="2" t="s">
        <v>5</v>
      </c>
      <c r="D742" s="2" t="s">
        <v>192</v>
      </c>
      <c r="E742" s="3">
        <v>28</v>
      </c>
      <c r="F742" s="3">
        <v>20</v>
      </c>
      <c r="G742" s="4">
        <v>43271</v>
      </c>
    </row>
    <row r="743" spans="1:18">
      <c r="C743" s="2" t="s">
        <v>9</v>
      </c>
      <c r="D743" s="2" t="s">
        <v>22</v>
      </c>
      <c r="E743" s="3">
        <v>222</v>
      </c>
      <c r="F743" s="3">
        <v>10</v>
      </c>
      <c r="G743" s="4">
        <v>44194</v>
      </c>
      <c r="I743" s="1">
        <v>2500</v>
      </c>
      <c r="J743" s="1">
        <v>2500</v>
      </c>
    </row>
    <row r="744" spans="1:18">
      <c r="C744" s="2" t="s">
        <v>8</v>
      </c>
      <c r="D744" s="2" t="s">
        <v>22</v>
      </c>
      <c r="E744" s="3">
        <v>200</v>
      </c>
      <c r="F744" s="3">
        <v>13</v>
      </c>
      <c r="G744" s="4">
        <v>43452</v>
      </c>
      <c r="I744" s="1">
        <v>1500</v>
      </c>
      <c r="J744" s="1">
        <v>2500</v>
      </c>
    </row>
    <row r="745" spans="1:18">
      <c r="C745" s="2" t="s">
        <v>18</v>
      </c>
      <c r="D745" s="2" t="s">
        <v>22</v>
      </c>
      <c r="E745" s="3">
        <v>50</v>
      </c>
      <c r="F745" s="3">
        <v>5</v>
      </c>
      <c r="G745" s="4">
        <v>43051</v>
      </c>
      <c r="J745" s="1">
        <v>2500</v>
      </c>
    </row>
    <row r="746" spans="1:18">
      <c r="C746" s="2" t="s">
        <v>7</v>
      </c>
      <c r="D746" s="2" t="s">
        <v>22</v>
      </c>
      <c r="E746" s="3">
        <v>30</v>
      </c>
      <c r="F746" s="3">
        <v>3</v>
      </c>
      <c r="G746" s="4">
        <v>42936</v>
      </c>
      <c r="J746" s="1">
        <v>2500</v>
      </c>
    </row>
    <row r="747" spans="1:18">
      <c r="C747" s="2" t="s">
        <v>5</v>
      </c>
      <c r="D747" s="2" t="s">
        <v>22</v>
      </c>
      <c r="E747" s="3">
        <v>30</v>
      </c>
      <c r="F747" s="3">
        <v>5</v>
      </c>
      <c r="G747" s="4">
        <v>42674</v>
      </c>
      <c r="J747" s="1">
        <v>2500</v>
      </c>
    </row>
    <row r="748" spans="1:18">
      <c r="C748" s="177" t="s">
        <v>5</v>
      </c>
      <c r="D748" s="177" t="s">
        <v>6767</v>
      </c>
      <c r="E748" s="3">
        <v>11</v>
      </c>
      <c r="F748" s="3">
        <v>2</v>
      </c>
      <c r="G748" s="4">
        <v>43215</v>
      </c>
    </row>
    <row r="749" spans="1:18">
      <c r="G749" s="4"/>
    </row>
    <row r="750" spans="1:18" s="12" customFormat="1">
      <c r="A750" s="12">
        <v>38</v>
      </c>
      <c r="B750" s="12" t="s">
        <v>1114</v>
      </c>
      <c r="C750" s="13" t="s">
        <v>969</v>
      </c>
      <c r="D750" s="13" t="s">
        <v>968</v>
      </c>
      <c r="E750" s="15"/>
      <c r="F750" s="15">
        <f>SUM(F751:F770)</f>
        <v>190.08571428571432</v>
      </c>
      <c r="G750" s="14">
        <f>G758</f>
        <v>45090</v>
      </c>
      <c r="M750" s="13"/>
      <c r="N750" s="13"/>
      <c r="O750" s="13"/>
      <c r="P750" s="13"/>
      <c r="Q750" s="13"/>
      <c r="R750" s="13"/>
    </row>
    <row r="751" spans="1:18">
      <c r="B751" s="253" t="s">
        <v>7632</v>
      </c>
      <c r="C751" s="2" t="s">
        <v>18</v>
      </c>
      <c r="D751" s="2" t="s">
        <v>803</v>
      </c>
      <c r="E751" s="3">
        <v>100</v>
      </c>
      <c r="F751" s="3">
        <v>13</v>
      </c>
      <c r="G751" s="4">
        <v>43682</v>
      </c>
    </row>
    <row r="752" spans="1:18">
      <c r="C752" s="2" t="s">
        <v>7</v>
      </c>
      <c r="D752" s="2" t="s">
        <v>803</v>
      </c>
      <c r="E752" s="3">
        <v>18</v>
      </c>
      <c r="F752" s="3">
        <v>3</v>
      </c>
      <c r="G752" s="4">
        <v>43319</v>
      </c>
    </row>
    <row r="753" spans="3:10">
      <c r="C753" s="2" t="s">
        <v>5</v>
      </c>
      <c r="D753" s="2" t="s">
        <v>803</v>
      </c>
      <c r="E753" s="3">
        <v>4.5</v>
      </c>
      <c r="F753" s="3">
        <f>E753/3</f>
        <v>1.5</v>
      </c>
      <c r="G753" s="4">
        <v>42878</v>
      </c>
    </row>
    <row r="754" spans="3:10">
      <c r="C754" s="2" t="s">
        <v>4</v>
      </c>
      <c r="D754" s="2" t="s">
        <v>877</v>
      </c>
      <c r="E754" s="3">
        <v>3.3</v>
      </c>
      <c r="F754" s="3">
        <v>0.5</v>
      </c>
      <c r="G754" s="4">
        <v>44026</v>
      </c>
    </row>
    <row r="755" spans="3:10">
      <c r="C755" s="2" t="s">
        <v>5</v>
      </c>
      <c r="D755" s="2" t="s">
        <v>483</v>
      </c>
      <c r="E755" s="3">
        <v>13</v>
      </c>
      <c r="F755" s="3">
        <v>1.4</v>
      </c>
      <c r="G755" s="4">
        <v>44516</v>
      </c>
    </row>
    <row r="756" spans="3:10">
      <c r="C756" s="2" t="s">
        <v>7</v>
      </c>
      <c r="D756" s="2" t="s">
        <v>446</v>
      </c>
      <c r="E756" s="3">
        <v>30</v>
      </c>
      <c r="F756" s="3">
        <v>5</v>
      </c>
      <c r="G756" s="4">
        <v>44756</v>
      </c>
    </row>
    <row r="757" spans="3:10">
      <c r="C757" s="2" t="s">
        <v>5</v>
      </c>
      <c r="D757" s="2" t="s">
        <v>446</v>
      </c>
      <c r="E757" s="3">
        <v>28</v>
      </c>
      <c r="F757" s="3">
        <v>13</v>
      </c>
      <c r="G757" s="4">
        <v>44624</v>
      </c>
    </row>
    <row r="758" spans="3:10">
      <c r="C758" s="2" t="s">
        <v>18</v>
      </c>
      <c r="D758" s="2" t="s">
        <v>403</v>
      </c>
      <c r="E758" s="3">
        <v>90</v>
      </c>
      <c r="F758" s="3">
        <v>30</v>
      </c>
      <c r="G758" s="4">
        <v>45090</v>
      </c>
    </row>
    <row r="759" spans="3:10">
      <c r="C759" s="2" t="s">
        <v>18</v>
      </c>
      <c r="D759" s="2" t="s">
        <v>374</v>
      </c>
      <c r="E759" s="3">
        <v>130</v>
      </c>
      <c r="F759" s="3">
        <f>100/7</f>
        <v>14.285714285714286</v>
      </c>
      <c r="G759" s="4">
        <v>44323</v>
      </c>
    </row>
    <row r="760" spans="3:10">
      <c r="C760" s="2" t="s">
        <v>7</v>
      </c>
      <c r="D760" s="2" t="s">
        <v>374</v>
      </c>
      <c r="E760" s="3">
        <v>44</v>
      </c>
      <c r="F760" s="3">
        <v>14</v>
      </c>
      <c r="G760" s="4">
        <v>43909</v>
      </c>
    </row>
    <row r="761" spans="3:10">
      <c r="C761" s="2" t="s">
        <v>5</v>
      </c>
      <c r="D761" s="2" t="s">
        <v>148</v>
      </c>
      <c r="E761" s="3">
        <v>3</v>
      </c>
      <c r="F761" s="6" t="s">
        <v>1051</v>
      </c>
      <c r="G761" s="4">
        <v>41879</v>
      </c>
      <c r="I761" s="1">
        <v>11</v>
      </c>
    </row>
    <row r="762" spans="3:10">
      <c r="C762" s="2" t="s">
        <v>7</v>
      </c>
      <c r="D762" s="2" t="s">
        <v>39</v>
      </c>
      <c r="E762" s="3">
        <v>42</v>
      </c>
      <c r="F762" s="6">
        <v>7</v>
      </c>
      <c r="G762" s="4">
        <v>43144</v>
      </c>
      <c r="J762" s="1">
        <v>2000</v>
      </c>
    </row>
    <row r="763" spans="3:10">
      <c r="C763" s="2" t="s">
        <v>5</v>
      </c>
      <c r="D763" s="2" t="s">
        <v>39</v>
      </c>
      <c r="E763" s="3">
        <v>25</v>
      </c>
      <c r="F763" s="6">
        <v>5</v>
      </c>
      <c r="G763" s="4">
        <v>42374</v>
      </c>
      <c r="J763" s="1">
        <v>2000</v>
      </c>
    </row>
    <row r="764" spans="3:10">
      <c r="C764" s="2" t="s">
        <v>4</v>
      </c>
      <c r="D764" s="2" t="s">
        <v>39</v>
      </c>
      <c r="E764" s="3">
        <v>3</v>
      </c>
      <c r="F764" s="6">
        <v>1</v>
      </c>
      <c r="G764" s="4">
        <v>42019</v>
      </c>
      <c r="J764" s="1">
        <v>2000</v>
      </c>
    </row>
    <row r="765" spans="3:10">
      <c r="C765" s="2" t="s">
        <v>8</v>
      </c>
      <c r="D765" s="2" t="s">
        <v>15</v>
      </c>
      <c r="E765" s="3">
        <v>220</v>
      </c>
      <c r="F765" s="6">
        <v>30</v>
      </c>
      <c r="G765" s="4">
        <v>44502</v>
      </c>
      <c r="I765" s="1">
        <v>794</v>
      </c>
      <c r="J765" s="1">
        <v>794</v>
      </c>
    </row>
    <row r="766" spans="3:10">
      <c r="C766" s="2" t="s">
        <v>8</v>
      </c>
      <c r="D766" s="2" t="s">
        <v>15</v>
      </c>
      <c r="E766" s="3">
        <v>220</v>
      </c>
      <c r="F766" s="6">
        <v>27</v>
      </c>
      <c r="G766" s="4">
        <v>44322</v>
      </c>
      <c r="I766" s="1">
        <v>780</v>
      </c>
      <c r="J766" s="1">
        <v>780</v>
      </c>
    </row>
    <row r="767" spans="3:10">
      <c r="C767" s="2" t="s">
        <v>18</v>
      </c>
      <c r="D767" s="2" t="s">
        <v>15</v>
      </c>
      <c r="E767" s="3">
        <v>60</v>
      </c>
      <c r="F767" s="6">
        <v>10</v>
      </c>
      <c r="G767" s="4">
        <v>43528</v>
      </c>
    </row>
    <row r="768" spans="3:10">
      <c r="C768" s="2" t="s">
        <v>7</v>
      </c>
      <c r="D768" s="2" t="s">
        <v>15</v>
      </c>
      <c r="E768" s="3">
        <v>28</v>
      </c>
      <c r="F768" s="6">
        <v>10</v>
      </c>
      <c r="G768" s="4">
        <v>43031</v>
      </c>
    </row>
    <row r="769" spans="1:18">
      <c r="C769" s="2" t="s">
        <v>5</v>
      </c>
      <c r="D769" s="2" t="s">
        <v>15</v>
      </c>
      <c r="E769" s="3">
        <v>10</v>
      </c>
      <c r="F769" s="6">
        <v>4</v>
      </c>
      <c r="G769" s="4">
        <v>42508</v>
      </c>
    </row>
    <row r="770" spans="1:18">
      <c r="C770" s="2" t="s">
        <v>4</v>
      </c>
      <c r="D770" s="2" t="s">
        <v>15</v>
      </c>
      <c r="E770" s="3">
        <v>1.8</v>
      </c>
      <c r="F770" s="6">
        <v>0.4</v>
      </c>
      <c r="G770" s="4">
        <v>41976</v>
      </c>
    </row>
    <row r="771" spans="1:18">
      <c r="G771" s="4"/>
    </row>
    <row r="772" spans="1:18" s="12" customFormat="1">
      <c r="A772" s="12">
        <v>39</v>
      </c>
      <c r="B772" s="12" t="s">
        <v>1113</v>
      </c>
      <c r="C772" s="13" t="s">
        <v>969</v>
      </c>
      <c r="D772" s="13" t="s">
        <v>968</v>
      </c>
      <c r="E772" s="15"/>
      <c r="F772" s="15">
        <f>SUM(F773:F777)</f>
        <v>185</v>
      </c>
      <c r="G772" s="14">
        <f>G773</f>
        <v>44608</v>
      </c>
      <c r="K772" s="12">
        <v>2014</v>
      </c>
    </row>
    <row r="773" spans="1:18">
      <c r="C773" s="2" t="s">
        <v>9</v>
      </c>
      <c r="D773" s="2" t="s">
        <v>386</v>
      </c>
      <c r="E773" s="3">
        <v>400</v>
      </c>
      <c r="F773" s="3">
        <v>100</v>
      </c>
      <c r="G773" s="4">
        <v>44608</v>
      </c>
      <c r="M773" s="1"/>
      <c r="N773" s="1"/>
      <c r="O773" s="1"/>
      <c r="P773" s="1"/>
      <c r="Q773" s="1"/>
      <c r="R773" s="1"/>
    </row>
    <row r="774" spans="1:18">
      <c r="C774" s="2" t="s">
        <v>8</v>
      </c>
      <c r="D774" s="2" t="s">
        <v>386</v>
      </c>
      <c r="E774" s="3">
        <v>140</v>
      </c>
      <c r="F774" s="3">
        <v>10</v>
      </c>
      <c r="G774" s="4">
        <v>44286</v>
      </c>
      <c r="M774" s="1"/>
      <c r="N774" s="1"/>
      <c r="O774" s="1"/>
      <c r="P774" s="1"/>
      <c r="Q774" s="1"/>
      <c r="R774" s="1"/>
    </row>
    <row r="775" spans="1:18">
      <c r="C775" s="2" t="s">
        <v>18</v>
      </c>
      <c r="D775" s="2" t="s">
        <v>386</v>
      </c>
      <c r="E775" s="3">
        <v>110</v>
      </c>
      <c r="F775" s="3">
        <v>40</v>
      </c>
      <c r="G775" s="4">
        <v>43690</v>
      </c>
      <c r="M775" s="1"/>
      <c r="N775" s="1"/>
      <c r="O775" s="1"/>
      <c r="P775" s="1"/>
      <c r="Q775" s="1"/>
      <c r="R775" s="1"/>
    </row>
    <row r="776" spans="1:18">
      <c r="C776" s="2" t="s">
        <v>53</v>
      </c>
      <c r="D776" s="2" t="s">
        <v>47</v>
      </c>
      <c r="E776" s="3">
        <v>100</v>
      </c>
      <c r="F776" s="3">
        <v>25</v>
      </c>
      <c r="G776" s="4">
        <v>44515</v>
      </c>
      <c r="I776" s="1">
        <v>4100</v>
      </c>
      <c r="J776" s="1">
        <v>4100</v>
      </c>
      <c r="M776" s="1"/>
      <c r="N776" s="1"/>
      <c r="O776" s="1"/>
      <c r="P776" s="1"/>
      <c r="Q776" s="1"/>
      <c r="R776" s="1"/>
    </row>
    <row r="777" spans="1:18">
      <c r="C777" s="153" t="s">
        <v>7</v>
      </c>
      <c r="D777" s="153" t="s">
        <v>2037</v>
      </c>
      <c r="E777" s="3">
        <v>30</v>
      </c>
      <c r="F777" s="3">
        <v>10</v>
      </c>
      <c r="G777" s="4">
        <v>44881</v>
      </c>
      <c r="M777" s="1"/>
      <c r="N777" s="1"/>
      <c r="O777" s="1"/>
      <c r="P777" s="1"/>
      <c r="Q777" s="1"/>
      <c r="R777" s="1"/>
    </row>
    <row r="778" spans="1:18">
      <c r="G778" s="4"/>
      <c r="M778" s="1"/>
      <c r="N778" s="1"/>
      <c r="O778" s="1"/>
      <c r="P778" s="1"/>
      <c r="Q778" s="1"/>
      <c r="R778" s="1"/>
    </row>
    <row r="779" spans="1:18" s="12" customFormat="1">
      <c r="B779" s="12" t="s">
        <v>175</v>
      </c>
      <c r="C779" s="13" t="s">
        <v>969</v>
      </c>
      <c r="D779" s="13" t="s">
        <v>968</v>
      </c>
      <c r="E779" s="15"/>
      <c r="F779" s="15">
        <f>SUM(F780:F783)</f>
        <v>179.83809523809524</v>
      </c>
      <c r="G779" s="14">
        <f>G783</f>
        <v>45183</v>
      </c>
      <c r="M779" s="13"/>
      <c r="N779" s="13"/>
      <c r="O779" s="13"/>
      <c r="P779" s="13"/>
      <c r="Q779" s="13"/>
      <c r="R779" s="13"/>
    </row>
    <row r="780" spans="1:18">
      <c r="B780" s="254" t="s">
        <v>7633</v>
      </c>
      <c r="C780" s="2" t="s">
        <v>18</v>
      </c>
      <c r="D780" s="2" t="s">
        <v>161</v>
      </c>
      <c r="E780" s="3">
        <v>100</v>
      </c>
      <c r="F780" s="3">
        <v>30</v>
      </c>
      <c r="G780" s="4">
        <v>44235</v>
      </c>
      <c r="I780" s="1">
        <v>5200</v>
      </c>
      <c r="J780" s="1">
        <v>8400</v>
      </c>
    </row>
    <row r="781" spans="1:18">
      <c r="C781" s="2" t="s">
        <v>18</v>
      </c>
      <c r="D781" s="2" t="s">
        <v>161</v>
      </c>
      <c r="E781" s="3">
        <v>267</v>
      </c>
      <c r="F781" s="3">
        <v>100</v>
      </c>
      <c r="G781" s="4">
        <v>44140</v>
      </c>
      <c r="I781" s="1">
        <v>5000</v>
      </c>
      <c r="J781" s="1">
        <v>8400</v>
      </c>
    </row>
    <row r="782" spans="1:18">
      <c r="C782" s="2" t="s">
        <v>9</v>
      </c>
      <c r="D782" s="2" t="s">
        <v>22</v>
      </c>
      <c r="E782" s="3">
        <v>222</v>
      </c>
      <c r="F782" s="3">
        <v>22</v>
      </c>
      <c r="G782" s="4">
        <v>44194</v>
      </c>
      <c r="I782" s="1">
        <v>2500</v>
      </c>
    </row>
    <row r="783" spans="1:18">
      <c r="C783" s="265" t="s">
        <v>7890</v>
      </c>
      <c r="D783" s="265" t="s">
        <v>1006</v>
      </c>
      <c r="E783" s="3">
        <f>684.6</f>
        <v>684.6</v>
      </c>
      <c r="F783" s="3">
        <f>584.6/21</f>
        <v>27.838095238095239</v>
      </c>
      <c r="G783" s="4">
        <v>45183</v>
      </c>
    </row>
    <row r="784" spans="1:18">
      <c r="G784" s="4"/>
    </row>
    <row r="785" spans="2:12">
      <c r="B785" s="12" t="s">
        <v>1096</v>
      </c>
      <c r="C785" s="13" t="s">
        <v>969</v>
      </c>
      <c r="D785" s="13" t="s">
        <v>968</v>
      </c>
      <c r="F785" s="15">
        <f>SUM(F786:F812)</f>
        <v>177.73531746031748</v>
      </c>
      <c r="G785" s="14">
        <f>+G812</f>
        <v>45209</v>
      </c>
    </row>
    <row r="786" spans="2:12">
      <c r="B786" s="254" t="s">
        <v>7799</v>
      </c>
      <c r="C786" s="2" t="s">
        <v>18</v>
      </c>
      <c r="D786" s="2" t="s">
        <v>926</v>
      </c>
      <c r="E786" s="3">
        <v>100</v>
      </c>
      <c r="F786" s="3">
        <v>20</v>
      </c>
      <c r="G786" s="4">
        <v>44690</v>
      </c>
      <c r="J786" s="1">
        <v>4300</v>
      </c>
      <c r="L786" s="396" t="s">
        <v>9724</v>
      </c>
    </row>
    <row r="787" spans="2:12">
      <c r="C787" s="2" t="s">
        <v>7</v>
      </c>
      <c r="D787" s="2" t="s">
        <v>926</v>
      </c>
      <c r="E787" s="3">
        <v>40</v>
      </c>
      <c r="F787" s="3">
        <v>20</v>
      </c>
      <c r="G787" s="4">
        <v>44327</v>
      </c>
      <c r="J787" s="1">
        <v>4300</v>
      </c>
    </row>
    <row r="788" spans="2:12">
      <c r="C788" s="2" t="s">
        <v>5</v>
      </c>
      <c r="D788" s="2" t="s">
        <v>926</v>
      </c>
      <c r="E788" s="3">
        <v>15</v>
      </c>
      <c r="F788" s="3">
        <v>5</v>
      </c>
      <c r="G788" s="4">
        <v>43816</v>
      </c>
      <c r="J788" s="1">
        <v>4300</v>
      </c>
    </row>
    <row r="789" spans="2:12">
      <c r="C789" s="2" t="s">
        <v>18</v>
      </c>
      <c r="D789" s="2" t="s">
        <v>957</v>
      </c>
      <c r="E789" s="3">
        <v>50</v>
      </c>
      <c r="F789" s="3">
        <v>6</v>
      </c>
      <c r="G789" s="4">
        <v>44900</v>
      </c>
      <c r="I789" s="1">
        <v>450</v>
      </c>
      <c r="J789" s="1">
        <v>1400</v>
      </c>
    </row>
    <row r="790" spans="2:12">
      <c r="C790" s="2" t="s">
        <v>7</v>
      </c>
      <c r="D790" s="2" t="s">
        <v>957</v>
      </c>
      <c r="E790" s="3">
        <v>35</v>
      </c>
      <c r="F790" s="3">
        <v>5</v>
      </c>
      <c r="G790" s="4">
        <v>44543</v>
      </c>
      <c r="J790" s="1">
        <v>1400</v>
      </c>
    </row>
    <row r="791" spans="2:12">
      <c r="C791" s="2" t="s">
        <v>5</v>
      </c>
      <c r="D791" s="2" t="s">
        <v>957</v>
      </c>
      <c r="E791" s="3">
        <v>8.5</v>
      </c>
      <c r="F791" s="3">
        <v>1</v>
      </c>
      <c r="G791" s="4">
        <v>44181</v>
      </c>
      <c r="J791" s="1">
        <v>1400</v>
      </c>
    </row>
    <row r="792" spans="2:12">
      <c r="C792" s="2" t="s">
        <v>4</v>
      </c>
      <c r="D792" s="2" t="s">
        <v>957</v>
      </c>
      <c r="E792" s="3">
        <v>2</v>
      </c>
      <c r="F792" s="3">
        <v>2</v>
      </c>
      <c r="G792" s="4">
        <v>43435</v>
      </c>
      <c r="J792" s="1">
        <v>1400</v>
      </c>
    </row>
    <row r="793" spans="2:12">
      <c r="C793" s="2" t="s">
        <v>5</v>
      </c>
      <c r="D793" s="2" t="s">
        <v>1005</v>
      </c>
      <c r="E793" s="3">
        <v>20</v>
      </c>
      <c r="F793" s="3">
        <v>4</v>
      </c>
      <c r="G793" s="4">
        <v>43949</v>
      </c>
    </row>
    <row r="794" spans="2:12">
      <c r="C794" s="2" t="s">
        <v>4</v>
      </c>
      <c r="D794" s="2" t="s">
        <v>1005</v>
      </c>
      <c r="E794" s="3">
        <v>5</v>
      </c>
      <c r="F794" s="3">
        <v>1</v>
      </c>
      <c r="G794" s="4">
        <v>43438</v>
      </c>
    </row>
    <row r="795" spans="2:12">
      <c r="C795" s="2" t="s">
        <v>4</v>
      </c>
      <c r="D795" s="2" t="s">
        <v>424</v>
      </c>
      <c r="E795" s="3">
        <v>7</v>
      </c>
      <c r="F795" s="3">
        <v>0.7142857142857143</v>
      </c>
      <c r="G795" s="4">
        <v>43046</v>
      </c>
    </row>
    <row r="796" spans="2:12">
      <c r="C796" s="2" t="s">
        <v>7</v>
      </c>
      <c r="D796" s="2" t="s">
        <v>525</v>
      </c>
      <c r="E796" s="3">
        <v>32</v>
      </c>
      <c r="F796" s="3">
        <f>20/7</f>
        <v>2.8571428571428572</v>
      </c>
      <c r="G796" s="4">
        <v>44364</v>
      </c>
    </row>
    <row r="797" spans="2:12">
      <c r="C797" s="2" t="s">
        <v>7</v>
      </c>
      <c r="D797" s="2" t="s">
        <v>525</v>
      </c>
      <c r="E797" s="3">
        <v>10.199999999999999</v>
      </c>
      <c r="F797" s="3">
        <v>3</v>
      </c>
      <c r="G797" s="4">
        <v>43732</v>
      </c>
    </row>
    <row r="798" spans="2:12">
      <c r="C798" s="2" t="s">
        <v>18</v>
      </c>
      <c r="D798" s="2" t="s">
        <v>310</v>
      </c>
      <c r="E798" s="3">
        <v>110</v>
      </c>
      <c r="F798" s="3">
        <f>70/5</f>
        <v>14</v>
      </c>
      <c r="G798" s="4">
        <v>44369</v>
      </c>
    </row>
    <row r="799" spans="2:12">
      <c r="C799" s="2" t="s">
        <v>7</v>
      </c>
      <c r="D799" s="2" t="s">
        <v>310</v>
      </c>
      <c r="E799" s="3">
        <v>40</v>
      </c>
      <c r="F799" s="3">
        <v>8</v>
      </c>
      <c r="G799" s="4">
        <v>43419</v>
      </c>
    </row>
    <row r="800" spans="2:12">
      <c r="C800" s="2" t="s">
        <v>5</v>
      </c>
      <c r="D800" s="2" t="s">
        <v>310</v>
      </c>
      <c r="E800" s="3">
        <v>14.7</v>
      </c>
      <c r="F800" s="3">
        <v>2.25</v>
      </c>
      <c r="G800" s="4">
        <v>43032</v>
      </c>
    </row>
    <row r="801" spans="2:11">
      <c r="C801" s="2" t="s">
        <v>8</v>
      </c>
      <c r="D801" s="2" t="s">
        <v>258</v>
      </c>
      <c r="E801" s="3">
        <v>111</v>
      </c>
      <c r="F801" s="3">
        <v>7</v>
      </c>
      <c r="G801" s="4">
        <v>44622</v>
      </c>
    </row>
    <row r="802" spans="2:11">
      <c r="C802" s="2" t="s">
        <v>18</v>
      </c>
      <c r="D802" s="2" t="s">
        <v>258</v>
      </c>
      <c r="E802" s="3">
        <v>55</v>
      </c>
      <c r="F802" s="3">
        <v>6</v>
      </c>
      <c r="G802" s="4">
        <v>44314</v>
      </c>
    </row>
    <row r="803" spans="2:11">
      <c r="C803" s="2" t="s">
        <v>7</v>
      </c>
      <c r="D803" s="2" t="s">
        <v>258</v>
      </c>
      <c r="E803" s="3">
        <v>16</v>
      </c>
      <c r="F803" s="3">
        <v>2</v>
      </c>
      <c r="G803" s="4">
        <v>44009</v>
      </c>
    </row>
    <row r="804" spans="2:11">
      <c r="C804" s="2" t="s">
        <v>5</v>
      </c>
      <c r="D804" s="2" t="s">
        <v>258</v>
      </c>
      <c r="E804" s="3">
        <v>14</v>
      </c>
      <c r="F804" s="3">
        <v>4</v>
      </c>
      <c r="G804" s="4">
        <v>43690</v>
      </c>
    </row>
    <row r="805" spans="2:11">
      <c r="C805" s="2" t="s">
        <v>4</v>
      </c>
      <c r="D805" s="2" t="s">
        <v>258</v>
      </c>
      <c r="E805" s="3">
        <v>3.5</v>
      </c>
      <c r="F805" s="3">
        <f>+E805/9</f>
        <v>0.3888888888888889</v>
      </c>
      <c r="G805" s="4">
        <v>42979</v>
      </c>
    </row>
    <row r="806" spans="2:11">
      <c r="C806" s="52" t="s">
        <v>8</v>
      </c>
      <c r="D806" s="52" t="s">
        <v>2116</v>
      </c>
      <c r="E806" s="3">
        <v>175</v>
      </c>
      <c r="F806" s="3">
        <f>75/4</f>
        <v>18.75</v>
      </c>
      <c r="G806" s="4">
        <v>44511</v>
      </c>
      <c r="I806" s="1">
        <v>3400</v>
      </c>
      <c r="J806" s="1">
        <v>3400</v>
      </c>
    </row>
    <row r="807" spans="2:11">
      <c r="C807" s="52" t="s">
        <v>18</v>
      </c>
      <c r="D807" s="52" t="s">
        <v>2116</v>
      </c>
      <c r="E807" s="3">
        <v>125</v>
      </c>
      <c r="F807" s="3">
        <v>35</v>
      </c>
      <c r="G807" s="4">
        <v>44126</v>
      </c>
      <c r="I807" s="1">
        <v>1100</v>
      </c>
      <c r="J807" s="1">
        <v>3400</v>
      </c>
    </row>
    <row r="808" spans="2:11">
      <c r="C808" s="52" t="s">
        <v>7</v>
      </c>
      <c r="D808" s="52" t="s">
        <v>2116</v>
      </c>
      <c r="E808" s="3">
        <v>40</v>
      </c>
      <c r="F808" s="3">
        <v>3</v>
      </c>
      <c r="G808" s="4">
        <v>43720</v>
      </c>
      <c r="J808" s="1">
        <v>3400</v>
      </c>
    </row>
    <row r="809" spans="2:11">
      <c r="C809" s="52" t="s">
        <v>5</v>
      </c>
      <c r="D809" s="52" t="s">
        <v>2116</v>
      </c>
      <c r="E809" s="3">
        <v>11.5</v>
      </c>
      <c r="F809" s="3">
        <f>5.5/4</f>
        <v>1.375</v>
      </c>
      <c r="G809" s="4">
        <v>43355</v>
      </c>
      <c r="J809" s="1">
        <v>3400</v>
      </c>
    </row>
    <row r="810" spans="2:11">
      <c r="C810" s="241" t="s">
        <v>4</v>
      </c>
      <c r="D810" s="241" t="s">
        <v>7584</v>
      </c>
      <c r="E810" s="3">
        <v>2.2000000000000002</v>
      </c>
      <c r="F810" s="3">
        <f>1.2/3</f>
        <v>0.39999999999999997</v>
      </c>
      <c r="G810" s="4">
        <v>43906</v>
      </c>
    </row>
    <row r="811" spans="2:11">
      <c r="C811" s="335" t="s">
        <v>4</v>
      </c>
      <c r="D811" s="335" t="s">
        <v>9429</v>
      </c>
      <c r="E811" s="3">
        <v>20</v>
      </c>
      <c r="F811" s="3">
        <v>4</v>
      </c>
      <c r="G811" s="4">
        <v>45061</v>
      </c>
    </row>
    <row r="812" spans="2:11">
      <c r="C812" s="398" t="s">
        <v>5</v>
      </c>
      <c r="D812" s="398" t="s">
        <v>9716</v>
      </c>
      <c r="E812" s="3">
        <v>16</v>
      </c>
      <c r="F812" s="3">
        <v>1</v>
      </c>
      <c r="G812" s="4">
        <v>45209</v>
      </c>
    </row>
    <row r="813" spans="2:11">
      <c r="C813" s="241"/>
      <c r="D813" s="241"/>
      <c r="G813" s="4"/>
    </row>
    <row r="814" spans="2:11">
      <c r="B814" s="12" t="s">
        <v>1112</v>
      </c>
      <c r="C814" s="13" t="s">
        <v>969</v>
      </c>
      <c r="D814" s="13" t="s">
        <v>968</v>
      </c>
      <c r="F814" s="15">
        <f>SUM(F815:F829)</f>
        <v>176.79545454545456</v>
      </c>
      <c r="G814" s="14">
        <f>G815</f>
        <v>45069</v>
      </c>
      <c r="I814" s="1">
        <v>5000</v>
      </c>
      <c r="J814" s="21">
        <f>+F814/I814</f>
        <v>3.5359090909090909E-2</v>
      </c>
      <c r="K814" s="1">
        <v>1976</v>
      </c>
    </row>
    <row r="815" spans="2:11">
      <c r="B815" s="253" t="s">
        <v>7632</v>
      </c>
      <c r="C815" s="2" t="s">
        <v>18</v>
      </c>
      <c r="D815" s="2" t="s">
        <v>964</v>
      </c>
      <c r="E815" s="3">
        <v>450</v>
      </c>
      <c r="F815" s="3">
        <f>300/5</f>
        <v>60</v>
      </c>
      <c r="G815" s="4">
        <v>45069</v>
      </c>
    </row>
    <row r="816" spans="2:11">
      <c r="C816" s="2" t="s">
        <v>7</v>
      </c>
      <c r="D816" s="2" t="s">
        <v>1086</v>
      </c>
      <c r="E816" s="3">
        <v>100</v>
      </c>
      <c r="F816" s="3">
        <v>5</v>
      </c>
      <c r="G816" s="4">
        <v>45042</v>
      </c>
    </row>
    <row r="817" spans="2:12">
      <c r="C817" s="2" t="s">
        <v>5</v>
      </c>
      <c r="D817" s="2" t="s">
        <v>1086</v>
      </c>
      <c r="E817" s="3">
        <v>28</v>
      </c>
      <c r="F817" s="3">
        <v>16</v>
      </c>
      <c r="G817" s="4">
        <v>44649</v>
      </c>
    </row>
    <row r="818" spans="2:12">
      <c r="C818" s="2" t="s">
        <v>5</v>
      </c>
      <c r="D818" s="2" t="s">
        <v>1063</v>
      </c>
      <c r="E818" s="3">
        <v>65</v>
      </c>
      <c r="F818" s="3">
        <v>10</v>
      </c>
      <c r="G818" s="4">
        <v>44984</v>
      </c>
    </row>
    <row r="819" spans="2:12">
      <c r="C819" s="2" t="s">
        <v>7</v>
      </c>
      <c r="D819" s="2" t="s">
        <v>860</v>
      </c>
      <c r="E819" s="3">
        <v>25</v>
      </c>
      <c r="F819" s="3">
        <v>7</v>
      </c>
      <c r="G819" s="4">
        <v>44636</v>
      </c>
    </row>
    <row r="820" spans="2:12">
      <c r="C820" s="2" t="s">
        <v>18</v>
      </c>
      <c r="D820" s="2" t="s">
        <v>1111</v>
      </c>
      <c r="E820" s="3">
        <v>125</v>
      </c>
      <c r="F820" s="3">
        <v>9</v>
      </c>
      <c r="G820" s="4">
        <v>44663</v>
      </c>
    </row>
    <row r="821" spans="2:12">
      <c r="C821" s="2" t="s">
        <v>7</v>
      </c>
      <c r="D821" s="2" t="s">
        <v>1111</v>
      </c>
      <c r="E821" s="3">
        <v>54</v>
      </c>
      <c r="F821" s="3">
        <v>14</v>
      </c>
      <c r="G821" s="4">
        <v>44089</v>
      </c>
    </row>
    <row r="822" spans="2:12">
      <c r="C822" s="2" t="s">
        <v>8</v>
      </c>
      <c r="D822" s="2" t="s">
        <v>448</v>
      </c>
      <c r="E822" s="3">
        <v>90</v>
      </c>
      <c r="F822" s="3">
        <f>50/11</f>
        <v>4.5454545454545459</v>
      </c>
      <c r="G822" s="4">
        <v>44776</v>
      </c>
    </row>
    <row r="823" spans="2:12">
      <c r="C823" s="2" t="s">
        <v>18</v>
      </c>
      <c r="D823" s="2" t="s">
        <v>448</v>
      </c>
      <c r="E823" s="3">
        <v>40</v>
      </c>
      <c r="F823" s="3">
        <v>3.75</v>
      </c>
      <c r="G823" s="4">
        <v>44176</v>
      </c>
    </row>
    <row r="824" spans="2:12">
      <c r="C824" s="2" t="s">
        <v>7</v>
      </c>
      <c r="D824" s="2" t="s">
        <v>448</v>
      </c>
      <c r="E824" s="3">
        <v>20</v>
      </c>
      <c r="F824" s="3">
        <f>15/5</f>
        <v>3</v>
      </c>
      <c r="G824" s="4">
        <v>43879</v>
      </c>
    </row>
    <row r="825" spans="2:12">
      <c r="C825" s="2" t="s">
        <v>8</v>
      </c>
      <c r="D825" s="2" t="s">
        <v>258</v>
      </c>
      <c r="E825" s="3">
        <v>111</v>
      </c>
      <c r="F825" s="3">
        <v>7</v>
      </c>
      <c r="G825" s="4">
        <v>44622</v>
      </c>
    </row>
    <row r="826" spans="2:12">
      <c r="C826" s="2" t="s">
        <v>18</v>
      </c>
      <c r="D826" s="2" t="s">
        <v>258</v>
      </c>
      <c r="E826" s="3">
        <v>55</v>
      </c>
      <c r="F826" s="3">
        <v>6</v>
      </c>
      <c r="G826" s="4">
        <v>44314</v>
      </c>
    </row>
    <row r="827" spans="2:12">
      <c r="C827" s="2" t="s">
        <v>7</v>
      </c>
      <c r="D827" s="2" t="s">
        <v>258</v>
      </c>
      <c r="E827" s="3">
        <v>16</v>
      </c>
      <c r="F827" s="3">
        <v>4</v>
      </c>
      <c r="G827" s="4">
        <v>44009</v>
      </c>
    </row>
    <row r="828" spans="2:12">
      <c r="C828" s="2" t="s">
        <v>7</v>
      </c>
      <c r="D828" s="2" t="s">
        <v>1063</v>
      </c>
      <c r="E828" s="3">
        <v>100</v>
      </c>
      <c r="F828" s="3">
        <v>15</v>
      </c>
      <c r="G828" s="4">
        <v>45106</v>
      </c>
    </row>
    <row r="829" spans="2:12">
      <c r="C829" s="168" t="s">
        <v>5</v>
      </c>
      <c r="D829" s="168" t="s">
        <v>2033</v>
      </c>
      <c r="E829" s="3">
        <v>25</v>
      </c>
      <c r="F829" s="3">
        <v>12.5</v>
      </c>
      <c r="G829" s="4">
        <v>44454</v>
      </c>
    </row>
    <row r="830" spans="2:12">
      <c r="G830" s="4"/>
    </row>
    <row r="831" spans="2:12">
      <c r="B831" s="12" t="s">
        <v>1105</v>
      </c>
      <c r="C831" s="13" t="s">
        <v>969</v>
      </c>
      <c r="D831" s="13" t="s">
        <v>968</v>
      </c>
      <c r="F831" s="15">
        <f>SUM(F832:F860)</f>
        <v>172.375</v>
      </c>
      <c r="G831" s="14">
        <f>+G859</f>
        <v>45209</v>
      </c>
      <c r="I831" s="1">
        <v>700</v>
      </c>
      <c r="K831" s="19">
        <f>(F832+F840+F841)/I831</f>
        <v>2.5714285714285714E-2</v>
      </c>
      <c r="L831" s="1">
        <v>2022</v>
      </c>
    </row>
    <row r="832" spans="2:12">
      <c r="B832" s="253" t="s">
        <v>7632</v>
      </c>
      <c r="C832" s="2" t="s">
        <v>18</v>
      </c>
      <c r="D832" s="2" t="s">
        <v>957</v>
      </c>
      <c r="E832" s="3">
        <v>50</v>
      </c>
      <c r="F832" s="3">
        <v>6</v>
      </c>
      <c r="G832" s="4">
        <v>44900</v>
      </c>
      <c r="I832" s="1">
        <v>450</v>
      </c>
      <c r="J832" s="1">
        <v>1400</v>
      </c>
      <c r="K832" s="19">
        <f>+F831/I832</f>
        <v>0.38305555555555554</v>
      </c>
      <c r="L832" s="1">
        <v>2012</v>
      </c>
    </row>
    <row r="833" spans="3:10">
      <c r="C833" s="2" t="s">
        <v>7</v>
      </c>
      <c r="D833" s="2" t="s">
        <v>957</v>
      </c>
      <c r="E833" s="3">
        <v>35</v>
      </c>
      <c r="F833" s="3">
        <v>5</v>
      </c>
      <c r="G833" s="4">
        <v>44543</v>
      </c>
      <c r="J833" s="1">
        <v>1400</v>
      </c>
    </row>
    <row r="834" spans="3:10">
      <c r="C834" s="2" t="s">
        <v>5</v>
      </c>
      <c r="D834" s="2" t="s">
        <v>957</v>
      </c>
      <c r="E834" s="3">
        <v>8.5</v>
      </c>
      <c r="F834" s="3">
        <v>5</v>
      </c>
      <c r="G834" s="4">
        <v>44181</v>
      </c>
      <c r="J834" s="1">
        <v>1400</v>
      </c>
    </row>
    <row r="835" spans="3:10">
      <c r="C835" s="2" t="s">
        <v>18</v>
      </c>
      <c r="D835" s="2" t="s">
        <v>1064</v>
      </c>
      <c r="E835" s="3">
        <v>85</v>
      </c>
      <c r="F835" s="3">
        <v>10</v>
      </c>
      <c r="G835" s="4">
        <v>44501</v>
      </c>
    </row>
    <row r="836" spans="3:10">
      <c r="C836" s="2" t="s">
        <v>7</v>
      </c>
      <c r="D836" s="2" t="s">
        <v>1064</v>
      </c>
      <c r="E836" s="3">
        <v>28</v>
      </c>
      <c r="F836" s="3">
        <v>5</v>
      </c>
      <c r="G836" s="4">
        <v>44272</v>
      </c>
    </row>
    <row r="837" spans="3:10">
      <c r="C837" s="2" t="s">
        <v>5</v>
      </c>
      <c r="D837" s="2" t="s">
        <v>1064</v>
      </c>
      <c r="E837" s="3">
        <v>15</v>
      </c>
      <c r="F837" s="3">
        <v>10</v>
      </c>
      <c r="G837" s="4">
        <v>43924</v>
      </c>
    </row>
    <row r="838" spans="3:10">
      <c r="C838" s="2" t="s">
        <v>4</v>
      </c>
      <c r="D838" s="2" t="s">
        <v>1064</v>
      </c>
      <c r="E838" s="3">
        <v>2.9</v>
      </c>
      <c r="F838" s="3">
        <v>1</v>
      </c>
      <c r="G838" s="4">
        <v>43761</v>
      </c>
    </row>
    <row r="839" spans="3:10">
      <c r="C839" s="2" t="s">
        <v>5</v>
      </c>
      <c r="D839" s="2" t="s">
        <v>832</v>
      </c>
      <c r="E839" s="3">
        <v>20</v>
      </c>
      <c r="F839" s="3">
        <v>2</v>
      </c>
      <c r="G839" s="4">
        <v>43816</v>
      </c>
    </row>
    <row r="840" spans="3:10">
      <c r="C840" s="2" t="s">
        <v>5</v>
      </c>
      <c r="D840" s="2" t="s">
        <v>994</v>
      </c>
      <c r="E840" s="3">
        <v>23</v>
      </c>
      <c r="F840" s="3">
        <v>5</v>
      </c>
      <c r="G840" s="4">
        <v>44963</v>
      </c>
    </row>
    <row r="841" spans="3:10">
      <c r="C841" s="2" t="s">
        <v>18</v>
      </c>
      <c r="D841" s="2" t="s">
        <v>424</v>
      </c>
      <c r="E841" s="3">
        <v>75</v>
      </c>
      <c r="F841" s="3">
        <v>7</v>
      </c>
      <c r="G841" s="4">
        <v>45020</v>
      </c>
    </row>
    <row r="842" spans="3:10">
      <c r="C842" s="2" t="s">
        <v>18</v>
      </c>
      <c r="D842" s="2" t="s">
        <v>424</v>
      </c>
      <c r="E842" s="3">
        <v>80</v>
      </c>
      <c r="F842" s="3">
        <v>10</v>
      </c>
      <c r="G842" s="4">
        <v>44404</v>
      </c>
    </row>
    <row r="843" spans="3:10">
      <c r="C843" s="2" t="s">
        <v>7</v>
      </c>
      <c r="D843" s="2" t="s">
        <v>424</v>
      </c>
      <c r="E843" s="3">
        <v>40</v>
      </c>
      <c r="F843" s="3">
        <v>10</v>
      </c>
      <c r="G843" s="4">
        <v>43957</v>
      </c>
    </row>
    <row r="844" spans="3:10">
      <c r="C844" s="2" t="s">
        <v>5</v>
      </c>
      <c r="D844" s="2" t="s">
        <v>424</v>
      </c>
      <c r="E844" s="3">
        <v>20</v>
      </c>
      <c r="F844" s="3">
        <v>20</v>
      </c>
      <c r="G844" s="4">
        <v>43480</v>
      </c>
    </row>
    <row r="845" spans="3:10">
      <c r="C845" s="2" t="s">
        <v>4</v>
      </c>
      <c r="D845" s="2" t="s">
        <v>424</v>
      </c>
      <c r="E845" s="3">
        <v>7</v>
      </c>
      <c r="F845" s="3">
        <v>2</v>
      </c>
      <c r="G845" s="4">
        <v>43046</v>
      </c>
    </row>
    <row r="846" spans="3:10">
      <c r="C846" s="2" t="s">
        <v>7</v>
      </c>
      <c r="D846" s="2" t="s">
        <v>1072</v>
      </c>
      <c r="E846" s="3">
        <v>37</v>
      </c>
      <c r="F846" s="3">
        <v>4</v>
      </c>
      <c r="G846" s="4">
        <v>44860</v>
      </c>
    </row>
    <row r="847" spans="3:10">
      <c r="C847" s="2" t="s">
        <v>7</v>
      </c>
      <c r="D847" s="2" t="s">
        <v>1072</v>
      </c>
      <c r="E847" s="3">
        <v>80</v>
      </c>
      <c r="F847" s="3">
        <v>10</v>
      </c>
      <c r="G847" s="4">
        <v>44327</v>
      </c>
    </row>
    <row r="848" spans="3:10">
      <c r="C848" s="2" t="s">
        <v>5</v>
      </c>
      <c r="D848" s="2" t="s">
        <v>1072</v>
      </c>
      <c r="E848" s="3">
        <v>30</v>
      </c>
      <c r="F848" s="3">
        <v>7</v>
      </c>
      <c r="G848" s="4">
        <v>43963</v>
      </c>
    </row>
    <row r="849" spans="2:18">
      <c r="C849" s="2" t="s">
        <v>18</v>
      </c>
      <c r="D849" s="2" t="s">
        <v>310</v>
      </c>
      <c r="E849" s="3">
        <v>110</v>
      </c>
      <c r="F849" s="3">
        <f>70/5</f>
        <v>14</v>
      </c>
      <c r="G849" s="4">
        <v>44369</v>
      </c>
    </row>
    <row r="850" spans="2:18">
      <c r="C850" s="2" t="s">
        <v>7</v>
      </c>
      <c r="D850" s="2" t="s">
        <v>310</v>
      </c>
      <c r="E850" s="3">
        <v>40</v>
      </c>
      <c r="F850" s="3">
        <v>4</v>
      </c>
      <c r="G850" s="4">
        <v>43419</v>
      </c>
    </row>
    <row r="851" spans="2:18">
      <c r="C851" s="2" t="s">
        <v>5</v>
      </c>
      <c r="D851" s="2" t="s">
        <v>310</v>
      </c>
      <c r="E851" s="3">
        <v>14.7</v>
      </c>
      <c r="F851" s="3">
        <v>2.25</v>
      </c>
      <c r="G851" s="4">
        <v>43032</v>
      </c>
    </row>
    <row r="852" spans="2:18">
      <c r="C852" s="2" t="s">
        <v>7</v>
      </c>
      <c r="D852" s="2" t="s">
        <v>95</v>
      </c>
      <c r="E852" s="3">
        <v>25</v>
      </c>
      <c r="F852" s="3">
        <v>3</v>
      </c>
      <c r="G852" s="4">
        <v>43783</v>
      </c>
    </row>
    <row r="853" spans="2:18">
      <c r="C853" s="2" t="s">
        <v>5</v>
      </c>
      <c r="D853" s="2" t="s">
        <v>95</v>
      </c>
      <c r="E853" s="3">
        <v>10</v>
      </c>
      <c r="F853" s="3">
        <v>2.5</v>
      </c>
      <c r="G853" s="4">
        <v>42304</v>
      </c>
    </row>
    <row r="854" spans="2:18">
      <c r="C854" s="2" t="s">
        <v>4</v>
      </c>
      <c r="D854" s="2" t="s">
        <v>95</v>
      </c>
      <c r="E854" s="3">
        <v>5</v>
      </c>
      <c r="F854" s="3">
        <f>E854/3</f>
        <v>1.6666666666666667</v>
      </c>
      <c r="G854" s="4">
        <v>41940</v>
      </c>
    </row>
    <row r="855" spans="2:18">
      <c r="C855" s="168" t="s">
        <v>5</v>
      </c>
      <c r="D855" s="168" t="s">
        <v>2031</v>
      </c>
      <c r="E855" s="3">
        <v>24</v>
      </c>
      <c r="F855" s="3">
        <v>12</v>
      </c>
      <c r="G855" s="4">
        <v>44719</v>
      </c>
    </row>
    <row r="856" spans="2:18">
      <c r="C856" s="177" t="s">
        <v>5</v>
      </c>
      <c r="D856" s="177" t="s">
        <v>2028</v>
      </c>
      <c r="E856" s="3">
        <v>18.5</v>
      </c>
      <c r="F856" s="3">
        <f>E856/4</f>
        <v>4.625</v>
      </c>
      <c r="G856" s="4">
        <v>44561</v>
      </c>
    </row>
    <row r="857" spans="2:18">
      <c r="C857" s="177" t="s">
        <v>4</v>
      </c>
      <c r="D857" s="177" t="s">
        <v>2028</v>
      </c>
      <c r="E857" s="3">
        <v>5.8</v>
      </c>
      <c r="F857" s="3">
        <f>E857/3</f>
        <v>1.9333333333333333</v>
      </c>
      <c r="G857" s="4">
        <v>44348</v>
      </c>
    </row>
    <row r="858" spans="2:18">
      <c r="C858" s="241" t="s">
        <v>278</v>
      </c>
      <c r="D858" s="241" t="s">
        <v>7584</v>
      </c>
      <c r="E858" s="3">
        <v>2.2000000000000002</v>
      </c>
      <c r="F858" s="3">
        <f>1.2/3</f>
        <v>0.39999999999999997</v>
      </c>
      <c r="G858" s="4">
        <v>43906</v>
      </c>
    </row>
    <row r="859" spans="2:18">
      <c r="C859" s="398" t="s">
        <v>5</v>
      </c>
      <c r="D859" s="398" t="s">
        <v>9716</v>
      </c>
      <c r="E859" s="3">
        <v>16</v>
      </c>
      <c r="F859" s="3">
        <v>1</v>
      </c>
      <c r="G859" s="4">
        <v>45209</v>
      </c>
    </row>
    <row r="860" spans="2:18">
      <c r="C860" s="398" t="s">
        <v>4</v>
      </c>
      <c r="D860" s="398" t="s">
        <v>9716</v>
      </c>
      <c r="E860" s="3">
        <v>7</v>
      </c>
      <c r="F860" s="3">
        <v>6</v>
      </c>
      <c r="G860" s="4">
        <v>44562</v>
      </c>
    </row>
    <row r="861" spans="2:18">
      <c r="G861" s="4"/>
    </row>
    <row r="862" spans="2:18" s="12" customFormat="1">
      <c r="B862" s="12" t="s">
        <v>239</v>
      </c>
      <c r="C862" s="13" t="s">
        <v>969</v>
      </c>
      <c r="D862" s="13" t="s">
        <v>968</v>
      </c>
      <c r="E862" s="15"/>
      <c r="F862" s="15">
        <f>SUM(F863:F864)</f>
        <v>170</v>
      </c>
      <c r="G862" s="14">
        <f>G863</f>
        <v>43040</v>
      </c>
      <c r="M862" s="13"/>
      <c r="N862" s="13"/>
      <c r="O862" s="13"/>
      <c r="P862" s="13"/>
      <c r="Q862" s="13"/>
      <c r="R862" s="13"/>
    </row>
    <row r="863" spans="2:18">
      <c r="C863" s="2" t="s">
        <v>18</v>
      </c>
      <c r="D863" s="2" t="s">
        <v>232</v>
      </c>
      <c r="E863" s="3">
        <v>460</v>
      </c>
      <c r="F863" s="3">
        <v>150</v>
      </c>
      <c r="G863" s="4">
        <v>43040</v>
      </c>
    </row>
    <row r="864" spans="2:18">
      <c r="C864" s="2" t="s">
        <v>18</v>
      </c>
      <c r="D864" s="2" t="s">
        <v>232</v>
      </c>
      <c r="E864" s="3">
        <v>100</v>
      </c>
      <c r="F864" s="3">
        <v>20</v>
      </c>
      <c r="G864" s="4">
        <v>42735</v>
      </c>
    </row>
    <row r="865" spans="2:18">
      <c r="G865" s="4"/>
    </row>
    <row r="866" spans="2:18" s="12" customFormat="1">
      <c r="B866" s="12" t="s">
        <v>1107</v>
      </c>
      <c r="C866" s="13" t="s">
        <v>969</v>
      </c>
      <c r="D866" s="13" t="s">
        <v>968</v>
      </c>
      <c r="E866" s="15"/>
      <c r="F866" s="15">
        <f>SUM(F867:F875)</f>
        <v>168.44285714285715</v>
      </c>
      <c r="G866" s="14">
        <f>G872</f>
        <v>44880</v>
      </c>
      <c r="M866" s="13"/>
      <c r="N866" s="13"/>
      <c r="O866" s="13"/>
      <c r="P866" s="13"/>
      <c r="Q866" s="13"/>
      <c r="R866" s="13"/>
    </row>
    <row r="867" spans="2:18">
      <c r="C867" s="2" t="s">
        <v>8</v>
      </c>
      <c r="D867" s="2" t="s">
        <v>208</v>
      </c>
      <c r="E867" s="3">
        <v>676</v>
      </c>
      <c r="F867" s="3">
        <f>500/7</f>
        <v>71.428571428571431</v>
      </c>
      <c r="G867" s="4">
        <v>44299</v>
      </c>
      <c r="I867" s="1">
        <v>4400</v>
      </c>
    </row>
    <row r="868" spans="2:18">
      <c r="C868" s="2" t="s">
        <v>18</v>
      </c>
      <c r="D868" s="2" t="s">
        <v>208</v>
      </c>
      <c r="E868" s="3">
        <v>250</v>
      </c>
      <c r="F868" s="3">
        <f>170/5</f>
        <v>34</v>
      </c>
      <c r="G868" s="4">
        <v>43886</v>
      </c>
      <c r="I868" s="1">
        <v>2300</v>
      </c>
    </row>
    <row r="869" spans="2:18">
      <c r="C869" s="2" t="s">
        <v>7</v>
      </c>
      <c r="D869" s="2" t="s">
        <v>208</v>
      </c>
      <c r="E869" s="3">
        <v>150</v>
      </c>
      <c r="F869" s="3">
        <v>20</v>
      </c>
      <c r="G869" s="4">
        <v>43556</v>
      </c>
    </row>
    <row r="870" spans="2:18">
      <c r="C870" s="2" t="s">
        <v>5</v>
      </c>
      <c r="D870" s="2" t="s">
        <v>208</v>
      </c>
      <c r="E870" s="3">
        <v>7.3</v>
      </c>
      <c r="F870" s="3">
        <v>7.3</v>
      </c>
      <c r="G870" s="4">
        <v>43327</v>
      </c>
    </row>
    <row r="871" spans="2:18">
      <c r="C871" s="2" t="s">
        <v>4</v>
      </c>
      <c r="D871" s="2" t="s">
        <v>208</v>
      </c>
      <c r="E871" s="3">
        <v>2</v>
      </c>
      <c r="F871" s="3">
        <v>2</v>
      </c>
      <c r="G871" s="4">
        <v>43047</v>
      </c>
    </row>
    <row r="872" spans="2:18">
      <c r="C872" s="2" t="s">
        <v>8</v>
      </c>
      <c r="D872" s="2" t="s">
        <v>131</v>
      </c>
      <c r="E872" s="3">
        <v>135</v>
      </c>
      <c r="F872" s="3">
        <v>8</v>
      </c>
      <c r="G872" s="4">
        <v>44880</v>
      </c>
      <c r="I872" s="1">
        <v>615</v>
      </c>
    </row>
    <row r="873" spans="2:18">
      <c r="C873" s="2" t="s">
        <v>7</v>
      </c>
      <c r="D873" s="2" t="s">
        <v>131</v>
      </c>
      <c r="E873" s="3">
        <v>10</v>
      </c>
      <c r="F873" s="3">
        <v>10</v>
      </c>
      <c r="G873" s="4">
        <v>42414</v>
      </c>
      <c r="J873" s="1">
        <v>615</v>
      </c>
    </row>
    <row r="874" spans="2:18">
      <c r="C874" s="55" t="s">
        <v>9</v>
      </c>
      <c r="D874" s="55" t="s">
        <v>2112</v>
      </c>
      <c r="E874" s="3">
        <v>100</v>
      </c>
      <c r="F874" s="3">
        <f>75/7</f>
        <v>10.714285714285714</v>
      </c>
      <c r="G874" s="4">
        <v>44507</v>
      </c>
      <c r="I874" s="1">
        <v>1600</v>
      </c>
      <c r="J874" s="1">
        <v>1600</v>
      </c>
    </row>
    <row r="875" spans="2:18">
      <c r="C875" s="55" t="s">
        <v>7</v>
      </c>
      <c r="D875" s="55" t="s">
        <v>2112</v>
      </c>
      <c r="E875" s="3">
        <v>5</v>
      </c>
      <c r="F875" s="3">
        <v>5</v>
      </c>
      <c r="G875" s="4">
        <v>42285</v>
      </c>
      <c r="J875" s="1">
        <v>1600</v>
      </c>
    </row>
    <row r="876" spans="2:18">
      <c r="G876" s="4"/>
    </row>
    <row r="877" spans="2:18" s="12" customFormat="1">
      <c r="B877" s="12" t="s">
        <v>1110</v>
      </c>
      <c r="C877" s="13" t="s">
        <v>969</v>
      </c>
      <c r="D877" s="13" t="s">
        <v>968</v>
      </c>
      <c r="E877" s="15"/>
      <c r="F877" s="15">
        <f>SUM(F878:F884)</f>
        <v>165.625</v>
      </c>
      <c r="G877" s="14">
        <f>G878</f>
        <v>44417</v>
      </c>
      <c r="M877" s="13"/>
      <c r="N877" s="13"/>
      <c r="O877" s="13"/>
      <c r="P877" s="13"/>
      <c r="Q877" s="13"/>
      <c r="R877" s="13"/>
    </row>
    <row r="878" spans="2:18">
      <c r="C878" s="2" t="s">
        <v>18</v>
      </c>
      <c r="D878" s="2" t="s">
        <v>877</v>
      </c>
      <c r="E878" s="3">
        <v>85</v>
      </c>
      <c r="F878" s="3">
        <f>45/8</f>
        <v>5.625</v>
      </c>
      <c r="G878" s="4">
        <v>44417</v>
      </c>
      <c r="H878" s="5"/>
    </row>
    <row r="879" spans="2:18">
      <c r="C879" s="2" t="s">
        <v>8</v>
      </c>
      <c r="D879" s="2" t="s">
        <v>208</v>
      </c>
      <c r="E879" s="3">
        <v>676</v>
      </c>
      <c r="F879" s="3">
        <v>71</v>
      </c>
      <c r="G879" s="4">
        <v>44299</v>
      </c>
      <c r="H879" s="5"/>
      <c r="I879" s="1">
        <v>4400</v>
      </c>
    </row>
    <row r="880" spans="2:18">
      <c r="C880" s="2" t="s">
        <v>18</v>
      </c>
      <c r="D880" s="2" t="s">
        <v>208</v>
      </c>
      <c r="E880" s="3">
        <v>250</v>
      </c>
      <c r="F880" s="3">
        <f>170/5</f>
        <v>34</v>
      </c>
      <c r="G880" s="4">
        <v>43886</v>
      </c>
      <c r="H880" s="5"/>
      <c r="I880" s="1">
        <v>2300</v>
      </c>
    </row>
    <row r="881" spans="2:18">
      <c r="C881" s="2" t="s">
        <v>7</v>
      </c>
      <c r="D881" s="2" t="s">
        <v>208</v>
      </c>
      <c r="E881" s="3">
        <v>150</v>
      </c>
      <c r="F881" s="3">
        <f>100/5</f>
        <v>20</v>
      </c>
      <c r="G881" s="4">
        <v>43556</v>
      </c>
      <c r="H881" s="5"/>
    </row>
    <row r="882" spans="2:18">
      <c r="C882" s="2" t="s">
        <v>5</v>
      </c>
      <c r="D882" s="2" t="s">
        <v>208</v>
      </c>
      <c r="E882" s="3">
        <v>56</v>
      </c>
      <c r="F882" s="3">
        <v>20</v>
      </c>
      <c r="G882" s="4">
        <v>43174</v>
      </c>
      <c r="H882" s="5"/>
    </row>
    <row r="883" spans="2:18">
      <c r="C883" s="2" t="s">
        <v>7</v>
      </c>
      <c r="D883" s="2" t="s">
        <v>131</v>
      </c>
      <c r="E883" s="3">
        <v>32</v>
      </c>
      <c r="F883" s="3">
        <v>12</v>
      </c>
      <c r="G883" s="4">
        <v>42528</v>
      </c>
      <c r="H883" s="5"/>
    </row>
    <row r="884" spans="2:18">
      <c r="C884" s="2" t="s">
        <v>5</v>
      </c>
      <c r="D884" s="2" t="s">
        <v>2025</v>
      </c>
      <c r="E884" s="3">
        <v>18</v>
      </c>
      <c r="F884" s="3">
        <v>3</v>
      </c>
      <c r="G884" s="4">
        <v>44866</v>
      </c>
      <c r="H884" s="5"/>
    </row>
    <row r="885" spans="2:18">
      <c r="G885" s="4"/>
      <c r="H885" s="5"/>
    </row>
    <row r="886" spans="2:18" s="12" customFormat="1">
      <c r="B886" s="12" t="s">
        <v>241</v>
      </c>
      <c r="C886" s="13" t="s">
        <v>969</v>
      </c>
      <c r="D886" s="13" t="s">
        <v>968</v>
      </c>
      <c r="E886" s="15"/>
      <c r="F886" s="15">
        <f>SUM(F887:F888)</f>
        <v>162.5</v>
      </c>
      <c r="G886" s="14">
        <f>G888</f>
        <v>44510</v>
      </c>
      <c r="M886" s="13"/>
      <c r="N886" s="13"/>
      <c r="O886" s="13"/>
      <c r="P886" s="13"/>
      <c r="Q886" s="13"/>
      <c r="R886" s="13"/>
    </row>
    <row r="887" spans="2:18">
      <c r="C887" s="2" t="s">
        <v>8</v>
      </c>
      <c r="D887" s="2" t="s">
        <v>232</v>
      </c>
      <c r="E887" s="3">
        <v>750</v>
      </c>
      <c r="F887" s="3">
        <f>450/4</f>
        <v>112.5</v>
      </c>
      <c r="G887" s="4">
        <v>43593</v>
      </c>
    </row>
    <row r="888" spans="2:18">
      <c r="C888" s="2" t="s">
        <v>53</v>
      </c>
      <c r="D888" s="2" t="s">
        <v>240</v>
      </c>
      <c r="E888" s="3">
        <v>250</v>
      </c>
      <c r="F888" s="3">
        <v>50</v>
      </c>
      <c r="G888" s="4">
        <v>44510</v>
      </c>
    </row>
    <row r="889" spans="2:18">
      <c r="G889" s="4"/>
    </row>
    <row r="890" spans="2:18" s="12" customFormat="1">
      <c r="B890" s="12" t="s">
        <v>1104</v>
      </c>
      <c r="C890" s="13" t="s">
        <v>969</v>
      </c>
      <c r="D890" s="13" t="s">
        <v>968</v>
      </c>
      <c r="E890" s="15"/>
      <c r="F890" s="15">
        <f>SUM(F891:F898)</f>
        <v>160.66666666666666</v>
      </c>
      <c r="G890" s="14">
        <f>G891</f>
        <v>44378</v>
      </c>
      <c r="M890" s="13"/>
      <c r="N890" s="13"/>
      <c r="O890" s="13"/>
      <c r="P890" s="13"/>
      <c r="Q890" s="13"/>
      <c r="R890" s="13"/>
    </row>
    <row r="891" spans="2:18">
      <c r="C891" s="2" t="s">
        <v>5</v>
      </c>
      <c r="D891" s="2" t="s">
        <v>864</v>
      </c>
      <c r="E891" s="3">
        <v>10</v>
      </c>
      <c r="F891" s="3">
        <v>3</v>
      </c>
      <c r="G891" s="4">
        <v>44378</v>
      </c>
    </row>
    <row r="892" spans="2:18">
      <c r="C892" s="2" t="s">
        <v>8</v>
      </c>
      <c r="D892" s="2" t="s">
        <v>211</v>
      </c>
      <c r="E892" s="3">
        <v>700</v>
      </c>
      <c r="F892" s="3">
        <f>400/12</f>
        <v>33.333333333333336</v>
      </c>
      <c r="G892" s="4">
        <v>44218</v>
      </c>
    </row>
    <row r="893" spans="2:18">
      <c r="C893" s="2" t="s">
        <v>18</v>
      </c>
      <c r="D893" s="2" t="s">
        <v>211</v>
      </c>
      <c r="E893" s="3">
        <v>140</v>
      </c>
      <c r="F893" s="3">
        <f>E893/9</f>
        <v>15.555555555555555</v>
      </c>
      <c r="G893" s="4">
        <v>43453</v>
      </c>
    </row>
    <row r="894" spans="2:18">
      <c r="C894" s="2" t="s">
        <v>7</v>
      </c>
      <c r="D894" s="2" t="s">
        <v>161</v>
      </c>
      <c r="E894" s="3">
        <v>462</v>
      </c>
      <c r="F894" s="3">
        <f>162/2</f>
        <v>81</v>
      </c>
      <c r="G894" s="4">
        <v>43886</v>
      </c>
      <c r="I894" s="1">
        <v>2500</v>
      </c>
      <c r="J894" s="1">
        <v>8400</v>
      </c>
    </row>
    <row r="895" spans="2:18">
      <c r="C895" s="2" t="s">
        <v>5</v>
      </c>
      <c r="D895" s="2" t="s">
        <v>161</v>
      </c>
      <c r="E895" s="3">
        <v>102</v>
      </c>
      <c r="F895" s="3">
        <f>70/9</f>
        <v>7.7777777777777777</v>
      </c>
      <c r="G895" s="4">
        <v>43292</v>
      </c>
      <c r="J895" s="1">
        <v>8400</v>
      </c>
    </row>
    <row r="896" spans="2:18">
      <c r="C896" s="2" t="s">
        <v>9</v>
      </c>
      <c r="D896" s="2" t="s">
        <v>148</v>
      </c>
      <c r="E896" s="3">
        <v>300</v>
      </c>
      <c r="F896" s="6" t="s">
        <v>1047</v>
      </c>
      <c r="G896" s="4">
        <v>44271</v>
      </c>
    </row>
    <row r="897" spans="2:18">
      <c r="C897" s="2" t="s">
        <v>8</v>
      </c>
      <c r="D897" s="2" t="s">
        <v>148</v>
      </c>
      <c r="E897" s="3">
        <v>38</v>
      </c>
      <c r="F897" s="6" t="s">
        <v>1046</v>
      </c>
      <c r="G897" s="4">
        <v>43266</v>
      </c>
    </row>
    <row r="898" spans="2:18">
      <c r="C898" s="2" t="s">
        <v>8</v>
      </c>
      <c r="D898" s="2" t="s">
        <v>2134</v>
      </c>
      <c r="E898" s="3">
        <v>220</v>
      </c>
      <c r="F898" s="6">
        <v>20</v>
      </c>
      <c r="G898" s="4">
        <v>44287</v>
      </c>
    </row>
    <row r="899" spans="2:18">
      <c r="G899" s="4"/>
    </row>
    <row r="900" spans="2:18" s="12" customFormat="1">
      <c r="B900" s="12" t="s">
        <v>1109</v>
      </c>
      <c r="C900" s="13" t="s">
        <v>969</v>
      </c>
      <c r="D900" s="13" t="s">
        <v>968</v>
      </c>
      <c r="E900" s="15"/>
      <c r="F900" s="15">
        <f>SUM(F901:F906)</f>
        <v>160.33333333333334</v>
      </c>
      <c r="G900" s="14">
        <f>G905</f>
        <v>44271</v>
      </c>
      <c r="M900" s="13"/>
      <c r="N900" s="13"/>
      <c r="O900" s="13"/>
      <c r="P900" s="13"/>
      <c r="Q900" s="13"/>
      <c r="R900" s="13"/>
    </row>
    <row r="901" spans="2:18">
      <c r="C901" s="2" t="s">
        <v>7</v>
      </c>
      <c r="D901" s="2" t="s">
        <v>245</v>
      </c>
      <c r="E901" s="3">
        <v>100</v>
      </c>
      <c r="F901" s="3">
        <v>25</v>
      </c>
      <c r="G901" s="4">
        <v>42576</v>
      </c>
    </row>
    <row r="902" spans="2:18">
      <c r="C902" s="2" t="s">
        <v>8</v>
      </c>
      <c r="D902" s="2" t="s">
        <v>211</v>
      </c>
      <c r="E902" s="3">
        <v>700</v>
      </c>
      <c r="F902" s="3">
        <v>33</v>
      </c>
      <c r="G902" s="4">
        <v>44218</v>
      </c>
    </row>
    <row r="903" spans="2:18">
      <c r="C903" s="2" t="s">
        <v>18</v>
      </c>
      <c r="D903" s="2" t="s">
        <v>211</v>
      </c>
      <c r="E903" s="3">
        <v>230</v>
      </c>
      <c r="F903" s="3">
        <f>E903/6</f>
        <v>38.333333333333336</v>
      </c>
      <c r="G903" s="4">
        <v>43923</v>
      </c>
    </row>
    <row r="904" spans="2:18">
      <c r="C904" s="2" t="s">
        <v>18</v>
      </c>
      <c r="D904" s="2" t="s">
        <v>161</v>
      </c>
      <c r="E904" s="3">
        <v>100</v>
      </c>
      <c r="F904" s="3">
        <f>70/5</f>
        <v>14</v>
      </c>
      <c r="G904" s="4">
        <v>44235</v>
      </c>
      <c r="J904" s="1">
        <v>8400</v>
      </c>
    </row>
    <row r="905" spans="2:18">
      <c r="C905" s="2" t="s">
        <v>9</v>
      </c>
      <c r="D905" s="2" t="s">
        <v>148</v>
      </c>
      <c r="E905" s="3">
        <v>300</v>
      </c>
      <c r="F905" s="6" t="s">
        <v>1047</v>
      </c>
      <c r="G905" s="4">
        <v>44271</v>
      </c>
    </row>
    <row r="906" spans="2:18">
      <c r="C906" s="2" t="s">
        <v>18</v>
      </c>
      <c r="D906" s="2" t="s">
        <v>80</v>
      </c>
      <c r="E906" s="3">
        <v>257</v>
      </c>
      <c r="F906" s="6">
        <v>50</v>
      </c>
      <c r="G906" s="4">
        <v>44201</v>
      </c>
    </row>
    <row r="907" spans="2:18">
      <c r="G907" s="4"/>
    </row>
    <row r="908" spans="2:18">
      <c r="B908" s="12" t="s">
        <v>966</v>
      </c>
      <c r="C908" s="13" t="s">
        <v>969</v>
      </c>
      <c r="D908" s="13" t="s">
        <v>968</v>
      </c>
      <c r="F908" s="15">
        <f>SUM(F909:F911)</f>
        <v>155.98228663446054</v>
      </c>
      <c r="G908" s="14">
        <f>G910</f>
        <v>44439</v>
      </c>
      <c r="I908" s="5"/>
      <c r="J908" s="5"/>
    </row>
    <row r="909" spans="2:18">
      <c r="C909" s="2" t="s">
        <v>9</v>
      </c>
      <c r="D909" s="2" t="s">
        <v>803</v>
      </c>
      <c r="E909" s="3">
        <v>325</v>
      </c>
      <c r="F909" s="3">
        <v>65</v>
      </c>
      <c r="G909" s="4">
        <v>44299</v>
      </c>
      <c r="I909" s="5"/>
      <c r="J909" s="5"/>
    </row>
    <row r="910" spans="2:18">
      <c r="C910" s="265" t="s">
        <v>2486</v>
      </c>
      <c r="D910" s="265" t="s">
        <v>1006</v>
      </c>
      <c r="E910" s="3">
        <v>1600</v>
      </c>
      <c r="F910" s="3">
        <f>1400/27</f>
        <v>51.851851851851855</v>
      </c>
      <c r="G910" s="4">
        <v>44439</v>
      </c>
      <c r="I910" s="5">
        <v>36400</v>
      </c>
      <c r="J910" s="5">
        <v>42500</v>
      </c>
    </row>
    <row r="911" spans="2:18">
      <c r="C911" s="265" t="s">
        <v>504</v>
      </c>
      <c r="D911" s="265" t="s">
        <v>1006</v>
      </c>
      <c r="E911" s="3">
        <v>1000</v>
      </c>
      <c r="F911" s="3">
        <f>900/23</f>
        <v>39.130434782608695</v>
      </c>
      <c r="G911" s="4">
        <v>44228</v>
      </c>
      <c r="I911" s="5">
        <v>27000</v>
      </c>
      <c r="J911" s="5">
        <v>42500</v>
      </c>
    </row>
    <row r="912" spans="2:18">
      <c r="G912" s="4"/>
      <c r="I912" s="5"/>
      <c r="J912" s="5"/>
    </row>
    <row r="913" spans="2:18">
      <c r="B913" s="12" t="s">
        <v>1103</v>
      </c>
      <c r="C913" s="13" t="s">
        <v>969</v>
      </c>
      <c r="D913" s="13" t="s">
        <v>968</v>
      </c>
      <c r="F913" s="15">
        <f>SUM(F914:F926)</f>
        <v>154.78571428571428</v>
      </c>
      <c r="G913" s="14">
        <f>G914</f>
        <v>44852</v>
      </c>
    </row>
    <row r="914" spans="2:18">
      <c r="B914" s="253" t="s">
        <v>7632</v>
      </c>
      <c r="C914" s="2" t="s">
        <v>5</v>
      </c>
      <c r="D914" s="2" t="s">
        <v>763</v>
      </c>
      <c r="E914" s="3">
        <v>125</v>
      </c>
      <c r="F914" s="3">
        <v>15</v>
      </c>
      <c r="G914" s="4">
        <v>44852</v>
      </c>
    </row>
    <row r="915" spans="2:18">
      <c r="C915" s="2" t="s">
        <v>5</v>
      </c>
      <c r="D915" s="2" t="s">
        <v>716</v>
      </c>
      <c r="E915" s="3">
        <v>12.5</v>
      </c>
      <c r="F915" s="3">
        <v>2</v>
      </c>
      <c r="G915" s="4">
        <v>44784</v>
      </c>
    </row>
    <row r="916" spans="2:18">
      <c r="C916" s="2" t="s">
        <v>5</v>
      </c>
      <c r="D916" s="2" t="s">
        <v>716</v>
      </c>
      <c r="E916" s="3">
        <v>10</v>
      </c>
      <c r="F916" s="3">
        <v>2</v>
      </c>
      <c r="G916" s="4">
        <v>44110</v>
      </c>
    </row>
    <row r="917" spans="2:18">
      <c r="C917" s="2" t="s">
        <v>7</v>
      </c>
      <c r="D917" s="2" t="s">
        <v>606</v>
      </c>
      <c r="E917" s="3">
        <v>25</v>
      </c>
      <c r="F917" s="3">
        <v>2</v>
      </c>
      <c r="G917" s="4">
        <v>43440</v>
      </c>
    </row>
    <row r="918" spans="2:18">
      <c r="C918" s="2" t="s">
        <v>18</v>
      </c>
      <c r="D918" s="2" t="s">
        <v>374</v>
      </c>
      <c r="E918" s="3">
        <v>130</v>
      </c>
      <c r="F918" s="3">
        <v>14.285714285714286</v>
      </c>
      <c r="G918" s="4">
        <v>44323</v>
      </c>
    </row>
    <row r="919" spans="2:18">
      <c r="C919" s="2" t="s">
        <v>7</v>
      </c>
      <c r="D919" s="2" t="s">
        <v>374</v>
      </c>
      <c r="E919" s="3">
        <v>44</v>
      </c>
      <c r="F919" s="3">
        <v>5</v>
      </c>
      <c r="G919" s="4">
        <v>43909</v>
      </c>
    </row>
    <row r="920" spans="2:18">
      <c r="C920" s="2" t="s">
        <v>5</v>
      </c>
      <c r="D920" s="2" t="s">
        <v>374</v>
      </c>
      <c r="E920" s="3">
        <v>15</v>
      </c>
      <c r="F920" s="3">
        <v>3</v>
      </c>
      <c r="G920" s="4">
        <v>43452</v>
      </c>
    </row>
    <row r="921" spans="2:18">
      <c r="C921" s="2" t="s">
        <v>4</v>
      </c>
      <c r="D921" s="2" t="s">
        <v>374</v>
      </c>
      <c r="E921" s="3">
        <v>2.5</v>
      </c>
      <c r="F921" s="3">
        <v>1.5</v>
      </c>
      <c r="G921" s="4">
        <v>42936</v>
      </c>
    </row>
    <row r="922" spans="2:18">
      <c r="C922" s="2" t="s">
        <v>8</v>
      </c>
      <c r="D922" s="2" t="s">
        <v>15</v>
      </c>
      <c r="E922" s="3">
        <v>220</v>
      </c>
      <c r="F922" s="3">
        <v>30</v>
      </c>
      <c r="G922" s="4">
        <v>44502</v>
      </c>
      <c r="I922" s="1">
        <v>794</v>
      </c>
      <c r="J922" s="1">
        <v>794</v>
      </c>
    </row>
    <row r="923" spans="2:18">
      <c r="C923" s="2" t="s">
        <v>8</v>
      </c>
      <c r="D923" s="2" t="s">
        <v>15</v>
      </c>
      <c r="E923" s="3">
        <v>220</v>
      </c>
      <c r="F923" s="3">
        <v>27</v>
      </c>
      <c r="G923" s="4">
        <v>44322</v>
      </c>
      <c r="I923" s="1">
        <v>780</v>
      </c>
      <c r="J923" s="1">
        <v>780</v>
      </c>
    </row>
    <row r="924" spans="2:18">
      <c r="C924" s="2" t="s">
        <v>18</v>
      </c>
      <c r="D924" s="2" t="s">
        <v>15</v>
      </c>
      <c r="E924" s="3">
        <v>60</v>
      </c>
      <c r="F924" s="3">
        <v>30</v>
      </c>
      <c r="G924" s="4">
        <v>43528</v>
      </c>
    </row>
    <row r="925" spans="2:18">
      <c r="C925" s="92" t="s">
        <v>7</v>
      </c>
      <c r="D925" s="92" t="s">
        <v>2076</v>
      </c>
      <c r="E925" s="3">
        <v>100</v>
      </c>
      <c r="F925" s="3">
        <f>70/5</f>
        <v>14</v>
      </c>
      <c r="G925" s="4">
        <v>44937</v>
      </c>
      <c r="I925" s="1">
        <v>900</v>
      </c>
      <c r="J925" s="1">
        <v>900</v>
      </c>
    </row>
    <row r="926" spans="2:18">
      <c r="C926" s="177" t="s">
        <v>5</v>
      </c>
      <c r="D926" s="177" t="s">
        <v>2027</v>
      </c>
      <c r="E926" s="3">
        <v>21</v>
      </c>
      <c r="F926" s="3">
        <v>9</v>
      </c>
      <c r="G926" s="4">
        <v>44334</v>
      </c>
    </row>
    <row r="927" spans="2:18">
      <c r="G927" s="4"/>
    </row>
    <row r="928" spans="2:18" s="12" customFormat="1">
      <c r="B928" s="12" t="s">
        <v>1106</v>
      </c>
      <c r="C928" s="13" t="s">
        <v>969</v>
      </c>
      <c r="D928" s="13" t="s">
        <v>968</v>
      </c>
      <c r="E928" s="15"/>
      <c r="F928" s="15">
        <f>SUM(F929:F932)</f>
        <v>151.5</v>
      </c>
      <c r="G928" s="14">
        <f>G930</f>
        <v>44867</v>
      </c>
      <c r="M928" s="13"/>
      <c r="N928" s="13"/>
      <c r="O928" s="13"/>
      <c r="P928" s="13"/>
      <c r="Q928" s="13"/>
      <c r="R928" s="13"/>
    </row>
    <row r="929" spans="2:18">
      <c r="B929" s="238" t="s">
        <v>7634</v>
      </c>
      <c r="C929" s="2" t="s">
        <v>9</v>
      </c>
      <c r="D929" s="2" t="s">
        <v>803</v>
      </c>
      <c r="E929" s="3">
        <v>325</v>
      </c>
      <c r="F929" s="3">
        <v>18.5</v>
      </c>
      <c r="G929" s="4">
        <v>44299</v>
      </c>
    </row>
    <row r="930" spans="2:18">
      <c r="B930" s="254" t="s">
        <v>7633</v>
      </c>
      <c r="C930" s="2" t="s">
        <v>18</v>
      </c>
      <c r="D930" s="2" t="s">
        <v>318</v>
      </c>
      <c r="E930" s="3">
        <v>91</v>
      </c>
      <c r="F930" s="3">
        <v>21</v>
      </c>
      <c r="G930" s="4">
        <v>44867</v>
      </c>
    </row>
    <row r="931" spans="2:18">
      <c r="C931" s="2" t="s">
        <v>8</v>
      </c>
      <c r="D931" s="2" t="s">
        <v>176</v>
      </c>
      <c r="E931" s="3">
        <v>130</v>
      </c>
      <c r="F931" s="3">
        <v>12</v>
      </c>
      <c r="G931" s="4">
        <v>42080</v>
      </c>
    </row>
    <row r="932" spans="2:18">
      <c r="C932" s="2" t="s">
        <v>53</v>
      </c>
      <c r="D932" s="2" t="s">
        <v>154</v>
      </c>
      <c r="E932" s="3">
        <v>200</v>
      </c>
      <c r="F932" s="3">
        <v>100</v>
      </c>
      <c r="G932" s="4">
        <v>44907</v>
      </c>
      <c r="I932" s="1">
        <v>3500</v>
      </c>
    </row>
    <row r="933" spans="2:18">
      <c r="G933" s="4"/>
    </row>
    <row r="934" spans="2:18" s="12" customFormat="1">
      <c r="B934" s="12" t="s">
        <v>231</v>
      </c>
      <c r="C934" s="13" t="s">
        <v>969</v>
      </c>
      <c r="D934" s="13" t="s">
        <v>968</v>
      </c>
      <c r="E934" s="15"/>
      <c r="F934" s="15">
        <f>SUM(F935:F936)</f>
        <v>150</v>
      </c>
      <c r="G934" s="14">
        <f>G935</f>
        <v>44218</v>
      </c>
      <c r="M934" s="13"/>
      <c r="N934" s="13"/>
      <c r="O934" s="13"/>
      <c r="P934" s="13"/>
      <c r="Q934" s="13"/>
      <c r="R934" s="13"/>
    </row>
    <row r="935" spans="2:18">
      <c r="C935" s="2" t="s">
        <v>8</v>
      </c>
      <c r="D935" s="2" t="s">
        <v>211</v>
      </c>
      <c r="E935" s="3">
        <v>700</v>
      </c>
      <c r="F935" s="3">
        <v>100</v>
      </c>
      <c r="G935" s="4">
        <v>44218</v>
      </c>
    </row>
    <row r="936" spans="2:18">
      <c r="C936" s="2" t="s">
        <v>18</v>
      </c>
      <c r="D936" s="2" t="s">
        <v>80</v>
      </c>
      <c r="E936" s="3">
        <v>257</v>
      </c>
      <c r="F936" s="3">
        <v>50</v>
      </c>
      <c r="G936" s="4">
        <v>44201</v>
      </c>
    </row>
    <row r="937" spans="2:18">
      <c r="G937" s="4"/>
    </row>
    <row r="938" spans="2:18" s="12" customFormat="1">
      <c r="B938" s="12" t="s">
        <v>247</v>
      </c>
      <c r="C938" s="13" t="s">
        <v>969</v>
      </c>
      <c r="D938" s="13" t="s">
        <v>968</v>
      </c>
      <c r="E938" s="15"/>
      <c r="F938" s="15">
        <f>SUM(F939:F940)</f>
        <v>150</v>
      </c>
      <c r="G938" s="14">
        <f>G939</f>
        <v>43223</v>
      </c>
      <c r="M938" s="13"/>
      <c r="N938" s="13"/>
      <c r="O938" s="13"/>
      <c r="P938" s="13"/>
      <c r="Q938" s="13"/>
      <c r="R938" s="13"/>
    </row>
    <row r="939" spans="2:18">
      <c r="C939" s="2" t="s">
        <v>18</v>
      </c>
      <c r="D939" s="2" t="s">
        <v>245</v>
      </c>
      <c r="E939" s="3">
        <v>820</v>
      </c>
      <c r="F939" s="3">
        <f>600/6</f>
        <v>100</v>
      </c>
      <c r="G939" s="4">
        <v>43223</v>
      </c>
    </row>
    <row r="940" spans="2:18">
      <c r="C940" s="2" t="s">
        <v>7</v>
      </c>
      <c r="D940" s="2" t="s">
        <v>245</v>
      </c>
      <c r="E940" s="3">
        <v>100</v>
      </c>
      <c r="F940" s="3">
        <v>50</v>
      </c>
      <c r="G940" s="4">
        <v>42576</v>
      </c>
    </row>
    <row r="941" spans="2:18">
      <c r="G941" s="4"/>
    </row>
    <row r="942" spans="2:18" s="12" customFormat="1">
      <c r="B942" s="12" t="s">
        <v>7635</v>
      </c>
      <c r="C942" s="13" t="s">
        <v>969</v>
      </c>
      <c r="D942" s="13" t="s">
        <v>968</v>
      </c>
      <c r="E942" s="15"/>
      <c r="F942" s="15">
        <f>SUM(F943:F954)</f>
        <v>147.95476190476191</v>
      </c>
      <c r="G942" s="14">
        <f>G943</f>
        <v>44776</v>
      </c>
    </row>
    <row r="943" spans="2:18">
      <c r="C943" s="2" t="s">
        <v>8</v>
      </c>
      <c r="D943" s="2" t="s">
        <v>448</v>
      </c>
      <c r="E943" s="3">
        <v>90</v>
      </c>
      <c r="F943" s="3">
        <v>20</v>
      </c>
      <c r="G943" s="4">
        <v>44776</v>
      </c>
      <c r="M943" s="1"/>
      <c r="N943" s="1"/>
      <c r="O943" s="1"/>
      <c r="P943" s="1"/>
      <c r="Q943" s="1"/>
      <c r="R943" s="1"/>
    </row>
    <row r="944" spans="2:18">
      <c r="C944" s="2" t="s">
        <v>8</v>
      </c>
      <c r="D944" s="2" t="s">
        <v>211</v>
      </c>
      <c r="E944" s="3">
        <v>700</v>
      </c>
      <c r="F944" s="3">
        <f>400/12</f>
        <v>33.333333333333336</v>
      </c>
      <c r="G944" s="4">
        <v>44218</v>
      </c>
      <c r="M944" s="1"/>
      <c r="N944" s="1"/>
      <c r="O944" s="1"/>
      <c r="P944" s="1"/>
      <c r="Q944" s="1"/>
      <c r="R944" s="1"/>
    </row>
    <row r="945" spans="2:18">
      <c r="C945" s="2" t="s">
        <v>7</v>
      </c>
      <c r="D945" s="2" t="s">
        <v>108</v>
      </c>
      <c r="E945" s="3">
        <v>37</v>
      </c>
      <c r="F945" s="3">
        <v>6.5</v>
      </c>
      <c r="G945" s="4">
        <v>43783</v>
      </c>
      <c r="M945" s="1"/>
      <c r="N945" s="1"/>
      <c r="O945" s="1"/>
      <c r="P945" s="1"/>
      <c r="Q945" s="1"/>
      <c r="R945" s="1"/>
    </row>
    <row r="946" spans="2:18">
      <c r="C946" s="2" t="s">
        <v>5</v>
      </c>
      <c r="D946" s="2" t="s">
        <v>108</v>
      </c>
      <c r="E946" s="3">
        <v>15</v>
      </c>
      <c r="F946" s="3">
        <f>E946/2</f>
        <v>7.5</v>
      </c>
      <c r="G946" s="4">
        <v>43262</v>
      </c>
      <c r="M946" s="1"/>
      <c r="N946" s="1"/>
      <c r="O946" s="1"/>
      <c r="P946" s="1"/>
      <c r="Q946" s="1"/>
      <c r="R946" s="1"/>
    </row>
    <row r="947" spans="2:18">
      <c r="C947" s="2" t="s">
        <v>8</v>
      </c>
      <c r="D947" s="2" t="s">
        <v>102</v>
      </c>
      <c r="E947" s="3">
        <v>30</v>
      </c>
      <c r="F947" s="3">
        <f>20/7</f>
        <v>2.8571428571428572</v>
      </c>
      <c r="G947" s="4">
        <v>43178</v>
      </c>
      <c r="M947" s="1"/>
      <c r="N947" s="1"/>
      <c r="O947" s="1"/>
      <c r="P947" s="1"/>
      <c r="Q947" s="1"/>
      <c r="R947" s="1"/>
    </row>
    <row r="948" spans="2:18">
      <c r="C948" s="2" t="s">
        <v>8</v>
      </c>
      <c r="D948" s="2" t="s">
        <v>102</v>
      </c>
      <c r="E948" s="3">
        <v>40</v>
      </c>
      <c r="F948" s="3">
        <v>7</v>
      </c>
      <c r="G948" s="4">
        <v>42493</v>
      </c>
      <c r="M948" s="1"/>
      <c r="N948" s="1"/>
      <c r="O948" s="1"/>
      <c r="P948" s="1"/>
      <c r="Q948" s="1"/>
      <c r="R948" s="1"/>
    </row>
    <row r="949" spans="2:18">
      <c r="C949" s="2" t="s">
        <v>18</v>
      </c>
      <c r="D949" s="2" t="s">
        <v>102</v>
      </c>
      <c r="E949" s="3">
        <v>24</v>
      </c>
      <c r="F949" s="3">
        <v>12</v>
      </c>
      <c r="G949" s="4">
        <v>41921</v>
      </c>
      <c r="M949" s="1"/>
      <c r="N949" s="1"/>
      <c r="O949" s="1"/>
      <c r="P949" s="1"/>
      <c r="Q949" s="1"/>
      <c r="R949" s="1"/>
    </row>
    <row r="950" spans="2:18">
      <c r="C950" s="52" t="s">
        <v>8</v>
      </c>
      <c r="D950" s="52" t="s">
        <v>4882</v>
      </c>
      <c r="E950" s="3">
        <v>83</v>
      </c>
      <c r="F950" s="3">
        <v>6.8</v>
      </c>
      <c r="G950" s="4">
        <v>44320</v>
      </c>
      <c r="I950" s="1">
        <v>3600</v>
      </c>
      <c r="J950" s="1">
        <v>3600</v>
      </c>
      <c r="M950" s="1"/>
      <c r="N950" s="1"/>
      <c r="O950" s="1"/>
      <c r="P950" s="1"/>
      <c r="Q950" s="1"/>
      <c r="R950" s="1"/>
    </row>
    <row r="951" spans="2:18">
      <c r="C951" s="52" t="s">
        <v>18</v>
      </c>
      <c r="D951" s="52" t="s">
        <v>4882</v>
      </c>
      <c r="E951" s="3">
        <v>100</v>
      </c>
      <c r="F951" s="3">
        <v>10</v>
      </c>
      <c r="G951" s="4">
        <v>43937</v>
      </c>
      <c r="I951" s="1">
        <v>1100</v>
      </c>
      <c r="J951" s="1">
        <v>3600</v>
      </c>
      <c r="M951" s="1"/>
      <c r="N951" s="1"/>
      <c r="O951" s="1"/>
      <c r="P951" s="1"/>
      <c r="Q951" s="1"/>
      <c r="R951" s="1"/>
    </row>
    <row r="952" spans="2:18">
      <c r="C952" s="52" t="s">
        <v>7</v>
      </c>
      <c r="D952" s="52" t="s">
        <v>4882</v>
      </c>
      <c r="E952" s="3">
        <v>25</v>
      </c>
      <c r="F952" s="3">
        <f>E952/4</f>
        <v>6.25</v>
      </c>
      <c r="G952" s="4">
        <v>43172</v>
      </c>
      <c r="J952" s="1">
        <v>3600</v>
      </c>
      <c r="M952" s="1"/>
      <c r="N952" s="1"/>
      <c r="O952" s="1"/>
      <c r="P952" s="1"/>
      <c r="Q952" s="1"/>
      <c r="R952" s="1"/>
    </row>
    <row r="953" spans="2:18">
      <c r="C953" s="55" t="s">
        <v>9</v>
      </c>
      <c r="D953" s="55" t="s">
        <v>2112</v>
      </c>
      <c r="E953" s="3">
        <v>100</v>
      </c>
      <c r="F953" s="3">
        <f>75/7</f>
        <v>10.714285714285714</v>
      </c>
      <c r="G953" s="4">
        <v>44507</v>
      </c>
      <c r="I953" s="1">
        <v>1600</v>
      </c>
      <c r="J953" s="1">
        <v>1600</v>
      </c>
      <c r="M953" s="1"/>
      <c r="N953" s="1"/>
      <c r="O953" s="1"/>
      <c r="P953" s="1"/>
      <c r="Q953" s="1"/>
      <c r="R953" s="1"/>
    </row>
    <row r="954" spans="2:18">
      <c r="C954" s="55" t="s">
        <v>8</v>
      </c>
      <c r="D954" s="55" t="s">
        <v>2112</v>
      </c>
      <c r="E954" s="3">
        <v>72.5</v>
      </c>
      <c r="F954" s="3">
        <v>25</v>
      </c>
      <c r="G954" s="4">
        <v>43697</v>
      </c>
      <c r="J954" s="1">
        <v>1600</v>
      </c>
      <c r="M954" s="1"/>
      <c r="N954" s="1"/>
      <c r="O954" s="1"/>
      <c r="P954" s="1"/>
      <c r="Q954" s="1"/>
      <c r="R954" s="1"/>
    </row>
    <row r="955" spans="2:18">
      <c r="G955" s="4"/>
      <c r="M955" s="1"/>
      <c r="N955" s="1"/>
      <c r="O955" s="1"/>
      <c r="P955" s="1"/>
      <c r="Q955" s="1"/>
      <c r="R955" s="1"/>
    </row>
    <row r="956" spans="2:18">
      <c r="B956" s="12" t="s">
        <v>1083</v>
      </c>
      <c r="C956" s="13" t="s">
        <v>969</v>
      </c>
      <c r="D956" s="13" t="s">
        <v>968</v>
      </c>
      <c r="E956" s="15"/>
      <c r="F956" s="15">
        <f>SUM(F957:F961)</f>
        <v>175.60728663446054</v>
      </c>
      <c r="G956" s="14">
        <f>G958</f>
        <v>44679</v>
      </c>
      <c r="I956" s="1">
        <v>7000</v>
      </c>
      <c r="J956" s="19">
        <f>+F956/I956</f>
        <v>2.5086755233494362E-2</v>
      </c>
      <c r="K956" s="1">
        <v>2012</v>
      </c>
    </row>
    <row r="957" spans="2:18">
      <c r="C957" s="2" t="s">
        <v>9</v>
      </c>
      <c r="D957" s="2" t="s">
        <v>803</v>
      </c>
      <c r="E957" s="3">
        <v>325</v>
      </c>
      <c r="F957" s="3">
        <f>32.5*2</f>
        <v>65</v>
      </c>
      <c r="G957" s="4">
        <v>44299</v>
      </c>
    </row>
    <row r="958" spans="2:18">
      <c r="C958" s="2" t="s">
        <v>5</v>
      </c>
      <c r="D958" s="2" t="s">
        <v>1082</v>
      </c>
      <c r="E958" s="3">
        <v>25</v>
      </c>
      <c r="F958" s="3">
        <v>15</v>
      </c>
      <c r="G958" s="4">
        <v>44679</v>
      </c>
    </row>
    <row r="959" spans="2:18">
      <c r="C959" s="177" t="s">
        <v>5</v>
      </c>
      <c r="D959" s="177" t="s">
        <v>2028</v>
      </c>
      <c r="E959" s="3">
        <v>18.5</v>
      </c>
      <c r="F959" s="3">
        <f>E959/4</f>
        <v>4.625</v>
      </c>
      <c r="G959" s="4">
        <v>44561</v>
      </c>
    </row>
    <row r="960" spans="2:18">
      <c r="C960" s="265" t="s">
        <v>2486</v>
      </c>
      <c r="D960" s="265" t="s">
        <v>1006</v>
      </c>
      <c r="E960" s="3">
        <v>1600</v>
      </c>
      <c r="F960" s="3">
        <f>1400/27</f>
        <v>51.851851851851855</v>
      </c>
      <c r="G960" s="4">
        <v>44439</v>
      </c>
      <c r="I960" s="1">
        <v>36000</v>
      </c>
      <c r="J960" s="1">
        <v>42500</v>
      </c>
    </row>
    <row r="961" spans="2:18">
      <c r="C961" s="265" t="s">
        <v>504</v>
      </c>
      <c r="D961" s="265" t="s">
        <v>1006</v>
      </c>
      <c r="E961" s="3">
        <v>1000</v>
      </c>
      <c r="F961" s="3">
        <f>900/23</f>
        <v>39.130434782608695</v>
      </c>
      <c r="G961" s="4">
        <v>44228</v>
      </c>
      <c r="I961" s="1">
        <v>27000</v>
      </c>
      <c r="J961" s="1">
        <v>42500</v>
      </c>
    </row>
    <row r="962" spans="2:18">
      <c r="G962" s="4"/>
    </row>
    <row r="963" spans="2:18" s="12" customFormat="1">
      <c r="B963" s="12" t="s">
        <v>249</v>
      </c>
      <c r="C963" s="13" t="s">
        <v>969</v>
      </c>
      <c r="D963" s="13" t="s">
        <v>968</v>
      </c>
      <c r="E963" s="15"/>
      <c r="F963" s="15">
        <f>SUM(F964:F966)</f>
        <v>146</v>
      </c>
      <c r="G963" s="14">
        <f>G965</f>
        <v>43923</v>
      </c>
      <c r="M963" s="13"/>
      <c r="N963" s="13"/>
      <c r="O963" s="13"/>
      <c r="P963" s="13"/>
      <c r="Q963" s="13"/>
      <c r="R963" s="13"/>
    </row>
    <row r="964" spans="2:18">
      <c r="C964" s="2" t="s">
        <v>18</v>
      </c>
      <c r="D964" s="2" t="s">
        <v>245</v>
      </c>
      <c r="E964" s="3">
        <v>820</v>
      </c>
      <c r="F964" s="3">
        <f>600/6</f>
        <v>100</v>
      </c>
      <c r="G964" s="4">
        <v>43223</v>
      </c>
    </row>
    <row r="965" spans="2:18">
      <c r="C965" s="2" t="s">
        <v>18</v>
      </c>
      <c r="D965" s="2" t="s">
        <v>211</v>
      </c>
      <c r="E965" s="3">
        <v>230</v>
      </c>
      <c r="F965" s="3">
        <v>38</v>
      </c>
      <c r="G965" s="4">
        <v>43923</v>
      </c>
    </row>
    <row r="966" spans="2:18">
      <c r="C966" s="2" t="s">
        <v>5</v>
      </c>
      <c r="D966" s="2" t="s">
        <v>161</v>
      </c>
      <c r="E966" s="3">
        <v>102</v>
      </c>
      <c r="F966" s="3">
        <v>8</v>
      </c>
      <c r="G966" s="4">
        <v>43292</v>
      </c>
      <c r="J966" s="1">
        <v>8400</v>
      </c>
    </row>
    <row r="967" spans="2:18">
      <c r="G967" s="4"/>
    </row>
    <row r="968" spans="2:18" s="12" customFormat="1">
      <c r="B968" s="12" t="s">
        <v>4328</v>
      </c>
      <c r="C968" s="13" t="s">
        <v>969</v>
      </c>
      <c r="D968" s="13" t="s">
        <v>968</v>
      </c>
      <c r="E968" s="15"/>
      <c r="F968" s="15">
        <f>SUM(F969:F970)</f>
        <v>140</v>
      </c>
      <c r="G968" s="14">
        <f>G969</f>
        <v>44237</v>
      </c>
      <c r="M968" s="13"/>
      <c r="N968" s="13"/>
      <c r="O968" s="13"/>
      <c r="P968" s="13"/>
      <c r="Q968" s="13"/>
      <c r="R968" s="13"/>
    </row>
    <row r="969" spans="2:18">
      <c r="C969" s="2" t="s">
        <v>8</v>
      </c>
      <c r="D969" s="2" t="s">
        <v>2134</v>
      </c>
      <c r="E969" s="3">
        <v>200</v>
      </c>
      <c r="F969" s="3">
        <v>40</v>
      </c>
      <c r="G969" s="4">
        <v>44237</v>
      </c>
    </row>
    <row r="970" spans="2:18">
      <c r="C970" s="2" t="s">
        <v>18</v>
      </c>
      <c r="D970" s="2" t="s">
        <v>2134</v>
      </c>
      <c r="E970" s="3">
        <v>100</v>
      </c>
      <c r="F970" s="3">
        <v>100</v>
      </c>
      <c r="G970" s="4">
        <v>44158</v>
      </c>
    </row>
    <row r="971" spans="2:18">
      <c r="G971" s="4"/>
    </row>
    <row r="972" spans="2:18" s="12" customFormat="1">
      <c r="B972" s="12" t="s">
        <v>257</v>
      </c>
      <c r="C972" s="13" t="s">
        <v>969</v>
      </c>
      <c r="D972" s="13" t="s">
        <v>968</v>
      </c>
      <c r="E972" s="15"/>
      <c r="F972" s="15">
        <f>SUM(F973:F974)</f>
        <v>137.5</v>
      </c>
      <c r="G972" s="14">
        <f>G973</f>
        <v>44502</v>
      </c>
      <c r="M972" s="13"/>
      <c r="N972" s="13"/>
      <c r="O972" s="13"/>
      <c r="P972" s="13"/>
      <c r="Q972" s="13"/>
      <c r="R972" s="13"/>
    </row>
    <row r="973" spans="2:18">
      <c r="C973" s="2" t="s">
        <v>8</v>
      </c>
      <c r="D973" s="2" t="s">
        <v>253</v>
      </c>
      <c r="E973" s="3">
        <v>600</v>
      </c>
      <c r="F973" s="3">
        <f>500/8</f>
        <v>62.5</v>
      </c>
      <c r="G973" s="4">
        <v>44502</v>
      </c>
    </row>
    <row r="974" spans="2:18">
      <c r="C974" s="2" t="s">
        <v>18</v>
      </c>
      <c r="D974" s="2" t="s">
        <v>253</v>
      </c>
      <c r="E974" s="3">
        <v>500</v>
      </c>
      <c r="F974" s="3">
        <v>75</v>
      </c>
      <c r="G974" s="4">
        <v>44144</v>
      </c>
    </row>
    <row r="975" spans="2:18">
      <c r="G975" s="4"/>
    </row>
    <row r="976" spans="2:18" s="12" customFormat="1">
      <c r="B976" s="12" t="s">
        <v>1099</v>
      </c>
      <c r="C976" s="13" t="s">
        <v>969</v>
      </c>
      <c r="D976" s="13" t="s">
        <v>968</v>
      </c>
      <c r="E976" s="15"/>
      <c r="F976" s="15">
        <f>SUM(F977:F989)</f>
        <v>134.83571428571429</v>
      </c>
      <c r="G976" s="14">
        <f>G977</f>
        <v>45090</v>
      </c>
      <c r="I976" s="12" t="s">
        <v>6706</v>
      </c>
    </row>
    <row r="977" spans="2:18">
      <c r="C977" s="2" t="s">
        <v>18</v>
      </c>
      <c r="D977" s="2" t="s">
        <v>403</v>
      </c>
      <c r="E977" s="3">
        <v>90</v>
      </c>
      <c r="F977" s="3">
        <v>15</v>
      </c>
      <c r="G977" s="4">
        <v>45090</v>
      </c>
      <c r="M977" s="1"/>
      <c r="N977" s="1"/>
      <c r="O977" s="1"/>
      <c r="P977" s="1"/>
      <c r="Q977" s="1"/>
      <c r="R977" s="1"/>
    </row>
    <row r="978" spans="2:18">
      <c r="C978" s="2" t="s">
        <v>7</v>
      </c>
      <c r="D978" s="2" t="s">
        <v>403</v>
      </c>
      <c r="E978" s="3">
        <v>50</v>
      </c>
      <c r="F978" s="3">
        <f>30/6</f>
        <v>5</v>
      </c>
      <c r="G978" s="4">
        <v>44538</v>
      </c>
      <c r="M978" s="1"/>
      <c r="N978" s="1"/>
      <c r="O978" s="1"/>
      <c r="P978" s="1"/>
      <c r="Q978" s="1"/>
      <c r="R978" s="1"/>
    </row>
    <row r="979" spans="2:18">
      <c r="C979" s="2" t="s">
        <v>5</v>
      </c>
      <c r="D979" s="2" t="s">
        <v>403</v>
      </c>
      <c r="E979" s="3">
        <v>12.5</v>
      </c>
      <c r="F979" s="3">
        <f>+E979/2</f>
        <v>6.25</v>
      </c>
      <c r="G979" s="4">
        <v>44306</v>
      </c>
      <c r="M979" s="1"/>
      <c r="N979" s="1"/>
      <c r="O979" s="1"/>
      <c r="P979" s="1"/>
      <c r="Q979" s="1"/>
      <c r="R979" s="1"/>
    </row>
    <row r="980" spans="2:18">
      <c r="C980" s="2" t="s">
        <v>18</v>
      </c>
      <c r="D980" s="2" t="s">
        <v>374</v>
      </c>
      <c r="E980" s="3">
        <v>130</v>
      </c>
      <c r="F980" s="3">
        <f>100/7</f>
        <v>14.285714285714286</v>
      </c>
      <c r="G980" s="4">
        <v>44323</v>
      </c>
      <c r="M980" s="1"/>
      <c r="N980" s="1"/>
      <c r="O980" s="1"/>
      <c r="P980" s="1"/>
      <c r="Q980" s="1"/>
      <c r="R980" s="1"/>
    </row>
    <row r="981" spans="2:18">
      <c r="C981" s="2" t="s">
        <v>7</v>
      </c>
      <c r="D981" s="2" t="s">
        <v>374</v>
      </c>
      <c r="E981" s="3">
        <v>44</v>
      </c>
      <c r="F981" s="3">
        <v>5</v>
      </c>
      <c r="G981" s="4">
        <v>43909</v>
      </c>
      <c r="M981" s="1"/>
      <c r="N981" s="1"/>
      <c r="O981" s="1"/>
      <c r="P981" s="1"/>
      <c r="Q981" s="1"/>
      <c r="R981" s="1"/>
    </row>
    <row r="982" spans="2:18">
      <c r="C982" s="2" t="s">
        <v>5</v>
      </c>
      <c r="D982" s="2" t="s">
        <v>374</v>
      </c>
      <c r="E982" s="3">
        <v>15</v>
      </c>
      <c r="F982" s="3">
        <v>5</v>
      </c>
      <c r="G982" s="4">
        <v>43452</v>
      </c>
      <c r="M982" s="1"/>
      <c r="N982" s="1"/>
      <c r="O982" s="1"/>
      <c r="P982" s="1"/>
      <c r="Q982" s="1"/>
      <c r="R982" s="1"/>
    </row>
    <row r="983" spans="2:18">
      <c r="C983" s="2" t="s">
        <v>9</v>
      </c>
      <c r="D983" s="2" t="s">
        <v>154</v>
      </c>
      <c r="E983" s="3">
        <v>400</v>
      </c>
      <c r="F983" s="3">
        <v>36</v>
      </c>
      <c r="G983" s="4">
        <v>44413</v>
      </c>
      <c r="M983" s="1"/>
      <c r="N983" s="1"/>
      <c r="O983" s="1"/>
      <c r="P983" s="1"/>
      <c r="Q983" s="1"/>
      <c r="R983" s="1"/>
    </row>
    <row r="984" spans="2:18">
      <c r="C984" s="2" t="s">
        <v>8</v>
      </c>
      <c r="D984" s="2" t="s">
        <v>154</v>
      </c>
      <c r="E984" s="3">
        <v>100</v>
      </c>
      <c r="F984" s="3">
        <f>75/6</f>
        <v>12.5</v>
      </c>
      <c r="G984" s="4">
        <v>44067</v>
      </c>
      <c r="M984" s="1"/>
      <c r="N984" s="1"/>
      <c r="O984" s="1"/>
      <c r="P984" s="1"/>
      <c r="Q984" s="1"/>
      <c r="R984" s="1"/>
    </row>
    <row r="985" spans="2:18">
      <c r="C985" s="2" t="s">
        <v>18</v>
      </c>
      <c r="D985" s="2" t="s">
        <v>154</v>
      </c>
      <c r="E985" s="3">
        <v>101</v>
      </c>
      <c r="F985" s="3">
        <f>60/4</f>
        <v>15</v>
      </c>
      <c r="G985" s="4">
        <v>43453</v>
      </c>
      <c r="M985" s="1"/>
      <c r="N985" s="1"/>
      <c r="O985" s="1"/>
      <c r="P985" s="1"/>
      <c r="Q985" s="1"/>
      <c r="R985" s="1"/>
    </row>
    <row r="986" spans="2:18">
      <c r="C986" s="2" t="s">
        <v>7</v>
      </c>
      <c r="D986" s="2" t="s">
        <v>154</v>
      </c>
      <c r="E986" s="3">
        <v>14</v>
      </c>
      <c r="F986" s="3">
        <v>10</v>
      </c>
      <c r="G986" s="4">
        <v>42668</v>
      </c>
      <c r="M986" s="1"/>
      <c r="N986" s="1"/>
      <c r="O986" s="1"/>
      <c r="P986" s="1"/>
      <c r="Q986" s="1"/>
      <c r="R986" s="1"/>
    </row>
    <row r="987" spans="2:18">
      <c r="C987" s="177" t="s">
        <v>5</v>
      </c>
      <c r="D987" s="177" t="s">
        <v>2027</v>
      </c>
      <c r="E987" s="3">
        <v>21</v>
      </c>
      <c r="F987" s="3">
        <f>12/3</f>
        <v>4</v>
      </c>
      <c r="G987" s="4">
        <v>44334</v>
      </c>
      <c r="M987" s="1"/>
      <c r="N987" s="1"/>
      <c r="O987" s="1"/>
      <c r="P987" s="1"/>
      <c r="Q987" s="1"/>
      <c r="R987" s="1"/>
    </row>
    <row r="988" spans="2:18">
      <c r="C988" s="177" t="s">
        <v>5</v>
      </c>
      <c r="D988" s="177" t="s">
        <v>2023</v>
      </c>
      <c r="E988" s="3">
        <v>15.3</v>
      </c>
      <c r="F988" s="3">
        <v>5.3</v>
      </c>
      <c r="G988" s="4">
        <v>44733</v>
      </c>
      <c r="M988" s="1"/>
      <c r="N988" s="1"/>
      <c r="O988" s="1"/>
      <c r="P988" s="1"/>
      <c r="Q988" s="1"/>
      <c r="R988" s="1"/>
    </row>
    <row r="989" spans="2:18">
      <c r="C989" s="177" t="s">
        <v>4</v>
      </c>
      <c r="D989" s="177" t="s">
        <v>2023</v>
      </c>
      <c r="E989" s="3">
        <v>3.5</v>
      </c>
      <c r="F989" s="3">
        <v>1.5</v>
      </c>
      <c r="G989" s="4">
        <v>44609</v>
      </c>
      <c r="M989" s="1"/>
      <c r="N989" s="1"/>
      <c r="O989" s="1"/>
      <c r="P989" s="1"/>
      <c r="Q989" s="1"/>
      <c r="R989" s="1"/>
    </row>
    <row r="990" spans="2:18">
      <c r="G990" s="4"/>
      <c r="M990" s="1"/>
      <c r="N990" s="1"/>
      <c r="O990" s="1"/>
      <c r="P990" s="1"/>
      <c r="Q990" s="1"/>
      <c r="R990" s="1"/>
    </row>
    <row r="991" spans="2:18" s="12" customFormat="1">
      <c r="B991" s="12" t="s">
        <v>193</v>
      </c>
      <c r="C991" s="13" t="s">
        <v>969</v>
      </c>
      <c r="D991" s="13" t="s">
        <v>968</v>
      </c>
      <c r="E991" s="15"/>
      <c r="F991" s="15">
        <f>SUM(F992:F995)</f>
        <v>131.18333333333334</v>
      </c>
      <c r="G991" s="14">
        <f>G993</f>
        <v>44384</v>
      </c>
      <c r="M991" s="13"/>
      <c r="N991" s="13"/>
      <c r="O991" s="13"/>
      <c r="P991" s="13"/>
      <c r="Q991" s="13"/>
      <c r="R991" s="13"/>
    </row>
    <row r="992" spans="2:18">
      <c r="C992" s="2" t="s">
        <v>53</v>
      </c>
      <c r="D992" s="2" t="s">
        <v>176</v>
      </c>
      <c r="E992" s="3">
        <v>475</v>
      </c>
      <c r="F992" s="3">
        <f>E992/12</f>
        <v>39.583333333333336</v>
      </c>
      <c r="G992" s="4">
        <v>44278</v>
      </c>
    </row>
    <row r="993" spans="2:18">
      <c r="C993" s="2" t="s">
        <v>18</v>
      </c>
      <c r="D993" s="2" t="s">
        <v>192</v>
      </c>
      <c r="E993" s="3">
        <v>235</v>
      </c>
      <c r="F993" s="3">
        <v>75</v>
      </c>
      <c r="G993" s="4">
        <v>44384</v>
      </c>
    </row>
    <row r="994" spans="2:18">
      <c r="C994" s="2" t="s">
        <v>7</v>
      </c>
      <c r="D994" s="2" t="s">
        <v>192</v>
      </c>
      <c r="E994" s="3">
        <v>43</v>
      </c>
      <c r="F994" s="3">
        <f>+E994/5</f>
        <v>8.6</v>
      </c>
      <c r="G994" s="4">
        <v>44077</v>
      </c>
    </row>
    <row r="995" spans="2:18">
      <c r="C995" s="2" t="s">
        <v>5</v>
      </c>
      <c r="D995" s="2" t="s">
        <v>192</v>
      </c>
      <c r="E995" s="3">
        <v>28</v>
      </c>
      <c r="F995" s="3">
        <v>8</v>
      </c>
      <c r="G995" s="4">
        <v>43301</v>
      </c>
    </row>
    <row r="996" spans="2:18">
      <c r="G996" s="4"/>
    </row>
    <row r="997" spans="2:18" s="12" customFormat="1">
      <c r="B997" s="12" t="s">
        <v>558</v>
      </c>
      <c r="C997" s="13" t="s">
        <v>969</v>
      </c>
      <c r="D997" s="13" t="s">
        <v>968</v>
      </c>
      <c r="E997" s="15"/>
      <c r="F997" s="15">
        <f>SUM(F998:F1000)</f>
        <v>130.5</v>
      </c>
      <c r="G997" s="14">
        <f>G998</f>
        <v>45077</v>
      </c>
    </row>
    <row r="998" spans="2:18">
      <c r="C998" s="2" t="s">
        <v>7</v>
      </c>
      <c r="D998" s="2" t="s">
        <v>548</v>
      </c>
      <c r="E998" s="3">
        <v>20</v>
      </c>
      <c r="F998" s="3">
        <v>8</v>
      </c>
      <c r="G998" s="4">
        <v>45077</v>
      </c>
      <c r="M998" s="1"/>
      <c r="N998" s="1"/>
      <c r="O998" s="1"/>
      <c r="P998" s="1"/>
      <c r="Q998" s="1"/>
      <c r="R998" s="1"/>
    </row>
    <row r="999" spans="2:18">
      <c r="C999" s="2" t="s">
        <v>8</v>
      </c>
      <c r="D999" s="2" t="s">
        <v>232</v>
      </c>
      <c r="E999" s="3">
        <v>750</v>
      </c>
      <c r="F999" s="3">
        <f>450/4</f>
        <v>112.5</v>
      </c>
      <c r="G999" s="4">
        <v>43593</v>
      </c>
      <c r="M999" s="1"/>
      <c r="N999" s="1"/>
      <c r="O999" s="1"/>
      <c r="P999" s="1"/>
      <c r="Q999" s="1"/>
      <c r="R999" s="1"/>
    </row>
    <row r="1000" spans="2:18">
      <c r="C1000" s="2" t="s">
        <v>7</v>
      </c>
      <c r="D1000" s="2" t="s">
        <v>87</v>
      </c>
      <c r="E1000" s="3">
        <v>25</v>
      </c>
      <c r="F1000" s="3">
        <v>10</v>
      </c>
      <c r="G1000" s="4">
        <v>44642</v>
      </c>
      <c r="M1000" s="1"/>
      <c r="N1000" s="1"/>
      <c r="O1000" s="1"/>
      <c r="P1000" s="1"/>
      <c r="Q1000" s="1"/>
      <c r="R1000" s="1"/>
    </row>
    <row r="1001" spans="2:18">
      <c r="G1001" s="4"/>
      <c r="M1001" s="1"/>
      <c r="N1001" s="1"/>
      <c r="O1001" s="1"/>
      <c r="P1001" s="1"/>
      <c r="Q1001" s="1"/>
      <c r="R1001" s="1"/>
    </row>
    <row r="1002" spans="2:18" s="12" customFormat="1">
      <c r="B1002" s="12" t="s">
        <v>170</v>
      </c>
      <c r="C1002" s="13" t="s">
        <v>969</v>
      </c>
      <c r="D1002" s="13" t="s">
        <v>968</v>
      </c>
      <c r="E1002" s="15"/>
      <c r="F1002" s="15">
        <f>SUM(F1003:F1004)</f>
        <v>131</v>
      </c>
      <c r="G1002" s="14">
        <f>G1003</f>
        <v>43886</v>
      </c>
      <c r="M1002" s="13"/>
      <c r="N1002" s="13"/>
      <c r="O1002" s="13"/>
      <c r="P1002" s="13"/>
      <c r="Q1002" s="13"/>
      <c r="R1002" s="13"/>
    </row>
    <row r="1003" spans="2:18">
      <c r="C1003" s="2" t="s">
        <v>7</v>
      </c>
      <c r="D1003" s="2" t="s">
        <v>161</v>
      </c>
      <c r="E1003" s="3">
        <v>462</v>
      </c>
      <c r="F1003" s="3">
        <f>162/2</f>
        <v>81</v>
      </c>
      <c r="G1003" s="4">
        <v>43886</v>
      </c>
      <c r="I1003" s="1">
        <v>2500</v>
      </c>
      <c r="J1003" s="1">
        <v>8400</v>
      </c>
    </row>
    <row r="1004" spans="2:18">
      <c r="C1004" s="2" t="s">
        <v>7</v>
      </c>
      <c r="D1004" s="2" t="s">
        <v>161</v>
      </c>
      <c r="E1004" s="3">
        <v>50</v>
      </c>
      <c r="F1004" s="3">
        <v>50</v>
      </c>
      <c r="G1004" s="4">
        <v>43566</v>
      </c>
    </row>
    <row r="1005" spans="2:18">
      <c r="G1005" s="4"/>
    </row>
    <row r="1006" spans="2:18" s="12" customFormat="1">
      <c r="B1006" s="12" t="s">
        <v>1085</v>
      </c>
      <c r="C1006" s="13" t="s">
        <v>969</v>
      </c>
      <c r="D1006" s="13" t="s">
        <v>968</v>
      </c>
      <c r="E1006" s="15"/>
      <c r="F1006" s="15">
        <f>SUM(F1007:F1024)</f>
        <v>131.30000000000001</v>
      </c>
      <c r="G1006" s="14">
        <f>G1008</f>
        <v>45005</v>
      </c>
      <c r="M1006" s="13"/>
      <c r="N1006" s="13"/>
      <c r="O1006" s="13"/>
      <c r="P1006" s="13"/>
      <c r="Q1006" s="13"/>
      <c r="R1006" s="13"/>
    </row>
    <row r="1007" spans="2:18">
      <c r="C1007" s="2" t="s">
        <v>5</v>
      </c>
      <c r="D1007" s="2" t="s">
        <v>682</v>
      </c>
      <c r="E1007" s="3">
        <v>15</v>
      </c>
      <c r="F1007" s="3">
        <v>5</v>
      </c>
      <c r="G1007" s="4">
        <v>44838</v>
      </c>
    </row>
    <row r="1008" spans="2:18">
      <c r="C1008" s="2" t="s">
        <v>5</v>
      </c>
      <c r="D1008" s="2" t="s">
        <v>688</v>
      </c>
      <c r="E1008" s="3">
        <v>13</v>
      </c>
      <c r="F1008" s="3">
        <v>3</v>
      </c>
      <c r="G1008" s="4">
        <v>45005</v>
      </c>
    </row>
    <row r="1009" spans="3:10">
      <c r="C1009" s="2" t="s">
        <v>5</v>
      </c>
      <c r="D1009" s="2" t="s">
        <v>640</v>
      </c>
      <c r="E1009" s="3">
        <v>11</v>
      </c>
      <c r="F1009" s="3">
        <v>7</v>
      </c>
      <c r="G1009" s="4">
        <v>44959</v>
      </c>
    </row>
    <row r="1010" spans="3:10">
      <c r="C1010" s="2" t="s">
        <v>8</v>
      </c>
      <c r="D1010" s="2" t="s">
        <v>1084</v>
      </c>
      <c r="E1010" s="3">
        <v>90</v>
      </c>
      <c r="F1010" s="3">
        <v>5</v>
      </c>
      <c r="G1010" s="4">
        <v>44776</v>
      </c>
    </row>
    <row r="1011" spans="3:10">
      <c r="C1011" s="2" t="s">
        <v>18</v>
      </c>
      <c r="D1011" s="2" t="s">
        <v>1084</v>
      </c>
      <c r="E1011" s="3">
        <v>40</v>
      </c>
      <c r="F1011" s="3">
        <v>3.75</v>
      </c>
      <c r="G1011" s="4">
        <v>44176</v>
      </c>
    </row>
    <row r="1012" spans="3:10">
      <c r="C1012" s="2" t="s">
        <v>7</v>
      </c>
      <c r="D1012" s="2" t="s">
        <v>1084</v>
      </c>
      <c r="E1012" s="3">
        <v>20</v>
      </c>
      <c r="F1012" s="3">
        <v>5</v>
      </c>
      <c r="G1012" s="4">
        <v>43879</v>
      </c>
    </row>
    <row r="1013" spans="3:10">
      <c r="C1013" s="2" t="s">
        <v>8</v>
      </c>
      <c r="D1013" s="2" t="s">
        <v>131</v>
      </c>
      <c r="E1013" s="3">
        <v>135</v>
      </c>
      <c r="F1013" s="3">
        <v>8</v>
      </c>
      <c r="G1013" s="4">
        <v>44880</v>
      </c>
      <c r="I1013" s="1">
        <v>615</v>
      </c>
    </row>
    <row r="1014" spans="3:10">
      <c r="C1014" s="2" t="s">
        <v>7</v>
      </c>
      <c r="D1014" s="2" t="s">
        <v>131</v>
      </c>
      <c r="E1014" s="3">
        <v>32</v>
      </c>
      <c r="F1014" s="3">
        <f>20/4</f>
        <v>5</v>
      </c>
      <c r="G1014" s="4">
        <v>42528</v>
      </c>
    </row>
    <row r="1015" spans="3:10">
      <c r="C1015" s="2" t="s">
        <v>8</v>
      </c>
      <c r="D1015" s="2" t="s">
        <v>55</v>
      </c>
      <c r="E1015" s="3">
        <v>200</v>
      </c>
      <c r="F1015" s="3">
        <v>18.75</v>
      </c>
      <c r="G1015" s="4">
        <v>44055</v>
      </c>
      <c r="I1015" s="1">
        <v>2000</v>
      </c>
      <c r="J1015" s="1">
        <v>7000</v>
      </c>
    </row>
    <row r="1016" spans="3:10">
      <c r="C1016" s="2" t="s">
        <v>18</v>
      </c>
      <c r="D1016" s="2" t="s">
        <v>55</v>
      </c>
      <c r="E1016" s="3">
        <v>65</v>
      </c>
      <c r="F1016" s="3">
        <v>8</v>
      </c>
      <c r="G1016" s="4">
        <v>43802</v>
      </c>
      <c r="I1016" s="1">
        <v>685</v>
      </c>
      <c r="J1016" s="1">
        <v>7000</v>
      </c>
    </row>
    <row r="1017" spans="3:10">
      <c r="C1017" s="2" t="s">
        <v>7</v>
      </c>
      <c r="D1017" s="2" t="s">
        <v>55</v>
      </c>
      <c r="E1017" s="3">
        <v>40</v>
      </c>
      <c r="F1017" s="3">
        <v>6.25</v>
      </c>
      <c r="G1017" s="4">
        <v>43503</v>
      </c>
      <c r="J1017" s="1">
        <v>7000</v>
      </c>
    </row>
    <row r="1018" spans="3:10">
      <c r="C1018" s="2" t="s">
        <v>5</v>
      </c>
      <c r="D1018" s="2" t="s">
        <v>55</v>
      </c>
      <c r="E1018" s="3">
        <v>22</v>
      </c>
      <c r="F1018" s="3">
        <v>10</v>
      </c>
      <c r="G1018" s="4">
        <v>46550</v>
      </c>
      <c r="J1018" s="1">
        <v>7000</v>
      </c>
    </row>
    <row r="1019" spans="3:10">
      <c r="C1019" s="2" t="s">
        <v>4</v>
      </c>
      <c r="D1019" s="2" t="s">
        <v>55</v>
      </c>
      <c r="E1019" s="3">
        <v>6</v>
      </c>
      <c r="F1019" s="3">
        <v>6</v>
      </c>
      <c r="G1019" s="4">
        <v>42542</v>
      </c>
      <c r="J1019" s="1">
        <v>7000</v>
      </c>
    </row>
    <row r="1020" spans="3:10">
      <c r="C1020" s="52" t="s">
        <v>8</v>
      </c>
      <c r="D1020" s="52" t="s">
        <v>4882</v>
      </c>
      <c r="E1020" s="3">
        <v>83</v>
      </c>
      <c r="F1020" s="3">
        <f>68/10</f>
        <v>6.8</v>
      </c>
      <c r="G1020" s="4">
        <v>44320</v>
      </c>
      <c r="I1020" s="1">
        <v>3600</v>
      </c>
      <c r="J1020" s="1">
        <v>9000</v>
      </c>
    </row>
    <row r="1021" spans="3:10">
      <c r="C1021" s="52" t="s">
        <v>18</v>
      </c>
      <c r="D1021" s="52" t="s">
        <v>4882</v>
      </c>
      <c r="E1021" s="3">
        <v>100</v>
      </c>
      <c r="F1021" s="3">
        <v>10</v>
      </c>
      <c r="G1021" s="4">
        <v>43937</v>
      </c>
      <c r="I1021" s="1">
        <v>1100</v>
      </c>
      <c r="J1021" s="1">
        <v>9000</v>
      </c>
    </row>
    <row r="1022" spans="3:10">
      <c r="C1022" s="52" t="s">
        <v>7</v>
      </c>
      <c r="D1022" s="52" t="s">
        <v>4882</v>
      </c>
      <c r="E1022" s="3">
        <v>40</v>
      </c>
      <c r="F1022" s="3">
        <v>10</v>
      </c>
      <c r="G1022" s="4">
        <v>43522</v>
      </c>
      <c r="J1022" s="1">
        <v>9000</v>
      </c>
    </row>
    <row r="1023" spans="3:10">
      <c r="C1023" s="52" t="s">
        <v>5</v>
      </c>
      <c r="D1023" s="52" t="s">
        <v>4882</v>
      </c>
      <c r="E1023" s="3">
        <v>25</v>
      </c>
      <c r="F1023" s="3">
        <f>E1023/4</f>
        <v>6.25</v>
      </c>
      <c r="G1023" s="4">
        <v>43172</v>
      </c>
      <c r="J1023" s="1">
        <v>9000</v>
      </c>
    </row>
    <row r="1024" spans="3:10">
      <c r="C1024" s="52" t="s">
        <v>5</v>
      </c>
      <c r="D1024" s="52" t="s">
        <v>4882</v>
      </c>
      <c r="E1024" s="3">
        <v>15</v>
      </c>
      <c r="F1024" s="3">
        <f>E1024/2</f>
        <v>7.5</v>
      </c>
      <c r="G1024" s="4">
        <v>42371</v>
      </c>
      <c r="J1024" s="1">
        <v>9000</v>
      </c>
    </row>
    <row r="1025" spans="2:10">
      <c r="G1025" s="4"/>
    </row>
    <row r="1026" spans="2:10">
      <c r="B1026" s="12" t="s">
        <v>1101</v>
      </c>
      <c r="C1026" s="13" t="s">
        <v>969</v>
      </c>
      <c r="D1026" s="13" t="s">
        <v>968</v>
      </c>
      <c r="F1026" s="15">
        <f>SUM(F1027:F1047)</f>
        <v>131.66666666666669</v>
      </c>
      <c r="G1026" s="14">
        <f>+G1047</f>
        <v>45061</v>
      </c>
    </row>
    <row r="1027" spans="2:10">
      <c r="B1027" s="12"/>
      <c r="C1027" s="2" t="s">
        <v>7</v>
      </c>
      <c r="D1027" s="2" t="s">
        <v>949</v>
      </c>
      <c r="E1027" s="3">
        <v>350</v>
      </c>
      <c r="F1027" s="3">
        <v>20</v>
      </c>
      <c r="G1027" s="4">
        <v>44999</v>
      </c>
    </row>
    <row r="1028" spans="2:10">
      <c r="C1028" s="2" t="s">
        <v>18</v>
      </c>
      <c r="D1028" s="2" t="s">
        <v>926</v>
      </c>
      <c r="E1028" s="3">
        <v>100</v>
      </c>
      <c r="F1028" s="3">
        <v>9</v>
      </c>
      <c r="G1028" s="4">
        <v>44690</v>
      </c>
      <c r="J1028" s="1">
        <v>4300</v>
      </c>
    </row>
    <row r="1029" spans="2:10">
      <c r="C1029" s="2" t="s">
        <v>4</v>
      </c>
      <c r="D1029" s="2" t="s">
        <v>926</v>
      </c>
      <c r="E1029" s="3">
        <v>4</v>
      </c>
      <c r="F1029" s="3">
        <v>1</v>
      </c>
      <c r="G1029" s="4">
        <v>43243</v>
      </c>
      <c r="J1029" s="1">
        <v>4300</v>
      </c>
    </row>
    <row r="1030" spans="2:10">
      <c r="C1030" s="2" t="s">
        <v>550</v>
      </c>
      <c r="D1030" s="2" t="s">
        <v>926</v>
      </c>
      <c r="E1030" s="3">
        <v>1.2</v>
      </c>
      <c r="F1030" s="3">
        <v>0.2</v>
      </c>
      <c r="G1030" s="4">
        <v>42799</v>
      </c>
      <c r="J1030" s="1">
        <v>4300</v>
      </c>
    </row>
    <row r="1031" spans="2:10">
      <c r="C1031" s="2" t="s">
        <v>5</v>
      </c>
      <c r="D1031" s="2" t="s">
        <v>935</v>
      </c>
      <c r="E1031" s="3">
        <v>150</v>
      </c>
      <c r="F1031" s="3">
        <v>10</v>
      </c>
      <c r="G1031" s="4">
        <v>45008</v>
      </c>
    </row>
    <row r="1032" spans="2:10">
      <c r="C1032" s="2" t="s">
        <v>4</v>
      </c>
      <c r="D1032" s="2" t="s">
        <v>1005</v>
      </c>
      <c r="E1032" s="3">
        <v>5</v>
      </c>
      <c r="F1032" s="3">
        <v>1</v>
      </c>
      <c r="G1032" s="4">
        <v>43438</v>
      </c>
    </row>
    <row r="1033" spans="2:10">
      <c r="C1033" s="2" t="s">
        <v>4</v>
      </c>
      <c r="D1033" s="2" t="s">
        <v>690</v>
      </c>
      <c r="E1033" s="3">
        <v>30</v>
      </c>
      <c r="F1033" s="3">
        <v>5</v>
      </c>
      <c r="G1033" s="4">
        <v>44742</v>
      </c>
    </row>
    <row r="1034" spans="2:10">
      <c r="C1034" s="2" t="s">
        <v>5</v>
      </c>
      <c r="D1034" s="2" t="s">
        <v>684</v>
      </c>
      <c r="E1034" s="3">
        <v>21</v>
      </c>
      <c r="F1034" s="3">
        <f>11/3</f>
        <v>3.6666666666666665</v>
      </c>
      <c r="G1034" s="4">
        <v>45027</v>
      </c>
    </row>
    <row r="1035" spans="2:10">
      <c r="C1035" s="2" t="s">
        <v>7</v>
      </c>
      <c r="D1035" s="2" t="s">
        <v>907</v>
      </c>
      <c r="E1035" s="3">
        <v>97.4</v>
      </c>
      <c r="F1035" s="3">
        <f>47/6</f>
        <v>7.833333333333333</v>
      </c>
      <c r="G1035" s="4">
        <v>45041</v>
      </c>
    </row>
    <row r="1036" spans="2:10">
      <c r="C1036" s="2" t="s">
        <v>278</v>
      </c>
      <c r="D1036" s="2" t="s">
        <v>776</v>
      </c>
      <c r="E1036" s="3">
        <v>4.5</v>
      </c>
      <c r="F1036" s="3">
        <v>1</v>
      </c>
      <c r="G1036" s="4">
        <v>44691</v>
      </c>
    </row>
    <row r="1037" spans="2:10">
      <c r="C1037" s="2" t="s">
        <v>5</v>
      </c>
      <c r="D1037" s="2" t="s">
        <v>1069</v>
      </c>
      <c r="E1037" s="3">
        <v>5.3</v>
      </c>
      <c r="F1037" s="3">
        <v>2.5</v>
      </c>
      <c r="G1037" s="4">
        <v>44978</v>
      </c>
    </row>
    <row r="1038" spans="2:10">
      <c r="C1038" s="2" t="s">
        <v>5</v>
      </c>
      <c r="D1038" s="2" t="s">
        <v>520</v>
      </c>
      <c r="E1038" s="3">
        <v>7</v>
      </c>
      <c r="F1038" s="3">
        <v>1</v>
      </c>
      <c r="G1038" s="4">
        <v>42885</v>
      </c>
    </row>
    <row r="1039" spans="2:10">
      <c r="C1039" s="2" t="s">
        <v>4</v>
      </c>
      <c r="D1039" s="2" t="s">
        <v>520</v>
      </c>
      <c r="E1039" s="3">
        <v>3</v>
      </c>
      <c r="F1039" s="3">
        <v>0.5</v>
      </c>
      <c r="G1039" s="4">
        <v>42606</v>
      </c>
    </row>
    <row r="1040" spans="2:10">
      <c r="C1040" s="2" t="s">
        <v>7</v>
      </c>
      <c r="D1040" s="2" t="s">
        <v>1100</v>
      </c>
      <c r="E1040" s="3">
        <v>18</v>
      </c>
      <c r="F1040" s="3">
        <v>4.5</v>
      </c>
      <c r="G1040" s="4">
        <v>44831</v>
      </c>
    </row>
    <row r="1041" spans="2:18">
      <c r="C1041" s="2" t="s">
        <v>5</v>
      </c>
      <c r="D1041" s="2" t="s">
        <v>1100</v>
      </c>
      <c r="E1041" s="3">
        <v>18.5</v>
      </c>
      <c r="F1041" s="3">
        <v>5</v>
      </c>
      <c r="G1041" s="4">
        <v>44658</v>
      </c>
    </row>
    <row r="1042" spans="2:18">
      <c r="C1042" s="2" t="s">
        <v>4</v>
      </c>
      <c r="D1042" s="2" t="s">
        <v>424</v>
      </c>
      <c r="E1042" s="3">
        <v>7</v>
      </c>
      <c r="F1042" s="3">
        <v>0.83333333333333337</v>
      </c>
      <c r="G1042" s="4">
        <v>43046</v>
      </c>
    </row>
    <row r="1043" spans="2:18">
      <c r="C1043" s="2" t="s">
        <v>4</v>
      </c>
      <c r="D1043" s="2" t="s">
        <v>302</v>
      </c>
      <c r="E1043" s="3">
        <v>1.8</v>
      </c>
      <c r="F1043" s="3">
        <f>+E1043/9</f>
        <v>0.2</v>
      </c>
      <c r="G1043" s="4">
        <v>42690</v>
      </c>
    </row>
    <row r="1044" spans="2:18">
      <c r="C1044" s="2" t="s">
        <v>7</v>
      </c>
      <c r="D1044" s="2" t="s">
        <v>74</v>
      </c>
      <c r="E1044" s="3">
        <v>25</v>
      </c>
      <c r="F1044" s="3">
        <v>5</v>
      </c>
      <c r="G1044" s="4">
        <v>42723</v>
      </c>
      <c r="I1044" s="1">
        <v>245</v>
      </c>
      <c r="J1044" s="1">
        <v>3800</v>
      </c>
    </row>
    <row r="1045" spans="2:18">
      <c r="C1045" s="2" t="s">
        <v>1</v>
      </c>
      <c r="D1045" s="2" t="s">
        <v>0</v>
      </c>
      <c r="E1045" s="3">
        <v>300</v>
      </c>
      <c r="F1045" s="3">
        <v>50</v>
      </c>
      <c r="G1045" s="4">
        <v>45044</v>
      </c>
      <c r="I1045" s="1">
        <v>28700</v>
      </c>
      <c r="J1045" s="1">
        <v>28700</v>
      </c>
    </row>
    <row r="1046" spans="2:18">
      <c r="C1046" s="92" t="s">
        <v>5</v>
      </c>
      <c r="D1046" s="92" t="s">
        <v>1144</v>
      </c>
      <c r="E1046" s="3">
        <v>19</v>
      </c>
      <c r="F1046" s="3">
        <f>11/6</f>
        <v>1.8333333333333333</v>
      </c>
      <c r="G1046" s="4">
        <v>45097</v>
      </c>
      <c r="I1046" s="1">
        <v>100</v>
      </c>
      <c r="J1046" s="1">
        <v>100</v>
      </c>
    </row>
    <row r="1047" spans="2:18">
      <c r="C1047" s="335" t="s">
        <v>4</v>
      </c>
      <c r="D1047" s="335" t="s">
        <v>9429</v>
      </c>
      <c r="E1047" s="3">
        <v>20</v>
      </c>
      <c r="F1047" s="3">
        <v>1.6</v>
      </c>
      <c r="G1047" s="4">
        <v>45061</v>
      </c>
    </row>
    <row r="1048" spans="2:18">
      <c r="G1048" s="4"/>
    </row>
    <row r="1049" spans="2:18" s="12" customFormat="1">
      <c r="B1049" s="12" t="s">
        <v>6707</v>
      </c>
      <c r="C1049" s="13" t="s">
        <v>969</v>
      </c>
      <c r="D1049" s="13" t="s">
        <v>968</v>
      </c>
      <c r="E1049" s="15"/>
      <c r="F1049" s="15">
        <f>SUM(F1050:F1057)</f>
        <v>130.82619047619048</v>
      </c>
      <c r="G1049" s="14">
        <f>G1051</f>
        <v>44811</v>
      </c>
      <c r="M1049" s="13"/>
      <c r="N1049" s="13"/>
      <c r="O1049" s="13"/>
      <c r="P1049" s="13"/>
      <c r="Q1049" s="13"/>
      <c r="R1049" s="13"/>
    </row>
    <row r="1050" spans="2:18">
      <c r="C1050" s="2" t="s">
        <v>4</v>
      </c>
      <c r="D1050" s="2" t="s">
        <v>678</v>
      </c>
      <c r="E1050" s="3">
        <v>15</v>
      </c>
      <c r="F1050" s="3">
        <f>15/7</f>
        <v>2.1428571428571428</v>
      </c>
      <c r="G1050" s="4">
        <v>44691</v>
      </c>
    </row>
    <row r="1051" spans="2:18">
      <c r="C1051" s="2" t="s">
        <v>7</v>
      </c>
      <c r="D1051" s="2" t="s">
        <v>542</v>
      </c>
      <c r="E1051" s="3">
        <v>40</v>
      </c>
      <c r="F1051" s="3">
        <f>25/4</f>
        <v>6.25</v>
      </c>
      <c r="G1051" s="4">
        <v>44811</v>
      </c>
    </row>
    <row r="1052" spans="2:18">
      <c r="C1052" s="2" t="s">
        <v>5</v>
      </c>
      <c r="D1052" s="2" t="s">
        <v>542</v>
      </c>
      <c r="E1052" s="3">
        <v>14</v>
      </c>
      <c r="F1052" s="3">
        <f>8/5</f>
        <v>1.6</v>
      </c>
      <c r="G1052" s="4">
        <v>44447</v>
      </c>
    </row>
    <row r="1053" spans="2:18">
      <c r="C1053" s="2" t="s">
        <v>5</v>
      </c>
      <c r="D1053" s="2" t="s">
        <v>542</v>
      </c>
      <c r="E1053" s="3">
        <v>12</v>
      </c>
      <c r="F1053" s="3">
        <v>4</v>
      </c>
      <c r="G1053" s="4">
        <v>43532</v>
      </c>
    </row>
    <row r="1054" spans="2:18">
      <c r="C1054" s="2" t="s">
        <v>9</v>
      </c>
      <c r="D1054" s="2" t="s">
        <v>3</v>
      </c>
      <c r="E1054" s="3">
        <v>90</v>
      </c>
      <c r="F1054" s="3">
        <v>10</v>
      </c>
      <c r="G1054" s="4">
        <v>44721</v>
      </c>
      <c r="I1054" s="1">
        <v>2200</v>
      </c>
      <c r="J1054" s="1">
        <v>2200</v>
      </c>
    </row>
    <row r="1055" spans="2:18">
      <c r="C1055" s="2" t="s">
        <v>8</v>
      </c>
      <c r="D1055" s="2" t="s">
        <v>3</v>
      </c>
      <c r="E1055" s="3">
        <v>210</v>
      </c>
      <c r="F1055" s="3">
        <v>33.333333333333336</v>
      </c>
      <c r="G1055" s="4">
        <v>44432</v>
      </c>
      <c r="I1055" s="1">
        <v>1000</v>
      </c>
      <c r="J1055" s="1">
        <v>2200</v>
      </c>
    </row>
    <row r="1056" spans="2:18">
      <c r="C1056" s="2" t="s">
        <v>18</v>
      </c>
      <c r="D1056" s="2" t="s">
        <v>3</v>
      </c>
      <c r="E1056" s="3">
        <v>70</v>
      </c>
      <c r="F1056" s="3">
        <v>70</v>
      </c>
      <c r="G1056" s="4">
        <v>44250</v>
      </c>
      <c r="J1056" s="1">
        <v>2200</v>
      </c>
    </row>
    <row r="1057" spans="2:18">
      <c r="C1057" s="241" t="s">
        <v>4</v>
      </c>
      <c r="D1057" s="241" t="s">
        <v>2008</v>
      </c>
      <c r="E1057" s="3">
        <v>7</v>
      </c>
      <c r="F1057" s="3">
        <v>3.5</v>
      </c>
      <c r="G1057" s="4">
        <v>44216</v>
      </c>
    </row>
    <row r="1058" spans="2:18">
      <c r="G1058" s="4"/>
    </row>
    <row r="1059" spans="2:18" s="12" customFormat="1">
      <c r="B1059" s="12" t="s">
        <v>508</v>
      </c>
      <c r="C1059" s="13" t="s">
        <v>969</v>
      </c>
      <c r="D1059" s="13" t="s">
        <v>968</v>
      </c>
      <c r="E1059" s="15"/>
      <c r="F1059" s="15">
        <f>SUM(F1060:F1063)</f>
        <v>125.5</v>
      </c>
      <c r="G1059" s="14">
        <f>G1060</f>
        <v>44376</v>
      </c>
    </row>
    <row r="1060" spans="2:18">
      <c r="C1060" s="2" t="s">
        <v>504</v>
      </c>
      <c r="D1060" s="2" t="s">
        <v>489</v>
      </c>
      <c r="E1060" s="3">
        <v>250</v>
      </c>
      <c r="F1060" s="3">
        <v>50</v>
      </c>
      <c r="G1060" s="4">
        <v>44376</v>
      </c>
      <c r="M1060" s="1"/>
      <c r="N1060" s="1"/>
      <c r="O1060" s="1"/>
      <c r="P1060" s="1"/>
      <c r="Q1060" s="1"/>
      <c r="R1060" s="1"/>
    </row>
    <row r="1061" spans="2:18">
      <c r="C1061" s="2" t="s">
        <v>53</v>
      </c>
      <c r="D1061" s="2" t="s">
        <v>489</v>
      </c>
      <c r="E1061" s="3">
        <v>270</v>
      </c>
      <c r="F1061" s="3">
        <v>50</v>
      </c>
      <c r="G1061" s="4">
        <v>44152</v>
      </c>
      <c r="M1061" s="1"/>
      <c r="N1061" s="1"/>
      <c r="O1061" s="1"/>
      <c r="P1061" s="1"/>
      <c r="Q1061" s="1"/>
      <c r="R1061" s="1"/>
    </row>
    <row r="1062" spans="2:18">
      <c r="C1062" s="2" t="s">
        <v>8</v>
      </c>
      <c r="D1062" s="2" t="s">
        <v>240</v>
      </c>
      <c r="E1062" s="3">
        <v>81</v>
      </c>
      <c r="F1062" s="3">
        <f>+E1062/6</f>
        <v>13.5</v>
      </c>
      <c r="G1062" s="4">
        <v>43418</v>
      </c>
      <c r="I1062" s="1">
        <v>1700</v>
      </c>
      <c r="J1062" s="1">
        <v>3800</v>
      </c>
      <c r="M1062" s="1"/>
      <c r="N1062" s="1"/>
      <c r="O1062" s="1"/>
      <c r="P1062" s="1"/>
      <c r="Q1062" s="1"/>
      <c r="R1062" s="1"/>
    </row>
    <row r="1063" spans="2:18">
      <c r="C1063" s="2" t="s">
        <v>18</v>
      </c>
      <c r="D1063" s="2" t="s">
        <v>240</v>
      </c>
      <c r="E1063" s="3">
        <v>60</v>
      </c>
      <c r="F1063" s="3">
        <f>+E1063/5</f>
        <v>12</v>
      </c>
      <c r="G1063" s="4">
        <v>42736</v>
      </c>
      <c r="I1063" s="1">
        <v>800</v>
      </c>
      <c r="J1063" s="1">
        <v>3800</v>
      </c>
      <c r="M1063" s="1"/>
      <c r="N1063" s="1"/>
      <c r="O1063" s="1"/>
      <c r="P1063" s="1"/>
      <c r="Q1063" s="1"/>
      <c r="R1063" s="1"/>
    </row>
    <row r="1064" spans="2:18">
      <c r="G1064" s="4"/>
      <c r="M1064" s="1"/>
      <c r="N1064" s="1"/>
      <c r="O1064" s="1"/>
      <c r="P1064" s="1"/>
      <c r="Q1064" s="1"/>
      <c r="R1064" s="1"/>
    </row>
    <row r="1065" spans="2:18" s="12" customFormat="1">
      <c r="B1065" s="12" t="s">
        <v>160</v>
      </c>
      <c r="C1065" s="13" t="s">
        <v>969</v>
      </c>
      <c r="D1065" s="13" t="s">
        <v>968</v>
      </c>
      <c r="E1065" s="15"/>
      <c r="F1065" s="15">
        <f>SUM(F1066:F1069)</f>
        <v>131.05555555555554</v>
      </c>
      <c r="G1065" s="14">
        <f>G1069</f>
        <v>45063</v>
      </c>
      <c r="M1065" s="13"/>
      <c r="N1065" s="13"/>
      <c r="O1065" s="13"/>
      <c r="P1065" s="13"/>
      <c r="Q1065" s="13"/>
      <c r="R1065" s="13"/>
    </row>
    <row r="1066" spans="2:18">
      <c r="C1066" s="2" t="s">
        <v>53</v>
      </c>
      <c r="D1066" s="2" t="s">
        <v>154</v>
      </c>
      <c r="E1066" s="3">
        <v>200</v>
      </c>
      <c r="F1066" s="3">
        <v>50</v>
      </c>
      <c r="G1066" s="4">
        <v>44907</v>
      </c>
      <c r="I1066" s="1">
        <v>3500</v>
      </c>
    </row>
    <row r="1067" spans="2:18">
      <c r="C1067" s="2" t="s">
        <v>9</v>
      </c>
      <c r="D1067" s="2" t="s">
        <v>154</v>
      </c>
      <c r="E1067" s="3">
        <v>400</v>
      </c>
      <c r="F1067" s="3">
        <f>320/9</f>
        <v>35.555555555555557</v>
      </c>
      <c r="G1067" s="4">
        <v>44413</v>
      </c>
      <c r="I1067" s="1">
        <v>4200</v>
      </c>
    </row>
    <row r="1068" spans="2:18">
      <c r="C1068" s="2" t="s">
        <v>18</v>
      </c>
      <c r="D1068" s="2" t="s">
        <v>32</v>
      </c>
      <c r="E1068" s="3">
        <v>230</v>
      </c>
      <c r="F1068" s="3">
        <v>40</v>
      </c>
      <c r="G1068" s="4">
        <v>43634</v>
      </c>
      <c r="I1068" s="1">
        <v>770</v>
      </c>
      <c r="J1068" s="1">
        <v>770</v>
      </c>
    </row>
    <row r="1069" spans="2:18">
      <c r="C1069" s="241" t="s">
        <v>5</v>
      </c>
      <c r="D1069" s="241" t="s">
        <v>2008</v>
      </c>
      <c r="E1069" s="3">
        <v>11.5</v>
      </c>
      <c r="F1069" s="3">
        <v>5.5</v>
      </c>
      <c r="G1069" s="4">
        <v>45063</v>
      </c>
    </row>
    <row r="1070" spans="2:18">
      <c r="G1070" s="4"/>
    </row>
    <row r="1071" spans="2:18" s="12" customFormat="1">
      <c r="B1071" s="12" t="s">
        <v>495</v>
      </c>
      <c r="C1071" s="13" t="s">
        <v>969</v>
      </c>
      <c r="D1071" s="13" t="s">
        <v>968</v>
      </c>
      <c r="E1071" s="15"/>
      <c r="F1071" s="15">
        <f>SUM(F1072:F1076)</f>
        <v>130.35185185185185</v>
      </c>
      <c r="G1071" s="14">
        <f>G1075</f>
        <v>44557</v>
      </c>
    </row>
    <row r="1072" spans="2:18">
      <c r="C1072" s="2" t="s">
        <v>9</v>
      </c>
      <c r="D1072" s="2" t="s">
        <v>489</v>
      </c>
      <c r="E1072" s="3">
        <v>206</v>
      </c>
      <c r="F1072" s="3">
        <v>14</v>
      </c>
      <c r="G1072" s="4">
        <v>43725</v>
      </c>
      <c r="M1072" s="1"/>
      <c r="N1072" s="1"/>
      <c r="O1072" s="1"/>
      <c r="P1072" s="1"/>
      <c r="Q1072" s="1"/>
      <c r="R1072" s="1"/>
    </row>
    <row r="1073" spans="2:18">
      <c r="C1073" s="2" t="s">
        <v>9</v>
      </c>
      <c r="D1073" s="2" t="s">
        <v>47</v>
      </c>
      <c r="E1073" s="3">
        <v>248</v>
      </c>
      <c r="F1073" s="3">
        <f>150/4</f>
        <v>37.5</v>
      </c>
      <c r="G1073" s="4">
        <v>43678</v>
      </c>
      <c r="I1073" s="1">
        <v>1700</v>
      </c>
      <c r="J1073" s="1">
        <v>4100</v>
      </c>
      <c r="M1073" s="1"/>
      <c r="N1073" s="1"/>
      <c r="O1073" s="1"/>
      <c r="P1073" s="1"/>
      <c r="Q1073" s="1"/>
      <c r="R1073" s="1"/>
    </row>
    <row r="1074" spans="2:18">
      <c r="C1074" s="2" t="s">
        <v>18</v>
      </c>
      <c r="D1074" s="2" t="s">
        <v>47</v>
      </c>
      <c r="E1074" s="3">
        <v>50</v>
      </c>
      <c r="F1074" s="3">
        <v>15</v>
      </c>
      <c r="G1074" s="4">
        <v>42509</v>
      </c>
      <c r="J1074" s="1">
        <v>4100</v>
      </c>
      <c r="M1074" s="1"/>
      <c r="N1074" s="1"/>
      <c r="O1074" s="1"/>
      <c r="P1074" s="1"/>
      <c r="Q1074" s="1"/>
      <c r="R1074" s="1"/>
    </row>
    <row r="1075" spans="2:18">
      <c r="C1075" s="2" t="s">
        <v>18</v>
      </c>
      <c r="D1075" s="2" t="s">
        <v>2127</v>
      </c>
      <c r="E1075" s="3">
        <v>200</v>
      </c>
      <c r="F1075" s="3">
        <v>12</v>
      </c>
      <c r="G1075" s="4">
        <v>44557</v>
      </c>
      <c r="I1075" s="1">
        <v>1300</v>
      </c>
      <c r="J1075" s="1">
        <v>1300</v>
      </c>
      <c r="M1075" s="1"/>
      <c r="N1075" s="1"/>
      <c r="O1075" s="1"/>
      <c r="P1075" s="1"/>
      <c r="Q1075" s="1"/>
      <c r="R1075" s="1"/>
    </row>
    <row r="1076" spans="2:18">
      <c r="C1076" s="265" t="s">
        <v>2486</v>
      </c>
      <c r="D1076" s="265" t="s">
        <v>1006</v>
      </c>
      <c r="E1076" s="3">
        <v>1600</v>
      </c>
      <c r="F1076" s="3">
        <f>1400/27</f>
        <v>51.851851851851855</v>
      </c>
      <c r="G1076" s="4">
        <v>44439</v>
      </c>
      <c r="I1076" s="1">
        <v>36000</v>
      </c>
      <c r="J1076" s="1">
        <v>42500</v>
      </c>
      <c r="M1076" s="1"/>
      <c r="N1076" s="1"/>
      <c r="O1076" s="1"/>
      <c r="P1076" s="1"/>
      <c r="Q1076" s="1"/>
      <c r="R1076" s="1"/>
    </row>
    <row r="1077" spans="2:18">
      <c r="C1077" s="265" t="s">
        <v>504</v>
      </c>
      <c r="D1077" s="265" t="s">
        <v>1006</v>
      </c>
      <c r="E1077" s="3">
        <v>1000</v>
      </c>
      <c r="F1077" s="3">
        <f>900/23</f>
        <v>39.130434782608695</v>
      </c>
      <c r="G1077" s="4">
        <v>44228</v>
      </c>
      <c r="I1077" s="1">
        <v>27000</v>
      </c>
      <c r="J1077" s="1">
        <v>42500</v>
      </c>
      <c r="M1077" s="1"/>
      <c r="N1077" s="1"/>
      <c r="O1077" s="1"/>
      <c r="P1077" s="1"/>
      <c r="Q1077" s="1"/>
      <c r="R1077" s="1"/>
    </row>
    <row r="1078" spans="2:18">
      <c r="G1078" s="4"/>
      <c r="M1078" s="1"/>
      <c r="N1078" s="1"/>
      <c r="O1078" s="1"/>
      <c r="P1078" s="1"/>
      <c r="Q1078" s="1"/>
      <c r="R1078" s="1"/>
    </row>
    <row r="1079" spans="2:18" s="12" customFormat="1">
      <c r="B1079" s="12" t="s">
        <v>312</v>
      </c>
      <c r="C1079" s="13" t="s">
        <v>969</v>
      </c>
      <c r="D1079" s="13" t="s">
        <v>968</v>
      </c>
      <c r="E1079" s="15"/>
      <c r="F1079" s="15">
        <f>SUM(F1080:F1082)</f>
        <v>129</v>
      </c>
      <c r="G1079" s="14">
        <f>+G1082</f>
        <v>45230</v>
      </c>
    </row>
    <row r="1080" spans="2:18">
      <c r="C1080" s="2" t="s">
        <v>8</v>
      </c>
      <c r="D1080" s="2" t="s">
        <v>310</v>
      </c>
      <c r="E1080" s="3">
        <v>69</v>
      </c>
      <c r="F1080" s="3">
        <v>19</v>
      </c>
      <c r="G1080" s="4">
        <v>45091</v>
      </c>
      <c r="M1080" s="1"/>
      <c r="N1080" s="1"/>
      <c r="O1080" s="1"/>
      <c r="P1080" s="1"/>
      <c r="Q1080" s="1"/>
      <c r="R1080" s="1"/>
    </row>
    <row r="1081" spans="2:18">
      <c r="C1081" s="2" t="s">
        <v>9</v>
      </c>
      <c r="D1081" s="2" t="s">
        <v>3</v>
      </c>
      <c r="E1081" s="3">
        <v>60</v>
      </c>
      <c r="F1081" s="3">
        <v>60</v>
      </c>
      <c r="G1081" s="4">
        <v>44908</v>
      </c>
      <c r="I1081" s="1">
        <v>2200</v>
      </c>
      <c r="J1081" s="1">
        <v>2500</v>
      </c>
      <c r="M1081" s="1"/>
      <c r="N1081" s="1"/>
      <c r="O1081" s="1"/>
      <c r="P1081" s="1"/>
      <c r="Q1081" s="1"/>
      <c r="R1081" s="1"/>
    </row>
    <row r="1082" spans="2:18">
      <c r="C1082" s="265" t="s">
        <v>53</v>
      </c>
      <c r="D1082" s="2" t="s">
        <v>3</v>
      </c>
      <c r="E1082" s="3">
        <v>200</v>
      </c>
      <c r="F1082" s="3">
        <v>50</v>
      </c>
      <c r="G1082" s="4">
        <v>45230</v>
      </c>
      <c r="I1082" s="1">
        <v>2500</v>
      </c>
      <c r="J1082" s="1">
        <v>2500</v>
      </c>
      <c r="M1082" s="1"/>
      <c r="N1082" s="1"/>
      <c r="O1082" s="1"/>
      <c r="P1082" s="1"/>
      <c r="Q1082" s="1"/>
      <c r="R1082" s="1"/>
    </row>
    <row r="1083" spans="2:18">
      <c r="G1083" s="4"/>
      <c r="M1083" s="1"/>
      <c r="N1083" s="1"/>
      <c r="O1083" s="1"/>
      <c r="P1083" s="1"/>
      <c r="Q1083" s="1"/>
      <c r="R1083" s="1"/>
    </row>
    <row r="1084" spans="2:18" s="12" customFormat="1">
      <c r="B1084" s="12" t="s">
        <v>63</v>
      </c>
      <c r="C1084" s="13" t="s">
        <v>969</v>
      </c>
      <c r="D1084" s="13" t="s">
        <v>968</v>
      </c>
      <c r="E1084" s="15"/>
      <c r="F1084" s="15">
        <f>SUM(F1085:F1086)</f>
        <v>127.83809523809524</v>
      </c>
      <c r="G1084" s="14">
        <f>G1086</f>
        <v>45183</v>
      </c>
      <c r="I1084" s="46"/>
      <c r="J1084" s="46"/>
      <c r="M1084" s="13"/>
      <c r="N1084" s="13"/>
      <c r="O1084" s="13"/>
      <c r="P1084" s="13"/>
      <c r="Q1084" s="13"/>
      <c r="R1084" s="13"/>
    </row>
    <row r="1085" spans="2:18">
      <c r="C1085" s="2" t="s">
        <v>8</v>
      </c>
      <c r="D1085" s="2" t="s">
        <v>57</v>
      </c>
      <c r="E1085" s="3">
        <v>250</v>
      </c>
      <c r="F1085" s="3">
        <v>100</v>
      </c>
      <c r="G1085" s="4">
        <v>45069</v>
      </c>
      <c r="I1085" s="5"/>
      <c r="J1085" s="5"/>
    </row>
    <row r="1086" spans="2:18">
      <c r="C1086" s="265" t="s">
        <v>7890</v>
      </c>
      <c r="D1086" s="265" t="s">
        <v>1006</v>
      </c>
      <c r="E1086" s="3">
        <v>684.6</v>
      </c>
      <c r="F1086" s="3">
        <f>584.6/21</f>
        <v>27.838095238095239</v>
      </c>
      <c r="G1086" s="4">
        <v>45183</v>
      </c>
      <c r="I1086" s="5"/>
      <c r="J1086" s="5"/>
    </row>
    <row r="1087" spans="2:18">
      <c r="G1087" s="4"/>
      <c r="I1087" s="5"/>
      <c r="J1087" s="5"/>
    </row>
    <row r="1088" spans="2:18" s="12" customFormat="1">
      <c r="B1088" s="12" t="s">
        <v>172</v>
      </c>
      <c r="C1088" s="13" t="s">
        <v>969</v>
      </c>
      <c r="D1088" s="13" t="s">
        <v>968</v>
      </c>
      <c r="E1088" s="15"/>
      <c r="F1088" s="15">
        <f>SUM(F1089:F1094)</f>
        <v>125.4</v>
      </c>
      <c r="G1088" s="14">
        <f>G1093</f>
        <v>44550</v>
      </c>
      <c r="M1088" s="13"/>
      <c r="N1088" s="13"/>
      <c r="O1088" s="13"/>
      <c r="P1088" s="13"/>
      <c r="Q1088" s="13"/>
      <c r="R1088" s="13"/>
    </row>
    <row r="1089" spans="2:19">
      <c r="C1089" s="2" t="s">
        <v>18</v>
      </c>
      <c r="D1089" s="2" t="s">
        <v>161</v>
      </c>
      <c r="E1089" s="3">
        <v>100</v>
      </c>
      <c r="F1089" s="3">
        <v>14</v>
      </c>
      <c r="G1089" s="4">
        <v>44235</v>
      </c>
      <c r="I1089" s="1">
        <v>5200</v>
      </c>
      <c r="J1089" s="1">
        <v>8400</v>
      </c>
    </row>
    <row r="1090" spans="2:19">
      <c r="C1090" s="2" t="s">
        <v>18</v>
      </c>
      <c r="D1090" s="2" t="s">
        <v>161</v>
      </c>
      <c r="E1090" s="3">
        <v>267</v>
      </c>
      <c r="F1090" s="3">
        <f>167/5</f>
        <v>33.4</v>
      </c>
      <c r="G1090" s="4">
        <v>44140</v>
      </c>
      <c r="I1090" s="1">
        <v>5000</v>
      </c>
      <c r="J1090" s="1">
        <v>8400</v>
      </c>
    </row>
    <row r="1091" spans="2:19">
      <c r="C1091" s="2" t="s">
        <v>5</v>
      </c>
      <c r="D1091" s="2" t="s">
        <v>161</v>
      </c>
      <c r="E1091" s="3">
        <v>102</v>
      </c>
      <c r="F1091" s="3">
        <v>8</v>
      </c>
      <c r="G1091" s="4">
        <v>43292</v>
      </c>
      <c r="J1091" s="1">
        <v>8400</v>
      </c>
    </row>
    <row r="1092" spans="2:19">
      <c r="C1092" s="2" t="s">
        <v>5</v>
      </c>
      <c r="D1092" s="2" t="s">
        <v>161</v>
      </c>
      <c r="E1092" s="3">
        <v>112</v>
      </c>
      <c r="F1092" s="3">
        <v>20</v>
      </c>
      <c r="G1092" s="4">
        <v>43115</v>
      </c>
      <c r="J1092" s="1">
        <v>8400</v>
      </c>
    </row>
    <row r="1093" spans="2:19">
      <c r="C1093" s="2" t="s">
        <v>7</v>
      </c>
      <c r="D1093" s="2" t="s">
        <v>64</v>
      </c>
      <c r="E1093" s="3">
        <f>1600/7</f>
        <v>228.57142857142858</v>
      </c>
      <c r="F1093" s="3">
        <v>40</v>
      </c>
      <c r="G1093" s="4">
        <v>44550</v>
      </c>
    </row>
    <row r="1094" spans="2:19">
      <c r="C1094" s="2" t="s">
        <v>5</v>
      </c>
      <c r="D1094" s="2" t="s">
        <v>64</v>
      </c>
      <c r="E1094" s="3">
        <v>50</v>
      </c>
      <c r="F1094" s="3">
        <v>10</v>
      </c>
      <c r="G1094" s="4">
        <v>44165</v>
      </c>
    </row>
    <row r="1095" spans="2:19">
      <c r="G1095" s="4"/>
    </row>
    <row r="1096" spans="2:19">
      <c r="B1096" s="12" t="s">
        <v>1092</v>
      </c>
      <c r="C1096" s="13" t="s">
        <v>969</v>
      </c>
      <c r="D1096" s="13" t="s">
        <v>968</v>
      </c>
      <c r="E1096" s="15"/>
      <c r="F1096" s="15">
        <f>SUM(F1097:F1106)</f>
        <v>125.33333333333333</v>
      </c>
      <c r="G1096" s="14">
        <f>+G1100</f>
        <v>45104</v>
      </c>
      <c r="I1096" s="1">
        <v>350</v>
      </c>
      <c r="J1096" s="19">
        <f>+F1096/I1096</f>
        <v>0.35809523809523808</v>
      </c>
      <c r="K1096" s="1">
        <v>2017</v>
      </c>
      <c r="S1096" s="1" t="s">
        <v>1091</v>
      </c>
    </row>
    <row r="1097" spans="2:19">
      <c r="B1097" s="253" t="s">
        <v>7632</v>
      </c>
      <c r="C1097" s="2" t="s">
        <v>7</v>
      </c>
      <c r="D1097" s="2" t="s">
        <v>952</v>
      </c>
      <c r="E1097" s="3">
        <v>130</v>
      </c>
      <c r="F1097" s="3">
        <f>70/3</f>
        <v>23.333333333333332</v>
      </c>
      <c r="G1097" s="4">
        <v>44607</v>
      </c>
    </row>
    <row r="1098" spans="2:19">
      <c r="C1098" s="2" t="s">
        <v>5</v>
      </c>
      <c r="D1098" s="2" t="s">
        <v>952</v>
      </c>
      <c r="E1098" s="3">
        <v>40</v>
      </c>
      <c r="F1098" s="3">
        <v>10</v>
      </c>
      <c r="G1098" s="4">
        <v>44446</v>
      </c>
    </row>
    <row r="1099" spans="2:19">
      <c r="C1099" s="2" t="s">
        <v>5</v>
      </c>
      <c r="D1099" s="2" t="s">
        <v>779</v>
      </c>
      <c r="E1099" s="3">
        <v>33</v>
      </c>
      <c r="F1099" s="3">
        <v>10</v>
      </c>
      <c r="G1099" s="4">
        <v>44893</v>
      </c>
    </row>
    <row r="1100" spans="2:19">
      <c r="C1100" s="2" t="s">
        <v>5</v>
      </c>
      <c r="D1100" s="2" t="s">
        <v>546</v>
      </c>
      <c r="E1100" s="3">
        <v>58</v>
      </c>
      <c r="F1100" s="3">
        <v>20</v>
      </c>
      <c r="G1100" s="4">
        <v>45104</v>
      </c>
    </row>
    <row r="1101" spans="2:19">
      <c r="C1101" s="2" t="s">
        <v>18</v>
      </c>
      <c r="D1101" s="2" t="s">
        <v>424</v>
      </c>
      <c r="E1101" s="3">
        <v>75</v>
      </c>
      <c r="F1101" s="3">
        <v>20</v>
      </c>
      <c r="G1101" s="4">
        <v>45020</v>
      </c>
    </row>
    <row r="1102" spans="2:19">
      <c r="C1102" s="2" t="s">
        <v>18</v>
      </c>
      <c r="D1102" s="2" t="s">
        <v>424</v>
      </c>
      <c r="E1102" s="3">
        <v>80</v>
      </c>
      <c r="F1102" s="3">
        <v>10</v>
      </c>
      <c r="G1102" s="4">
        <v>44404</v>
      </c>
    </row>
    <row r="1103" spans="2:19">
      <c r="C1103" s="2" t="s">
        <v>7</v>
      </c>
      <c r="D1103" s="2" t="s">
        <v>424</v>
      </c>
      <c r="E1103" s="3">
        <v>40</v>
      </c>
      <c r="F1103" s="3">
        <v>10</v>
      </c>
      <c r="G1103" s="4">
        <v>43957</v>
      </c>
    </row>
    <row r="1104" spans="2:19">
      <c r="C1104" s="92" t="s">
        <v>18</v>
      </c>
      <c r="D1104" s="92" t="s">
        <v>5988</v>
      </c>
      <c r="E1104" s="3">
        <v>15</v>
      </c>
      <c r="F1104" s="3">
        <f>E1104/2</f>
        <v>7.5</v>
      </c>
      <c r="G1104" s="4">
        <v>45006</v>
      </c>
      <c r="I1104" s="1">
        <v>250</v>
      </c>
      <c r="J1104" s="1">
        <v>250</v>
      </c>
    </row>
    <row r="1105" spans="2:18">
      <c r="C1105" s="92" t="s">
        <v>7</v>
      </c>
      <c r="D1105" s="92" t="s">
        <v>5988</v>
      </c>
      <c r="E1105" s="3">
        <v>50</v>
      </c>
      <c r="F1105" s="3">
        <v>7</v>
      </c>
      <c r="G1105" s="4">
        <v>44670</v>
      </c>
      <c r="J1105" s="1">
        <v>250</v>
      </c>
    </row>
    <row r="1106" spans="2:18">
      <c r="C1106" s="168" t="s">
        <v>5</v>
      </c>
      <c r="D1106" s="168" t="s">
        <v>2032</v>
      </c>
      <c r="E1106" s="3">
        <v>30</v>
      </c>
      <c r="F1106" s="3">
        <v>7.5</v>
      </c>
      <c r="G1106" s="4">
        <v>44729</v>
      </c>
    </row>
    <row r="1107" spans="2:18">
      <c r="G1107" s="4"/>
    </row>
    <row r="1108" spans="2:18" s="12" customFormat="1">
      <c r="B1108" s="12" t="s">
        <v>1098</v>
      </c>
      <c r="C1108" s="13" t="s">
        <v>969</v>
      </c>
      <c r="D1108" s="13" t="s">
        <v>968</v>
      </c>
      <c r="E1108" s="15"/>
      <c r="F1108" s="15">
        <f>SUM(F1109:F1118)</f>
        <v>128.44444444444446</v>
      </c>
      <c r="G1108" s="14">
        <f>+G1118</f>
        <v>45209</v>
      </c>
      <c r="M1108" s="13"/>
      <c r="N1108" s="13"/>
      <c r="O1108" s="13"/>
      <c r="P1108" s="13"/>
      <c r="Q1108" s="13"/>
      <c r="R1108" s="13"/>
    </row>
    <row r="1109" spans="2:18">
      <c r="C1109" s="2" t="s">
        <v>5</v>
      </c>
      <c r="D1109" s="2" t="s">
        <v>999</v>
      </c>
      <c r="E1109" s="3">
        <v>25</v>
      </c>
      <c r="F1109" s="3">
        <v>5</v>
      </c>
      <c r="G1109" s="4">
        <v>44699</v>
      </c>
    </row>
    <row r="1110" spans="2:18">
      <c r="C1110" s="2" t="s">
        <v>4</v>
      </c>
      <c r="D1110" s="2" t="s">
        <v>705</v>
      </c>
      <c r="E1110" s="3">
        <v>113</v>
      </c>
      <c r="F1110" s="3">
        <v>8</v>
      </c>
      <c r="G1110" s="4">
        <v>45090</v>
      </c>
    </row>
    <row r="1111" spans="2:18">
      <c r="C1111" s="2" t="s">
        <v>4</v>
      </c>
      <c r="D1111" s="2" t="s">
        <v>652</v>
      </c>
      <c r="E1111" s="3">
        <v>12</v>
      </c>
      <c r="F1111" s="3">
        <v>4</v>
      </c>
      <c r="G1111" s="4">
        <v>44971</v>
      </c>
    </row>
    <row r="1112" spans="2:18">
      <c r="C1112" s="2" t="s">
        <v>5</v>
      </c>
      <c r="D1112" s="2" t="s">
        <v>161</v>
      </c>
      <c r="E1112" s="3">
        <v>102</v>
      </c>
      <c r="F1112" s="3">
        <f>70/9</f>
        <v>7.7777777777777777</v>
      </c>
      <c r="G1112" s="4">
        <v>43292</v>
      </c>
      <c r="J1112" s="1">
        <v>8400</v>
      </c>
    </row>
    <row r="1113" spans="2:18">
      <c r="C1113" s="2" t="s">
        <v>18</v>
      </c>
      <c r="D1113" s="2" t="s">
        <v>80</v>
      </c>
      <c r="E1113" s="3">
        <v>257</v>
      </c>
      <c r="F1113" s="3">
        <f>107/3</f>
        <v>35.666666666666664</v>
      </c>
      <c r="G1113" s="4">
        <v>44201</v>
      </c>
    </row>
    <row r="1114" spans="2:18">
      <c r="C1114" s="2" t="s">
        <v>7</v>
      </c>
      <c r="D1114" s="2" t="s">
        <v>80</v>
      </c>
      <c r="E1114" s="3">
        <v>100</v>
      </c>
      <c r="F1114" s="3">
        <v>20</v>
      </c>
      <c r="G1114" s="4">
        <v>43958</v>
      </c>
    </row>
    <row r="1115" spans="2:18">
      <c r="C1115" s="2" t="s">
        <v>5</v>
      </c>
      <c r="D1115" s="2" t="s">
        <v>80</v>
      </c>
      <c r="E1115" s="3">
        <v>43</v>
      </c>
      <c r="F1115" s="3">
        <f>+E1115/6</f>
        <v>7.166666666666667</v>
      </c>
      <c r="G1115" s="4">
        <v>43622</v>
      </c>
    </row>
    <row r="1116" spans="2:18">
      <c r="C1116" s="2" t="s">
        <v>7</v>
      </c>
      <c r="D1116" s="2" t="s">
        <v>64</v>
      </c>
      <c r="E1116" s="3">
        <f>1600/7</f>
        <v>228.57142857142858</v>
      </c>
      <c r="F1116" s="3">
        <f>149/6</f>
        <v>24.833333333333332</v>
      </c>
      <c r="G1116" s="4">
        <v>44550</v>
      </c>
    </row>
    <row r="1117" spans="2:18">
      <c r="C1117" s="2" t="s">
        <v>5</v>
      </c>
      <c r="D1117" s="2" t="s">
        <v>64</v>
      </c>
      <c r="E1117" s="3">
        <v>50</v>
      </c>
      <c r="F1117" s="3">
        <v>10</v>
      </c>
      <c r="G1117" s="4">
        <v>44165</v>
      </c>
    </row>
    <row r="1118" spans="2:18">
      <c r="C1118" s="398" t="s">
        <v>5</v>
      </c>
      <c r="D1118" s="398" t="s">
        <v>9716</v>
      </c>
      <c r="E1118" s="3">
        <v>16</v>
      </c>
      <c r="F1118" s="3">
        <v>6</v>
      </c>
      <c r="G1118" s="4">
        <v>45209</v>
      </c>
    </row>
    <row r="1119" spans="2:18">
      <c r="G1119" s="4"/>
    </row>
    <row r="1120" spans="2:18">
      <c r="B1120" s="12" t="s">
        <v>1093</v>
      </c>
      <c r="C1120" s="13" t="s">
        <v>969</v>
      </c>
      <c r="D1120" s="13" t="s">
        <v>968</v>
      </c>
      <c r="F1120" s="15">
        <f>SUM(F1121:F1130)</f>
        <v>121.91666666666667</v>
      </c>
      <c r="G1120" s="14">
        <f>G1121</f>
        <v>45036</v>
      </c>
    </row>
    <row r="1121" spans="2:18">
      <c r="B1121" s="253" t="s">
        <v>7632</v>
      </c>
      <c r="C1121" s="2" t="s">
        <v>7</v>
      </c>
      <c r="D1121" s="2" t="s">
        <v>796</v>
      </c>
      <c r="E1121" s="3">
        <v>50</v>
      </c>
      <c r="F1121" s="3">
        <v>6</v>
      </c>
      <c r="G1121" s="4">
        <v>45036</v>
      </c>
    </row>
    <row r="1122" spans="2:18">
      <c r="C1122" s="2" t="s">
        <v>7</v>
      </c>
      <c r="D1122" s="2" t="s">
        <v>984</v>
      </c>
      <c r="E1122" s="3">
        <v>38</v>
      </c>
      <c r="F1122" s="3">
        <f>20/3</f>
        <v>6.666666666666667</v>
      </c>
      <c r="G1122" s="4">
        <v>44812</v>
      </c>
    </row>
    <row r="1123" spans="2:18">
      <c r="C1123" s="2" t="s">
        <v>5</v>
      </c>
      <c r="D1123" s="2" t="s">
        <v>984</v>
      </c>
      <c r="E1123" s="3">
        <v>19</v>
      </c>
      <c r="F1123" s="3">
        <v>7</v>
      </c>
      <c r="G1123" s="4">
        <v>44467</v>
      </c>
    </row>
    <row r="1124" spans="2:18">
      <c r="C1124" s="2" t="s">
        <v>5</v>
      </c>
      <c r="D1124" s="2" t="s">
        <v>516</v>
      </c>
      <c r="E1124" s="3">
        <v>14.5</v>
      </c>
      <c r="F1124" s="3">
        <v>3</v>
      </c>
      <c r="G1124" s="4">
        <v>43389</v>
      </c>
    </row>
    <row r="1125" spans="2:18">
      <c r="C1125" s="2" t="s">
        <v>9</v>
      </c>
      <c r="D1125" s="2" t="s">
        <v>154</v>
      </c>
      <c r="E1125" s="3">
        <v>400</v>
      </c>
      <c r="F1125" s="3">
        <v>36</v>
      </c>
      <c r="G1125" s="4">
        <v>44413</v>
      </c>
      <c r="I1125" s="1">
        <v>4200</v>
      </c>
    </row>
    <row r="1126" spans="2:18">
      <c r="C1126" s="2" t="s">
        <v>8</v>
      </c>
      <c r="D1126" s="2" t="s">
        <v>154</v>
      </c>
      <c r="E1126" s="3">
        <v>100</v>
      </c>
      <c r="F1126" s="3">
        <f>75/6</f>
        <v>12.5</v>
      </c>
      <c r="G1126" s="4">
        <v>44067</v>
      </c>
    </row>
    <row r="1127" spans="2:18">
      <c r="C1127" s="2" t="s">
        <v>8</v>
      </c>
      <c r="D1127" s="2" t="s">
        <v>55</v>
      </c>
      <c r="E1127" s="3">
        <v>200</v>
      </c>
      <c r="F1127" s="3">
        <f>150/8</f>
        <v>18.75</v>
      </c>
      <c r="G1127" s="4">
        <v>44055</v>
      </c>
      <c r="I1127" s="1">
        <v>2000</v>
      </c>
      <c r="J1127" s="1">
        <v>7000</v>
      </c>
    </row>
    <row r="1128" spans="2:18">
      <c r="C1128" s="2" t="s">
        <v>18</v>
      </c>
      <c r="D1128" s="2" t="s">
        <v>55</v>
      </c>
      <c r="E1128" s="3">
        <v>65</v>
      </c>
      <c r="F1128" s="3">
        <v>8</v>
      </c>
      <c r="G1128" s="4">
        <v>43802</v>
      </c>
      <c r="I1128" s="1">
        <v>685</v>
      </c>
      <c r="J1128" s="1">
        <v>7000</v>
      </c>
    </row>
    <row r="1129" spans="2:18">
      <c r="C1129" s="2" t="s">
        <v>7</v>
      </c>
      <c r="D1129" s="2" t="s">
        <v>55</v>
      </c>
      <c r="E1129" s="3">
        <v>40</v>
      </c>
      <c r="F1129" s="3">
        <v>15</v>
      </c>
      <c r="G1129" s="4">
        <v>43503</v>
      </c>
      <c r="J1129" s="1">
        <v>7000</v>
      </c>
    </row>
    <row r="1130" spans="2:18">
      <c r="C1130" s="2" t="s">
        <v>5</v>
      </c>
      <c r="D1130" s="2" t="s">
        <v>2025</v>
      </c>
      <c r="E1130" s="3">
        <v>18</v>
      </c>
      <c r="F1130" s="3">
        <v>9</v>
      </c>
      <c r="G1130" s="4">
        <v>44866</v>
      </c>
    </row>
    <row r="1131" spans="2:18">
      <c r="G1131" s="4"/>
    </row>
    <row r="1132" spans="2:18" s="12" customFormat="1">
      <c r="B1132" s="12" t="s">
        <v>4982</v>
      </c>
      <c r="C1132" s="13" t="s">
        <v>969</v>
      </c>
      <c r="D1132" s="13" t="s">
        <v>968</v>
      </c>
      <c r="E1132" s="15"/>
      <c r="F1132" s="15">
        <f>SUM(F1133:F1134)</f>
        <v>121</v>
      </c>
      <c r="G1132" s="14">
        <f>G1133</f>
        <v>44648</v>
      </c>
      <c r="M1132" s="13"/>
      <c r="N1132" s="13"/>
      <c r="O1132" s="13"/>
      <c r="P1132" s="13"/>
      <c r="Q1132" s="13"/>
      <c r="R1132" s="13"/>
    </row>
    <row r="1133" spans="2:18">
      <c r="B1133" s="54"/>
      <c r="C1133" s="2" t="s">
        <v>7</v>
      </c>
      <c r="D1133" s="2" t="s">
        <v>2130</v>
      </c>
      <c r="E1133" s="3">
        <f>1300/7</f>
        <v>185.71428571428572</v>
      </c>
      <c r="F1133" s="3">
        <v>96</v>
      </c>
      <c r="G1133" s="4">
        <v>44648</v>
      </c>
    </row>
    <row r="1134" spans="2:18">
      <c r="C1134" s="55" t="s">
        <v>8</v>
      </c>
      <c r="D1134" s="55" t="s">
        <v>2112</v>
      </c>
      <c r="E1134" s="3">
        <v>72.5</v>
      </c>
      <c r="F1134" s="3">
        <v>25</v>
      </c>
      <c r="G1134" s="4">
        <v>43697</v>
      </c>
      <c r="J1134" s="1">
        <v>1600</v>
      </c>
    </row>
    <row r="1135" spans="2:18">
      <c r="G1135" s="4"/>
    </row>
    <row r="1136" spans="2:18" s="12" customFormat="1">
      <c r="B1136" s="12" t="s">
        <v>1097</v>
      </c>
      <c r="C1136" s="13" t="s">
        <v>969</v>
      </c>
      <c r="D1136" s="13" t="s">
        <v>968</v>
      </c>
      <c r="E1136" s="15"/>
      <c r="F1136" s="15">
        <f>SUM(F1137:F1157)</f>
        <v>121.18333333333334</v>
      </c>
      <c r="G1136" s="14">
        <f>G1137</f>
        <v>45041</v>
      </c>
      <c r="M1136" s="13"/>
      <c r="N1136" s="13"/>
      <c r="O1136" s="13"/>
      <c r="P1136" s="13"/>
      <c r="Q1136" s="13"/>
      <c r="R1136" s="13"/>
    </row>
    <row r="1137" spans="2:7">
      <c r="B1137" s="253" t="s">
        <v>7632</v>
      </c>
      <c r="C1137" s="2" t="s">
        <v>7</v>
      </c>
      <c r="D1137" s="2" t="s">
        <v>907</v>
      </c>
      <c r="E1137" s="3">
        <v>97.4</v>
      </c>
      <c r="F1137" s="3">
        <f>47/6</f>
        <v>7.833333333333333</v>
      </c>
      <c r="G1137" s="4">
        <v>45041</v>
      </c>
    </row>
    <row r="1138" spans="2:7">
      <c r="C1138" s="2" t="s">
        <v>7</v>
      </c>
      <c r="D1138" s="2" t="s">
        <v>542</v>
      </c>
      <c r="E1138" s="3">
        <v>40</v>
      </c>
      <c r="F1138" s="3">
        <f>25/4</f>
        <v>6.25</v>
      </c>
      <c r="G1138" s="4">
        <v>44811</v>
      </c>
    </row>
    <row r="1139" spans="2:7">
      <c r="C1139" s="2" t="s">
        <v>5</v>
      </c>
      <c r="D1139" s="2" t="s">
        <v>542</v>
      </c>
      <c r="E1139" s="3">
        <v>14</v>
      </c>
      <c r="F1139" s="3">
        <v>6</v>
      </c>
      <c r="G1139" s="4">
        <v>44447</v>
      </c>
    </row>
    <row r="1140" spans="2:7">
      <c r="C1140" s="2" t="s">
        <v>5</v>
      </c>
      <c r="D1140" s="2" t="s">
        <v>465</v>
      </c>
      <c r="E1140" s="3">
        <v>15.5</v>
      </c>
      <c r="F1140" s="3">
        <v>1.625</v>
      </c>
      <c r="G1140" s="4">
        <v>44727</v>
      </c>
    </row>
    <row r="1141" spans="2:7">
      <c r="C1141" s="2" t="s">
        <v>5</v>
      </c>
      <c r="D1141" s="2" t="s">
        <v>465</v>
      </c>
      <c r="E1141" s="3">
        <v>12</v>
      </c>
      <c r="F1141" s="3">
        <v>3</v>
      </c>
      <c r="G1141" s="4">
        <v>43948</v>
      </c>
    </row>
    <row r="1142" spans="2:7">
      <c r="C1142" s="2" t="s">
        <v>5</v>
      </c>
      <c r="D1142" s="2" t="s">
        <v>541</v>
      </c>
      <c r="E1142" s="3">
        <v>5</v>
      </c>
      <c r="F1142" s="3">
        <v>3</v>
      </c>
      <c r="G1142" s="4">
        <v>44514</v>
      </c>
    </row>
    <row r="1143" spans="2:7">
      <c r="C1143" s="2" t="s">
        <v>8</v>
      </c>
      <c r="D1143" s="2" t="s">
        <v>448</v>
      </c>
      <c r="E1143" s="3">
        <v>90</v>
      </c>
      <c r="F1143" s="3">
        <v>5</v>
      </c>
      <c r="G1143" s="4">
        <v>44776</v>
      </c>
    </row>
    <row r="1144" spans="2:7">
      <c r="C1144" s="2" t="s">
        <v>18</v>
      </c>
      <c r="D1144" s="2" t="s">
        <v>448</v>
      </c>
      <c r="E1144" s="3">
        <v>40</v>
      </c>
      <c r="F1144" s="3">
        <v>4</v>
      </c>
      <c r="G1144" s="4">
        <v>44176</v>
      </c>
    </row>
    <row r="1145" spans="2:7">
      <c r="C1145" s="2" t="s">
        <v>7</v>
      </c>
      <c r="D1145" s="2" t="s">
        <v>448</v>
      </c>
      <c r="E1145" s="3">
        <v>20</v>
      </c>
      <c r="F1145" s="3">
        <v>3</v>
      </c>
      <c r="G1145" s="4">
        <v>43879</v>
      </c>
    </row>
    <row r="1146" spans="2:7">
      <c r="C1146" s="2" t="s">
        <v>7</v>
      </c>
      <c r="D1146" s="2" t="s">
        <v>416</v>
      </c>
      <c r="E1146" s="3">
        <v>16</v>
      </c>
      <c r="F1146" s="3">
        <v>4</v>
      </c>
      <c r="G1146" s="4">
        <v>42995</v>
      </c>
    </row>
    <row r="1147" spans="2:7">
      <c r="C1147" s="2" t="s">
        <v>5</v>
      </c>
      <c r="D1147" s="2" t="s">
        <v>416</v>
      </c>
      <c r="E1147" s="3">
        <v>8</v>
      </c>
      <c r="F1147" s="3">
        <v>4</v>
      </c>
      <c r="G1147" s="4">
        <v>42416</v>
      </c>
    </row>
    <row r="1148" spans="2:7">
      <c r="C1148" s="2" t="s">
        <v>7</v>
      </c>
      <c r="D1148" s="2" t="s">
        <v>360</v>
      </c>
      <c r="E1148" s="3">
        <v>27.5</v>
      </c>
      <c r="F1148" s="3">
        <f>E1148/4</f>
        <v>6.875</v>
      </c>
      <c r="G1148" s="4">
        <v>44181</v>
      </c>
    </row>
    <row r="1149" spans="2:7">
      <c r="C1149" s="2" t="s">
        <v>5</v>
      </c>
      <c r="D1149" s="2" t="s">
        <v>360</v>
      </c>
      <c r="E1149" s="3">
        <v>10.7</v>
      </c>
      <c r="F1149" s="3">
        <v>4</v>
      </c>
      <c r="G1149" s="4">
        <v>43250</v>
      </c>
    </row>
    <row r="1150" spans="2:7">
      <c r="C1150" s="2" t="s">
        <v>5</v>
      </c>
      <c r="D1150" s="2" t="s">
        <v>302</v>
      </c>
      <c r="E1150" s="3">
        <v>10</v>
      </c>
      <c r="F1150" s="3">
        <v>3</v>
      </c>
      <c r="G1150" s="4">
        <v>44637</v>
      </c>
    </row>
    <row r="1151" spans="2:7">
      <c r="C1151" s="2" t="s">
        <v>4</v>
      </c>
      <c r="D1151" s="2" t="s">
        <v>302</v>
      </c>
      <c r="E1151" s="3">
        <v>4.5</v>
      </c>
      <c r="F1151" s="3">
        <v>2</v>
      </c>
      <c r="G1151" s="4">
        <v>44175</v>
      </c>
    </row>
    <row r="1152" spans="2:7">
      <c r="C1152" s="2" t="s">
        <v>4</v>
      </c>
      <c r="D1152" s="2" t="s">
        <v>1056</v>
      </c>
      <c r="E1152" s="3">
        <v>4.3</v>
      </c>
      <c r="F1152" s="3">
        <f>E1152/3</f>
        <v>1.4333333333333333</v>
      </c>
      <c r="G1152" s="4">
        <v>42821</v>
      </c>
    </row>
    <row r="1153" spans="2:18">
      <c r="C1153" s="2" t="s">
        <v>53</v>
      </c>
      <c r="D1153" s="2" t="s">
        <v>47</v>
      </c>
      <c r="E1153" s="3">
        <v>100</v>
      </c>
      <c r="F1153" s="3">
        <v>11</v>
      </c>
      <c r="G1153" s="4">
        <v>44515</v>
      </c>
      <c r="I1153" s="1">
        <v>4100</v>
      </c>
      <c r="J1153" s="1">
        <v>4100</v>
      </c>
    </row>
    <row r="1154" spans="2:18">
      <c r="C1154" s="2" t="s">
        <v>8</v>
      </c>
      <c r="D1154" s="2" t="s">
        <v>47</v>
      </c>
      <c r="E1154" s="3">
        <v>145</v>
      </c>
      <c r="F1154" s="3">
        <f>85/6</f>
        <v>14.166666666666666</v>
      </c>
      <c r="G1154" s="4">
        <v>43228</v>
      </c>
      <c r="I1154" s="1">
        <v>855</v>
      </c>
      <c r="J1154" s="1">
        <v>4100</v>
      </c>
    </row>
    <row r="1155" spans="2:18">
      <c r="C1155" s="2" t="s">
        <v>18</v>
      </c>
      <c r="D1155" s="2" t="s">
        <v>47</v>
      </c>
      <c r="E1155" s="3">
        <v>50</v>
      </c>
      <c r="F1155" s="3">
        <v>10</v>
      </c>
      <c r="G1155" s="4">
        <v>42509</v>
      </c>
      <c r="J1155" s="1">
        <v>4100</v>
      </c>
    </row>
    <row r="1156" spans="2:18">
      <c r="C1156" s="2" t="s">
        <v>7</v>
      </c>
      <c r="D1156" s="2" t="s">
        <v>47</v>
      </c>
      <c r="E1156" s="3">
        <v>30</v>
      </c>
      <c r="F1156" s="3">
        <v>20</v>
      </c>
      <c r="G1156" s="4">
        <v>41808</v>
      </c>
      <c r="J1156" s="1">
        <v>4100</v>
      </c>
    </row>
    <row r="1157" spans="2:18">
      <c r="C1157" s="241" t="s">
        <v>5</v>
      </c>
      <c r="D1157" s="241" t="s">
        <v>7584</v>
      </c>
      <c r="E1157" s="3">
        <v>2.2000000000000002</v>
      </c>
      <c r="F1157" s="3">
        <v>1</v>
      </c>
      <c r="G1157" s="4">
        <v>43906</v>
      </c>
    </row>
    <row r="1158" spans="2:18">
      <c r="G1158" s="4"/>
    </row>
    <row r="1159" spans="2:18" s="12" customFormat="1">
      <c r="B1159" s="12" t="s">
        <v>11</v>
      </c>
      <c r="C1159" s="13" t="s">
        <v>969</v>
      </c>
      <c r="D1159" s="13" t="s">
        <v>968</v>
      </c>
      <c r="E1159" s="15"/>
      <c r="F1159" s="15">
        <f>SUM(F1160:F1162)</f>
        <v>153.33333333333334</v>
      </c>
      <c r="G1159" s="14">
        <f>+G1162</f>
        <v>45230</v>
      </c>
      <c r="M1159" s="13"/>
      <c r="N1159" s="13"/>
      <c r="O1159" s="13"/>
      <c r="P1159" s="13"/>
      <c r="Q1159" s="13"/>
      <c r="R1159" s="13"/>
    </row>
    <row r="1160" spans="2:18">
      <c r="C1160" s="2" t="s">
        <v>9</v>
      </c>
      <c r="D1160" s="2" t="s">
        <v>3</v>
      </c>
      <c r="E1160" s="3">
        <v>90</v>
      </c>
      <c r="F1160" s="3">
        <v>10</v>
      </c>
      <c r="G1160" s="4">
        <v>44721</v>
      </c>
      <c r="I1160" s="1">
        <v>2200</v>
      </c>
      <c r="J1160" s="1">
        <v>2500</v>
      </c>
    </row>
    <row r="1161" spans="2:18">
      <c r="C1161" s="2" t="s">
        <v>8</v>
      </c>
      <c r="D1161" s="2" t="s">
        <v>3</v>
      </c>
      <c r="E1161" s="3">
        <v>210</v>
      </c>
      <c r="F1161" s="3">
        <v>110</v>
      </c>
      <c r="G1161" s="4">
        <v>44432</v>
      </c>
      <c r="I1161" s="1">
        <v>1000</v>
      </c>
      <c r="J1161" s="1">
        <v>2500</v>
      </c>
    </row>
    <row r="1162" spans="2:18">
      <c r="C1162" s="265" t="s">
        <v>53</v>
      </c>
      <c r="D1162" s="2" t="s">
        <v>3</v>
      </c>
      <c r="E1162" s="3">
        <v>200</v>
      </c>
      <c r="F1162" s="3">
        <v>33.333333333333336</v>
      </c>
      <c r="G1162" s="4">
        <v>45230</v>
      </c>
      <c r="J1162" s="1">
        <v>2500</v>
      </c>
    </row>
    <row r="1163" spans="2:18">
      <c r="G1163" s="4"/>
    </row>
    <row r="1164" spans="2:18" s="12" customFormat="1">
      <c r="B1164" s="12" t="s">
        <v>207</v>
      </c>
      <c r="C1164" s="13" t="s">
        <v>969</v>
      </c>
      <c r="D1164" s="13" t="s">
        <v>968</v>
      </c>
      <c r="E1164" s="15"/>
      <c r="F1164" s="15">
        <f>SUM(F1165:F1166)</f>
        <v>120</v>
      </c>
      <c r="G1164" s="14">
        <f>G1165</f>
        <v>44274</v>
      </c>
      <c r="M1164" s="13"/>
      <c r="N1164" s="13"/>
      <c r="O1164" s="13"/>
      <c r="P1164" s="13"/>
      <c r="Q1164" s="13"/>
      <c r="R1164" s="13"/>
    </row>
    <row r="1165" spans="2:18">
      <c r="B1165" s="238" t="s">
        <v>7636</v>
      </c>
      <c r="C1165" s="2" t="s">
        <v>18</v>
      </c>
      <c r="D1165" s="2" t="s">
        <v>197</v>
      </c>
      <c r="E1165" s="3">
        <v>500</v>
      </c>
      <c r="F1165" s="3">
        <v>100</v>
      </c>
      <c r="G1165" s="4">
        <v>44274</v>
      </c>
    </row>
    <row r="1166" spans="2:18">
      <c r="B1166" s="254" t="s">
        <v>7631</v>
      </c>
      <c r="C1166" s="2" t="s">
        <v>8</v>
      </c>
      <c r="D1166" s="2" t="s">
        <v>2134</v>
      </c>
      <c r="E1166" s="3">
        <v>200</v>
      </c>
      <c r="F1166" s="3">
        <v>20</v>
      </c>
      <c r="G1166" s="4">
        <v>44237</v>
      </c>
    </row>
    <row r="1167" spans="2:18">
      <c r="G1167" s="4"/>
    </row>
    <row r="1168" spans="2:18">
      <c r="B1168" s="12" t="s">
        <v>1095</v>
      </c>
      <c r="C1168" s="13" t="s">
        <v>969</v>
      </c>
      <c r="D1168" s="13" t="s">
        <v>968</v>
      </c>
      <c r="F1168" s="15">
        <f>SUM(F1169:F1173)</f>
        <v>118.75</v>
      </c>
      <c r="G1168" s="14">
        <f>G1170</f>
        <v>45050</v>
      </c>
    </row>
    <row r="1169" spans="2:10">
      <c r="C1169" s="2" t="s">
        <v>18</v>
      </c>
      <c r="D1169" s="2" t="s">
        <v>803</v>
      </c>
      <c r="E1169" s="3">
        <v>100</v>
      </c>
      <c r="F1169" s="3">
        <v>13</v>
      </c>
      <c r="G1169" s="4">
        <v>43682</v>
      </c>
    </row>
    <row r="1170" spans="2:10">
      <c r="C1170" s="2" t="s">
        <v>4</v>
      </c>
      <c r="D1170" s="2" t="s">
        <v>1094</v>
      </c>
      <c r="E1170" s="3">
        <v>8</v>
      </c>
      <c r="F1170" s="3">
        <v>7</v>
      </c>
      <c r="G1170" s="4">
        <v>45050</v>
      </c>
    </row>
    <row r="1171" spans="2:10">
      <c r="C1171" s="2" t="s">
        <v>9</v>
      </c>
      <c r="D1171" s="2" t="s">
        <v>55</v>
      </c>
      <c r="E1171" s="3">
        <v>250</v>
      </c>
      <c r="F1171" s="3">
        <f>150/5</f>
        <v>30</v>
      </c>
      <c r="G1171" s="4">
        <v>44350</v>
      </c>
      <c r="I1171" s="1">
        <v>7000</v>
      </c>
      <c r="J1171" s="1">
        <v>7000</v>
      </c>
    </row>
    <row r="1172" spans="2:10">
      <c r="C1172" s="2" t="s">
        <v>8</v>
      </c>
      <c r="D1172" s="2" t="s">
        <v>55</v>
      </c>
      <c r="E1172" s="3">
        <v>200</v>
      </c>
      <c r="F1172" s="3">
        <f>150/8</f>
        <v>18.75</v>
      </c>
      <c r="G1172" s="4">
        <v>44055</v>
      </c>
      <c r="I1172" s="1">
        <v>2000</v>
      </c>
      <c r="J1172" s="1">
        <v>7000</v>
      </c>
    </row>
    <row r="1173" spans="2:10">
      <c r="C1173" s="2" t="s">
        <v>1</v>
      </c>
      <c r="D1173" s="2" t="s">
        <v>0</v>
      </c>
      <c r="E1173" s="3">
        <v>300</v>
      </c>
      <c r="F1173" s="3">
        <v>50</v>
      </c>
      <c r="G1173" s="4">
        <v>45044</v>
      </c>
      <c r="I1173" s="1">
        <v>28700</v>
      </c>
      <c r="J1173" s="1">
        <v>28700</v>
      </c>
    </row>
    <row r="1174" spans="2:10">
      <c r="G1174" s="4"/>
    </row>
    <row r="1175" spans="2:10">
      <c r="B1175" s="12" t="s">
        <v>7294</v>
      </c>
      <c r="C1175" s="13" t="s">
        <v>969</v>
      </c>
      <c r="D1175" s="13" t="s">
        <v>968</v>
      </c>
      <c r="E1175" s="15"/>
      <c r="F1175" s="15">
        <f>SUM(F1176:F1191)</f>
        <v>117.86666666666667</v>
      </c>
      <c r="G1175" s="14">
        <f>G1183</f>
        <v>45005</v>
      </c>
      <c r="I1175" s="216" t="s">
        <v>7293</v>
      </c>
    </row>
    <row r="1176" spans="2:10">
      <c r="B1176" s="253" t="s">
        <v>7632</v>
      </c>
      <c r="C1176" s="2" t="s">
        <v>18</v>
      </c>
      <c r="D1176" s="2" t="s">
        <v>957</v>
      </c>
      <c r="E1176" s="3">
        <v>50</v>
      </c>
      <c r="F1176" s="3">
        <f>30/5</f>
        <v>6</v>
      </c>
      <c r="G1176" s="4">
        <v>44900</v>
      </c>
      <c r="I1176" s="1">
        <v>450</v>
      </c>
      <c r="J1176" s="1">
        <v>1400</v>
      </c>
    </row>
    <row r="1177" spans="2:10">
      <c r="C1177" s="2" t="s">
        <v>18</v>
      </c>
      <c r="D1177" s="2" t="s">
        <v>1064</v>
      </c>
      <c r="E1177" s="3">
        <v>85</v>
      </c>
      <c r="F1177" s="3">
        <v>10</v>
      </c>
      <c r="G1177" s="4">
        <v>44501</v>
      </c>
    </row>
    <row r="1178" spans="2:10">
      <c r="C1178" s="2" t="s">
        <v>7</v>
      </c>
      <c r="D1178" s="2" t="s">
        <v>1064</v>
      </c>
      <c r="E1178" s="3">
        <v>28</v>
      </c>
      <c r="F1178" s="3">
        <v>5</v>
      </c>
      <c r="G1178" s="4">
        <v>44272</v>
      </c>
    </row>
    <row r="1179" spans="2:10">
      <c r="C1179" s="2" t="s">
        <v>5</v>
      </c>
      <c r="D1179" s="2" t="s">
        <v>1064</v>
      </c>
      <c r="E1179" s="3">
        <v>15</v>
      </c>
      <c r="F1179" s="3">
        <v>5</v>
      </c>
      <c r="G1179" s="4">
        <v>43924</v>
      </c>
    </row>
    <row r="1180" spans="2:10">
      <c r="C1180" s="2" t="s">
        <v>4</v>
      </c>
      <c r="D1180" s="2" t="s">
        <v>1064</v>
      </c>
      <c r="E1180" s="3">
        <v>3.9</v>
      </c>
      <c r="F1180" s="3">
        <v>2.9</v>
      </c>
      <c r="G1180" s="4">
        <v>43761</v>
      </c>
    </row>
    <row r="1181" spans="2:10">
      <c r="C1181" s="2" t="s">
        <v>4</v>
      </c>
      <c r="D1181" s="2" t="s">
        <v>1024</v>
      </c>
      <c r="E1181" s="3">
        <v>2.8</v>
      </c>
      <c r="F1181" s="3">
        <v>0.8</v>
      </c>
      <c r="G1181" s="4">
        <v>44994</v>
      </c>
    </row>
    <row r="1182" spans="2:10">
      <c r="C1182" s="2" t="s">
        <v>4</v>
      </c>
      <c r="D1182" s="2" t="s">
        <v>1024</v>
      </c>
      <c r="E1182" s="3">
        <v>2.6</v>
      </c>
      <c r="F1182" s="3">
        <v>1</v>
      </c>
      <c r="G1182" s="4">
        <v>44147</v>
      </c>
    </row>
    <row r="1183" spans="2:10">
      <c r="C1183" s="2" t="s">
        <v>5</v>
      </c>
      <c r="D1183" s="2" t="s">
        <v>688</v>
      </c>
      <c r="E1183" s="3">
        <v>12.5</v>
      </c>
      <c r="F1183" s="3">
        <v>7</v>
      </c>
      <c r="G1183" s="4">
        <v>45005</v>
      </c>
    </row>
    <row r="1184" spans="2:10">
      <c r="C1184" s="2" t="s">
        <v>4</v>
      </c>
      <c r="D1184" s="2" t="s">
        <v>652</v>
      </c>
      <c r="E1184" s="3">
        <v>12</v>
      </c>
      <c r="F1184" s="3">
        <v>2</v>
      </c>
      <c r="G1184" s="4">
        <v>44971</v>
      </c>
    </row>
    <row r="1185" spans="2:7">
      <c r="C1185" s="2" t="s">
        <v>4</v>
      </c>
      <c r="D1185" s="2" t="s">
        <v>596</v>
      </c>
      <c r="E1185" s="3">
        <v>6</v>
      </c>
      <c r="F1185" s="3">
        <v>2</v>
      </c>
      <c r="G1185" s="4">
        <v>44781</v>
      </c>
    </row>
    <row r="1186" spans="2:7">
      <c r="C1186" s="2" t="s">
        <v>278</v>
      </c>
      <c r="D1186" s="2" t="s">
        <v>596</v>
      </c>
      <c r="E1186" s="3">
        <v>1</v>
      </c>
      <c r="F1186" s="3">
        <v>0.5</v>
      </c>
      <c r="G1186" s="4">
        <v>44476</v>
      </c>
    </row>
    <row r="1187" spans="2:7">
      <c r="C1187" s="2" t="s">
        <v>7</v>
      </c>
      <c r="D1187" s="2" t="s">
        <v>1063</v>
      </c>
      <c r="E1187" s="3">
        <v>100</v>
      </c>
      <c r="F1187" s="3">
        <v>15</v>
      </c>
      <c r="G1187" s="4">
        <v>45106</v>
      </c>
    </row>
    <row r="1188" spans="2:7">
      <c r="C1188" s="92" t="s">
        <v>7</v>
      </c>
      <c r="D1188" s="92" t="s">
        <v>5440</v>
      </c>
      <c r="E1188" s="3">
        <v>75</v>
      </c>
      <c r="F1188" s="3">
        <f>50/3</f>
        <v>16.666666666666668</v>
      </c>
      <c r="G1188" s="4">
        <v>44677</v>
      </c>
    </row>
    <row r="1189" spans="2:7">
      <c r="C1189" s="92" t="s">
        <v>5</v>
      </c>
      <c r="D1189" s="92" t="s">
        <v>5440</v>
      </c>
      <c r="E1189" s="3">
        <v>40</v>
      </c>
      <c r="F1189" s="3">
        <v>40</v>
      </c>
      <c r="G1189" s="4">
        <v>44682</v>
      </c>
    </row>
    <row r="1190" spans="2:7">
      <c r="C1190" s="92" t="s">
        <v>5</v>
      </c>
      <c r="D1190" s="92" t="s">
        <v>2017</v>
      </c>
      <c r="E1190" s="3">
        <v>10</v>
      </c>
      <c r="F1190" s="3">
        <v>2</v>
      </c>
      <c r="G1190" s="4">
        <v>44504</v>
      </c>
    </row>
    <row r="1191" spans="2:7">
      <c r="C1191" s="92" t="s">
        <v>4</v>
      </c>
      <c r="D1191" s="92" t="s">
        <v>2017</v>
      </c>
      <c r="E1191" s="3">
        <v>4</v>
      </c>
      <c r="F1191" s="3">
        <v>2</v>
      </c>
      <c r="G1191" s="4">
        <v>44097</v>
      </c>
    </row>
    <row r="1192" spans="2:7">
      <c r="G1192" s="4"/>
    </row>
    <row r="1193" spans="2:7">
      <c r="B1193" s="12" t="s">
        <v>1080</v>
      </c>
      <c r="C1193" s="13" t="s">
        <v>969</v>
      </c>
      <c r="D1193" s="13" t="s">
        <v>968</v>
      </c>
      <c r="F1193" s="15">
        <f>SUM(F1194:F1198)</f>
        <v>114.13043478260869</v>
      </c>
      <c r="G1193" s="14">
        <f>+G1196</f>
        <v>44622</v>
      </c>
    </row>
    <row r="1194" spans="2:7">
      <c r="C1194" s="2" t="s">
        <v>18</v>
      </c>
      <c r="D1194" s="2" t="s">
        <v>798</v>
      </c>
      <c r="E1194" s="3">
        <v>50</v>
      </c>
      <c r="F1194" s="3">
        <v>8</v>
      </c>
      <c r="G1194" s="4">
        <v>44496</v>
      </c>
    </row>
    <row r="1195" spans="2:7">
      <c r="C1195" s="2" t="s">
        <v>18</v>
      </c>
      <c r="D1195" s="2" t="s">
        <v>883</v>
      </c>
      <c r="E1195" s="3">
        <v>200</v>
      </c>
      <c r="F1195" s="3">
        <v>50</v>
      </c>
      <c r="G1195" s="4">
        <v>44377</v>
      </c>
    </row>
    <row r="1196" spans="2:7">
      <c r="C1196" s="2" t="s">
        <v>8</v>
      </c>
      <c r="D1196" s="2" t="s">
        <v>258</v>
      </c>
      <c r="E1196" s="3">
        <v>111</v>
      </c>
      <c r="F1196" s="3">
        <v>7</v>
      </c>
      <c r="G1196" s="4">
        <v>44622</v>
      </c>
    </row>
    <row r="1197" spans="2:7">
      <c r="C1197" s="2" t="s">
        <v>18</v>
      </c>
      <c r="D1197" s="2" t="s">
        <v>258</v>
      </c>
      <c r="E1197" s="3">
        <v>55</v>
      </c>
      <c r="F1197" s="3">
        <v>10</v>
      </c>
      <c r="G1197" s="4">
        <v>44314</v>
      </c>
    </row>
    <row r="1198" spans="2:7">
      <c r="C1198" s="265" t="s">
        <v>504</v>
      </c>
      <c r="D1198" s="265" t="s">
        <v>1006</v>
      </c>
      <c r="E1198" s="3">
        <v>1000</v>
      </c>
      <c r="F1198" s="3">
        <f>900/23</f>
        <v>39.130434782608695</v>
      </c>
      <c r="G1198" s="4">
        <v>44228</v>
      </c>
    </row>
    <row r="1199" spans="2:7">
      <c r="G1199" s="4"/>
    </row>
    <row r="1200" spans="2:7" s="12" customFormat="1">
      <c r="B1200" s="12" t="s">
        <v>496</v>
      </c>
      <c r="C1200" s="13" t="s">
        <v>969</v>
      </c>
      <c r="D1200" s="13" t="s">
        <v>968</v>
      </c>
      <c r="E1200" s="15"/>
      <c r="F1200" s="15">
        <f>SUM(F1201:F1202)</f>
        <v>114</v>
      </c>
      <c r="G1200" s="14">
        <f>G1202</f>
        <v>44608</v>
      </c>
    </row>
    <row r="1201" spans="2:18">
      <c r="C1201" s="2" t="s">
        <v>9</v>
      </c>
      <c r="D1201" s="2" t="s">
        <v>489</v>
      </c>
      <c r="E1201" s="3">
        <v>206</v>
      </c>
      <c r="F1201" s="3">
        <v>14</v>
      </c>
      <c r="G1201" s="4">
        <v>43725</v>
      </c>
      <c r="M1201" s="1"/>
      <c r="N1201" s="1"/>
      <c r="O1201" s="1"/>
      <c r="P1201" s="1"/>
      <c r="Q1201" s="1"/>
      <c r="R1201" s="1"/>
    </row>
    <row r="1202" spans="2:18">
      <c r="C1202" s="2" t="s">
        <v>9</v>
      </c>
      <c r="D1202" s="2" t="s">
        <v>386</v>
      </c>
      <c r="E1202" s="3">
        <v>400</v>
      </c>
      <c r="F1202" s="3">
        <v>100</v>
      </c>
      <c r="G1202" s="4">
        <v>44608</v>
      </c>
      <c r="M1202" s="1"/>
      <c r="N1202" s="1"/>
      <c r="O1202" s="1"/>
      <c r="P1202" s="1"/>
      <c r="Q1202" s="1"/>
      <c r="R1202" s="1"/>
    </row>
    <row r="1203" spans="2:18">
      <c r="G1203" s="4"/>
      <c r="M1203" s="1"/>
      <c r="N1203" s="1"/>
      <c r="O1203" s="1"/>
      <c r="P1203" s="1"/>
      <c r="Q1203" s="1"/>
      <c r="R1203" s="1"/>
    </row>
    <row r="1204" spans="2:18" s="12" customFormat="1">
      <c r="B1204" s="12" t="s">
        <v>824</v>
      </c>
      <c r="C1204" s="13" t="s">
        <v>4230</v>
      </c>
      <c r="D1204" s="13" t="s">
        <v>968</v>
      </c>
      <c r="E1204" s="15"/>
      <c r="F1204" s="15">
        <f>SUM(F1205:F1207)</f>
        <v>110.5</v>
      </c>
      <c r="G1204" s="14">
        <f>G1205</f>
        <v>44578</v>
      </c>
      <c r="M1204" s="13"/>
      <c r="N1204" s="13"/>
      <c r="O1204" s="13"/>
      <c r="P1204" s="13"/>
      <c r="Q1204" s="13"/>
      <c r="R1204" s="13"/>
    </row>
    <row r="1205" spans="2:18">
      <c r="C1205" s="2" t="s">
        <v>5</v>
      </c>
      <c r="D1205" s="2" t="s">
        <v>819</v>
      </c>
      <c r="E1205" s="3">
        <v>20</v>
      </c>
      <c r="F1205" s="3">
        <v>2</v>
      </c>
      <c r="G1205" s="4">
        <v>44578</v>
      </c>
    </row>
    <row r="1206" spans="2:18">
      <c r="C1206" s="2" t="s">
        <v>8</v>
      </c>
      <c r="D1206" s="2" t="s">
        <v>253</v>
      </c>
      <c r="E1206" s="3">
        <v>600</v>
      </c>
      <c r="F1206" s="3">
        <f>500/8</f>
        <v>62.5</v>
      </c>
      <c r="G1206" s="4">
        <v>44502</v>
      </c>
    </row>
    <row r="1207" spans="2:18">
      <c r="C1207" s="2" t="s">
        <v>5</v>
      </c>
      <c r="D1207" s="2" t="s">
        <v>253</v>
      </c>
      <c r="E1207" s="3">
        <v>92</v>
      </c>
      <c r="F1207" s="3">
        <f>E1207/2</f>
        <v>46</v>
      </c>
      <c r="G1207" s="4">
        <v>43130</v>
      </c>
    </row>
    <row r="1208" spans="2:18">
      <c r="G1208" s="4"/>
    </row>
    <row r="1209" spans="2:18" s="12" customFormat="1">
      <c r="B1209" s="12" t="s">
        <v>54</v>
      </c>
      <c r="C1209" s="13" t="s">
        <v>969</v>
      </c>
      <c r="D1209" s="13" t="s">
        <v>968</v>
      </c>
      <c r="E1209" s="15"/>
      <c r="F1209" s="15">
        <f>SUM(F1210:F1215)</f>
        <v>109.92142857142856</v>
      </c>
      <c r="G1209" s="14">
        <f>G1215</f>
        <v>45183</v>
      </c>
      <c r="M1209" s="13"/>
      <c r="N1209" s="13"/>
      <c r="O1209" s="13"/>
      <c r="P1209" s="13"/>
      <c r="Q1209" s="13"/>
      <c r="R1209" s="13"/>
    </row>
    <row r="1210" spans="2:18">
      <c r="C1210" s="2" t="s">
        <v>53</v>
      </c>
      <c r="D1210" s="2" t="s">
        <v>47</v>
      </c>
      <c r="E1210" s="3">
        <v>100</v>
      </c>
      <c r="F1210" s="3">
        <v>11</v>
      </c>
      <c r="G1210" s="4">
        <v>44515</v>
      </c>
      <c r="I1210" s="1">
        <v>4100</v>
      </c>
      <c r="J1210" s="1">
        <v>4100</v>
      </c>
    </row>
    <row r="1211" spans="2:18">
      <c r="C1211" s="2" t="s">
        <v>18</v>
      </c>
      <c r="D1211" s="2" t="s">
        <v>47</v>
      </c>
      <c r="E1211" s="3">
        <v>60</v>
      </c>
      <c r="F1211" s="3">
        <v>20</v>
      </c>
      <c r="G1211" s="4">
        <v>42964</v>
      </c>
      <c r="J1211" s="1">
        <v>4100</v>
      </c>
    </row>
    <row r="1212" spans="2:18">
      <c r="C1212" s="2" t="s">
        <v>9</v>
      </c>
      <c r="D1212" s="2" t="s">
        <v>52</v>
      </c>
      <c r="E1212" s="3">
        <v>220</v>
      </c>
      <c r="F1212" s="3">
        <v>28</v>
      </c>
      <c r="G1212" s="4">
        <v>44357</v>
      </c>
      <c r="I1212" s="1">
        <v>1900</v>
      </c>
      <c r="J1212" s="1">
        <v>1900</v>
      </c>
    </row>
    <row r="1213" spans="2:18">
      <c r="C1213" s="2" t="s">
        <v>8</v>
      </c>
      <c r="D1213" s="2" t="s">
        <v>52</v>
      </c>
      <c r="E1213" s="3">
        <v>125</v>
      </c>
      <c r="F1213" s="3">
        <v>18.75</v>
      </c>
      <c r="G1213" s="4">
        <v>44131</v>
      </c>
      <c r="I1213" s="1">
        <v>875</v>
      </c>
      <c r="J1213" s="1">
        <v>1900</v>
      </c>
    </row>
    <row r="1214" spans="2:18">
      <c r="C1214" s="55" t="s">
        <v>7</v>
      </c>
      <c r="D1214" s="55" t="s">
        <v>2112</v>
      </c>
      <c r="E1214" s="3">
        <v>20</v>
      </c>
      <c r="F1214" s="3">
        <f>13/3</f>
        <v>4.333333333333333</v>
      </c>
      <c r="G1214" s="4">
        <v>42317</v>
      </c>
      <c r="J1214" s="1">
        <v>1600</v>
      </c>
    </row>
    <row r="1215" spans="2:18">
      <c r="C1215" s="265" t="s">
        <v>7890</v>
      </c>
      <c r="D1215" s="265" t="s">
        <v>1006</v>
      </c>
      <c r="E1215" s="3">
        <v>684.6</v>
      </c>
      <c r="F1215" s="3">
        <f>584.6/21</f>
        <v>27.838095238095239</v>
      </c>
      <c r="G1215" s="4">
        <v>45183</v>
      </c>
    </row>
    <row r="1216" spans="2:18">
      <c r="G1216" s="4"/>
    </row>
    <row r="1217" spans="2:18" s="12" customFormat="1">
      <c r="B1217" s="12" t="s">
        <v>20</v>
      </c>
      <c r="C1217" s="13" t="s">
        <v>969</v>
      </c>
      <c r="D1217" s="13" t="s">
        <v>968</v>
      </c>
      <c r="E1217" s="15"/>
      <c r="F1217" s="15">
        <f>SUM(F1218:F1219)</f>
        <v>110</v>
      </c>
      <c r="G1217" s="14">
        <f>G1218</f>
        <v>44502</v>
      </c>
      <c r="M1217" s="13"/>
      <c r="N1217" s="13"/>
      <c r="O1217" s="13"/>
      <c r="P1217" s="13"/>
      <c r="Q1217" s="13"/>
      <c r="R1217" s="13"/>
    </row>
    <row r="1218" spans="2:18">
      <c r="C1218" s="2" t="s">
        <v>8</v>
      </c>
      <c r="D1218" s="2" t="s">
        <v>15</v>
      </c>
      <c r="E1218" s="3">
        <v>220</v>
      </c>
      <c r="F1218" s="3">
        <v>50</v>
      </c>
      <c r="G1218" s="4">
        <v>44502</v>
      </c>
      <c r="I1218" s="1">
        <v>794</v>
      </c>
      <c r="J1218" s="1">
        <v>794</v>
      </c>
    </row>
    <row r="1219" spans="2:18">
      <c r="C1219" s="2" t="s">
        <v>8</v>
      </c>
      <c r="D1219" s="2" t="s">
        <v>15</v>
      </c>
      <c r="E1219" s="3">
        <v>220</v>
      </c>
      <c r="F1219" s="3">
        <v>60</v>
      </c>
      <c r="G1219" s="4">
        <v>44322</v>
      </c>
      <c r="I1219" s="1">
        <v>780</v>
      </c>
      <c r="J1219" s="1">
        <v>780</v>
      </c>
    </row>
    <row r="1220" spans="2:18">
      <c r="G1220" s="4"/>
    </row>
    <row r="1221" spans="2:18" s="12" customFormat="1">
      <c r="B1221" s="12" t="s">
        <v>121</v>
      </c>
      <c r="C1221" s="13" t="s">
        <v>969</v>
      </c>
      <c r="D1221" s="13" t="s">
        <v>968</v>
      </c>
      <c r="E1221" s="15"/>
      <c r="F1221" s="15">
        <f>SUM(F1222:F1223)</f>
        <v>106.25</v>
      </c>
      <c r="G1221" s="14">
        <f>G1222</f>
        <v>44510</v>
      </c>
      <c r="M1221" s="13"/>
      <c r="N1221" s="13"/>
      <c r="O1221" s="13"/>
      <c r="P1221" s="13"/>
      <c r="Q1221" s="13"/>
      <c r="R1221" s="13"/>
    </row>
    <row r="1222" spans="2:18">
      <c r="C1222" s="2" t="s">
        <v>5</v>
      </c>
      <c r="D1222" s="2" t="s">
        <v>110</v>
      </c>
      <c r="E1222" s="3">
        <v>25</v>
      </c>
      <c r="F1222" s="3">
        <v>8</v>
      </c>
      <c r="G1222" s="4">
        <v>44510</v>
      </c>
    </row>
    <row r="1223" spans="2:18">
      <c r="C1223" s="2" t="s">
        <v>2486</v>
      </c>
      <c r="D1223" s="2" t="s">
        <v>3935</v>
      </c>
      <c r="E1223" s="3">
        <v>196.5</v>
      </c>
      <c r="F1223" s="3">
        <f>E1223/2</f>
        <v>98.25</v>
      </c>
      <c r="G1223" s="4">
        <v>41544</v>
      </c>
      <c r="I1223" s="1">
        <v>8000</v>
      </c>
      <c r="J1223" s="1">
        <v>32500</v>
      </c>
    </row>
    <row r="1224" spans="2:18">
      <c r="G1224" s="4"/>
    </row>
    <row r="1225" spans="2:18" s="12" customFormat="1">
      <c r="B1225" s="12" t="s">
        <v>1073</v>
      </c>
      <c r="C1225" s="13" t="s">
        <v>969</v>
      </c>
      <c r="D1225" s="13" t="s">
        <v>968</v>
      </c>
      <c r="E1225" s="15"/>
      <c r="F1225" s="15">
        <f>SUM(F1226:F1238)</f>
        <v>105.71666666666667</v>
      </c>
      <c r="G1225" s="14">
        <f>G1227</f>
        <v>44860</v>
      </c>
      <c r="M1225" s="13"/>
      <c r="N1225" s="13"/>
      <c r="O1225" s="13"/>
      <c r="P1225" s="13"/>
      <c r="Q1225" s="13"/>
      <c r="R1225" s="13"/>
    </row>
    <row r="1226" spans="2:18">
      <c r="C1226" s="2" t="s">
        <v>7</v>
      </c>
      <c r="D1226" s="2" t="s">
        <v>891</v>
      </c>
      <c r="E1226" s="3">
        <v>40</v>
      </c>
      <c r="F1226" s="3">
        <v>10</v>
      </c>
      <c r="G1226" s="4">
        <v>44650</v>
      </c>
    </row>
    <row r="1227" spans="2:18">
      <c r="C1227" s="2" t="s">
        <v>7</v>
      </c>
      <c r="D1227" s="2" t="s">
        <v>1072</v>
      </c>
      <c r="E1227" s="3">
        <v>37</v>
      </c>
      <c r="F1227" s="3">
        <v>4</v>
      </c>
      <c r="G1227" s="4">
        <v>44860</v>
      </c>
    </row>
    <row r="1228" spans="2:18">
      <c r="C1228" s="2" t="s">
        <v>7</v>
      </c>
      <c r="D1228" s="2" t="s">
        <v>1072</v>
      </c>
      <c r="E1228" s="3">
        <v>80</v>
      </c>
      <c r="F1228" s="3">
        <v>10</v>
      </c>
      <c r="G1228" s="4">
        <v>44327</v>
      </c>
    </row>
    <row r="1229" spans="2:18">
      <c r="C1229" s="2" t="s">
        <v>5</v>
      </c>
      <c r="D1229" s="2" t="s">
        <v>1072</v>
      </c>
      <c r="E1229" s="3">
        <v>30</v>
      </c>
      <c r="F1229" s="3">
        <v>10</v>
      </c>
      <c r="G1229" s="4">
        <v>43963</v>
      </c>
    </row>
    <row r="1230" spans="2:18">
      <c r="C1230" s="2" t="s">
        <v>9</v>
      </c>
      <c r="D1230" s="2" t="s">
        <v>22</v>
      </c>
      <c r="E1230" s="3">
        <v>222</v>
      </c>
      <c r="F1230" s="3">
        <v>10</v>
      </c>
      <c r="G1230" s="4">
        <v>44194</v>
      </c>
      <c r="I1230" s="1">
        <v>2500</v>
      </c>
      <c r="J1230" s="1">
        <v>2500</v>
      </c>
    </row>
    <row r="1231" spans="2:18">
      <c r="C1231" s="2" t="s">
        <v>8</v>
      </c>
      <c r="D1231" s="2" t="s">
        <v>22</v>
      </c>
      <c r="E1231" s="3">
        <v>200</v>
      </c>
      <c r="F1231" s="3">
        <v>13</v>
      </c>
      <c r="G1231" s="4">
        <v>43452</v>
      </c>
      <c r="I1231" s="1">
        <v>1500</v>
      </c>
      <c r="J1231" s="1">
        <v>2500</v>
      </c>
    </row>
    <row r="1232" spans="2:18">
      <c r="C1232" s="2" t="s">
        <v>18</v>
      </c>
      <c r="D1232" s="2" t="s">
        <v>22</v>
      </c>
      <c r="E1232" s="3">
        <v>50</v>
      </c>
      <c r="F1232" s="3">
        <v>5</v>
      </c>
      <c r="G1232" s="4">
        <v>43051</v>
      </c>
      <c r="J1232" s="1">
        <v>2500</v>
      </c>
    </row>
    <row r="1233" spans="2:18">
      <c r="C1233" s="2" t="s">
        <v>7</v>
      </c>
      <c r="D1233" s="2" t="s">
        <v>22</v>
      </c>
      <c r="E1233" s="3">
        <v>30</v>
      </c>
      <c r="F1233" s="3">
        <v>3</v>
      </c>
      <c r="G1233" s="4">
        <v>42936</v>
      </c>
      <c r="J1233" s="1">
        <v>2500</v>
      </c>
    </row>
    <row r="1234" spans="2:18">
      <c r="C1234" s="52" t="s">
        <v>8</v>
      </c>
      <c r="D1234" s="52" t="s">
        <v>4882</v>
      </c>
      <c r="E1234" s="3">
        <v>83</v>
      </c>
      <c r="F1234" s="3">
        <v>6.8</v>
      </c>
      <c r="G1234" s="4">
        <v>44320</v>
      </c>
      <c r="I1234" s="1">
        <v>3600</v>
      </c>
      <c r="J1234" s="1">
        <v>3600</v>
      </c>
    </row>
    <row r="1235" spans="2:18">
      <c r="C1235" s="52" t="s">
        <v>18</v>
      </c>
      <c r="D1235" s="52" t="s">
        <v>4882</v>
      </c>
      <c r="E1235" s="3">
        <v>100</v>
      </c>
      <c r="F1235" s="3">
        <v>10</v>
      </c>
      <c r="G1235" s="4">
        <v>43937</v>
      </c>
      <c r="I1235" s="1">
        <v>1100</v>
      </c>
      <c r="J1235" s="1">
        <v>3600</v>
      </c>
    </row>
    <row r="1236" spans="2:18">
      <c r="C1236" s="52" t="s">
        <v>7</v>
      </c>
      <c r="D1236" s="52" t="s">
        <v>4882</v>
      </c>
      <c r="E1236" s="3">
        <v>40</v>
      </c>
      <c r="F1236" s="3">
        <v>10</v>
      </c>
      <c r="G1236" s="4">
        <v>43522</v>
      </c>
      <c r="J1236" s="1">
        <v>3600</v>
      </c>
    </row>
    <row r="1237" spans="2:18">
      <c r="C1237" s="52" t="s">
        <v>5</v>
      </c>
      <c r="D1237" s="52" t="s">
        <v>4882</v>
      </c>
      <c r="E1237" s="3">
        <v>25</v>
      </c>
      <c r="F1237" s="3">
        <f>E1237/4</f>
        <v>6.25</v>
      </c>
      <c r="G1237" s="4">
        <v>43172</v>
      </c>
      <c r="J1237" s="1">
        <v>3600</v>
      </c>
    </row>
    <row r="1238" spans="2:18">
      <c r="C1238" s="55" t="s">
        <v>9</v>
      </c>
      <c r="D1238" s="55" t="s">
        <v>4996</v>
      </c>
      <c r="E1238" s="3">
        <v>43</v>
      </c>
      <c r="F1238" s="3">
        <f>23/3</f>
        <v>7.666666666666667</v>
      </c>
      <c r="G1238" s="4">
        <v>43992</v>
      </c>
    </row>
    <row r="1239" spans="2:18">
      <c r="G1239" s="4"/>
    </row>
    <row r="1240" spans="2:18" s="12" customFormat="1">
      <c r="B1240" s="12" t="s">
        <v>248</v>
      </c>
      <c r="C1240" s="13" t="s">
        <v>969</v>
      </c>
      <c r="D1240" s="13" t="s">
        <v>968</v>
      </c>
      <c r="E1240" s="15"/>
      <c r="F1240" s="15">
        <f>SUM(F1241:F1242)</f>
        <v>105</v>
      </c>
      <c r="G1240" s="14">
        <f>G1241</f>
        <v>43223</v>
      </c>
      <c r="M1240" s="13"/>
      <c r="N1240" s="13"/>
      <c r="O1240" s="13"/>
      <c r="P1240" s="13"/>
      <c r="Q1240" s="13"/>
      <c r="R1240" s="13"/>
    </row>
    <row r="1241" spans="2:18">
      <c r="C1241" s="2" t="s">
        <v>18</v>
      </c>
      <c r="D1241" s="2" t="s">
        <v>245</v>
      </c>
      <c r="E1241" s="3">
        <v>820</v>
      </c>
      <c r="F1241" s="3">
        <f>600/6</f>
        <v>100</v>
      </c>
      <c r="G1241" s="4">
        <v>43223</v>
      </c>
    </row>
    <row r="1242" spans="2:18">
      <c r="C1242" s="55" t="s">
        <v>18</v>
      </c>
      <c r="D1242" s="55" t="s">
        <v>2112</v>
      </c>
      <c r="E1242" s="3">
        <v>40</v>
      </c>
      <c r="F1242" s="3">
        <v>5</v>
      </c>
      <c r="G1242" s="4">
        <v>43069</v>
      </c>
      <c r="J1242" s="1">
        <v>1600</v>
      </c>
    </row>
    <row r="1243" spans="2:18">
      <c r="G1243" s="4"/>
    </row>
    <row r="1244" spans="2:18" s="12" customFormat="1">
      <c r="B1244" s="12" t="s">
        <v>76</v>
      </c>
      <c r="C1244" s="13" t="s">
        <v>969</v>
      </c>
      <c r="D1244" s="13" t="s">
        <v>968</v>
      </c>
      <c r="E1244" s="15"/>
      <c r="F1244" s="15">
        <f>SUM(F1245:F1251)</f>
        <v>104.5</v>
      </c>
      <c r="G1244" s="14">
        <f>G1249</f>
        <v>44578</v>
      </c>
      <c r="K1244" s="46"/>
      <c r="M1244" s="13"/>
      <c r="N1244" s="13"/>
      <c r="O1244" s="13"/>
      <c r="P1244" s="13"/>
      <c r="Q1244" s="13"/>
      <c r="R1244" s="13"/>
    </row>
    <row r="1245" spans="2:18">
      <c r="C1245" s="2" t="s">
        <v>8</v>
      </c>
      <c r="D1245" s="2" t="s">
        <v>74</v>
      </c>
      <c r="E1245" s="3">
        <v>81</v>
      </c>
      <c r="F1245" s="3">
        <f>+E1245/6</f>
        <v>13.5</v>
      </c>
      <c r="G1245" s="4">
        <v>43418</v>
      </c>
      <c r="I1245" s="1">
        <v>1700</v>
      </c>
      <c r="J1245" s="1">
        <v>3800</v>
      </c>
      <c r="K1245" s="5">
        <f>(E1245/(I1245+E1245))*J1245*(F1245/E1245)</f>
        <v>28.804042672655811</v>
      </c>
    </row>
    <row r="1246" spans="2:18">
      <c r="C1246" s="2" t="s">
        <v>18</v>
      </c>
      <c r="D1246" s="2" t="s">
        <v>74</v>
      </c>
      <c r="E1246" s="3">
        <v>60</v>
      </c>
      <c r="F1246" s="3">
        <f>+E1246/5</f>
        <v>12</v>
      </c>
      <c r="G1246" s="4">
        <v>42736</v>
      </c>
      <c r="I1246" s="1">
        <v>800</v>
      </c>
      <c r="J1246" s="1">
        <v>3800</v>
      </c>
      <c r="K1246" s="5">
        <f>(E1246/(I1246+E1246))*J1246*(F1246/E1246)</f>
        <v>53.023255813953483</v>
      </c>
    </row>
    <row r="1247" spans="2:18">
      <c r="C1247" s="2" t="s">
        <v>7</v>
      </c>
      <c r="D1247" s="2" t="s">
        <v>74</v>
      </c>
      <c r="E1247" s="3">
        <v>25</v>
      </c>
      <c r="F1247" s="3">
        <v>15</v>
      </c>
      <c r="G1247" s="4">
        <v>42723</v>
      </c>
      <c r="I1247" s="1">
        <v>245</v>
      </c>
      <c r="J1247" s="1">
        <v>3800</v>
      </c>
      <c r="K1247" s="5">
        <f>(E1247/(I1247+E1247))*J1247*(F1247/E1247)</f>
        <v>211.11111111111111</v>
      </c>
    </row>
    <row r="1248" spans="2:18">
      <c r="C1248" s="2" t="s">
        <v>5</v>
      </c>
      <c r="D1248" s="2" t="s">
        <v>74</v>
      </c>
      <c r="E1248" s="3">
        <v>27</v>
      </c>
      <c r="F1248" s="3">
        <v>27</v>
      </c>
      <c r="G1248" s="4">
        <v>42495</v>
      </c>
      <c r="I1248" s="5">
        <v>62.5</v>
      </c>
      <c r="J1248" s="1">
        <v>3800</v>
      </c>
      <c r="K1248" s="5">
        <f>(E1248/(I1248+E1248))*J1248*(F1248/E1248)</f>
        <v>1146.3687150837989</v>
      </c>
    </row>
    <row r="1249" spans="2:18">
      <c r="C1249" s="2" t="s">
        <v>7</v>
      </c>
      <c r="D1249" s="2" t="s">
        <v>2129</v>
      </c>
      <c r="E1249" s="3">
        <v>176</v>
      </c>
      <c r="F1249" s="3">
        <v>26</v>
      </c>
      <c r="G1249" s="4">
        <v>44578</v>
      </c>
      <c r="I1249" s="5"/>
      <c r="K1249" s="5"/>
    </row>
    <row r="1250" spans="2:18">
      <c r="C1250" s="2" t="s">
        <v>5</v>
      </c>
      <c r="D1250" s="2" t="s">
        <v>2129</v>
      </c>
      <c r="E1250" s="3">
        <v>20</v>
      </c>
      <c r="F1250" s="3">
        <v>3</v>
      </c>
      <c r="G1250" s="4">
        <v>44044</v>
      </c>
      <c r="I1250" s="5"/>
      <c r="K1250" s="5"/>
    </row>
    <row r="1251" spans="2:18">
      <c r="C1251" s="2" t="s">
        <v>5</v>
      </c>
      <c r="D1251" s="2" t="s">
        <v>2129</v>
      </c>
      <c r="E1251" s="3">
        <v>20</v>
      </c>
      <c r="F1251" s="3">
        <v>8</v>
      </c>
      <c r="G1251" s="4">
        <v>43647</v>
      </c>
      <c r="I1251" s="5"/>
      <c r="K1251" s="5"/>
    </row>
    <row r="1252" spans="2:18">
      <c r="G1252" s="4"/>
      <c r="I1252" s="5"/>
      <c r="K1252" s="5"/>
    </row>
    <row r="1253" spans="2:18" s="12" customFormat="1">
      <c r="B1253" s="12" t="s">
        <v>7911</v>
      </c>
      <c r="C1253" s="13" t="s">
        <v>969</v>
      </c>
      <c r="D1253" s="13" t="s">
        <v>968</v>
      </c>
      <c r="E1253" s="15"/>
      <c r="F1253" s="15">
        <f>SUM(F1254:F1262)</f>
        <v>104.22499999999999</v>
      </c>
      <c r="G1253" s="14">
        <f>G1255</f>
        <v>44880</v>
      </c>
    </row>
    <row r="1254" spans="2:18">
      <c r="C1254" s="2" t="s">
        <v>5</v>
      </c>
      <c r="D1254" s="2" t="s">
        <v>465</v>
      </c>
      <c r="E1254" s="3">
        <v>15.5</v>
      </c>
      <c r="F1254" s="3">
        <v>3</v>
      </c>
      <c r="G1254" s="4">
        <v>44727</v>
      </c>
      <c r="M1254" s="1"/>
      <c r="N1254" s="1"/>
      <c r="O1254" s="1"/>
      <c r="P1254" s="1"/>
      <c r="Q1254" s="1"/>
      <c r="R1254" s="1"/>
    </row>
    <row r="1255" spans="2:18">
      <c r="C1255" s="2" t="s">
        <v>8</v>
      </c>
      <c r="D1255" s="2" t="s">
        <v>131</v>
      </c>
      <c r="E1255" s="3">
        <v>135</v>
      </c>
      <c r="F1255" s="3">
        <v>8</v>
      </c>
      <c r="G1255" s="4">
        <v>44880</v>
      </c>
      <c r="M1255" s="1"/>
      <c r="N1255" s="1"/>
      <c r="O1255" s="1"/>
      <c r="P1255" s="1"/>
      <c r="Q1255" s="1"/>
      <c r="R1255" s="1"/>
    </row>
    <row r="1256" spans="2:18">
      <c r="C1256" s="2" t="s">
        <v>18</v>
      </c>
      <c r="D1256" s="2" t="s">
        <v>131</v>
      </c>
      <c r="E1256" s="3">
        <v>31.7</v>
      </c>
      <c r="F1256" s="3">
        <v>7</v>
      </c>
      <c r="G1256" s="4">
        <v>43599</v>
      </c>
      <c r="M1256" s="1"/>
      <c r="N1256" s="1"/>
      <c r="O1256" s="1"/>
      <c r="P1256" s="1"/>
      <c r="Q1256" s="1"/>
      <c r="R1256" s="1"/>
    </row>
    <row r="1257" spans="2:18">
      <c r="C1257" s="2" t="s">
        <v>7</v>
      </c>
      <c r="D1257" s="2" t="s">
        <v>131</v>
      </c>
      <c r="E1257" s="3">
        <v>32</v>
      </c>
      <c r="F1257" s="3">
        <f>20/4</f>
        <v>5</v>
      </c>
      <c r="G1257" s="4">
        <v>42528</v>
      </c>
      <c r="M1257" s="1"/>
      <c r="N1257" s="1"/>
      <c r="O1257" s="1"/>
      <c r="P1257" s="1"/>
      <c r="Q1257" s="1"/>
      <c r="R1257" s="1"/>
    </row>
    <row r="1258" spans="2:18">
      <c r="C1258" s="2" t="s">
        <v>18</v>
      </c>
      <c r="D1258" s="2" t="s">
        <v>192</v>
      </c>
      <c r="E1258" s="3">
        <v>235</v>
      </c>
      <c r="F1258" s="3">
        <f>85/2</f>
        <v>42.5</v>
      </c>
      <c r="G1258" s="4">
        <v>44384</v>
      </c>
      <c r="M1258" s="1"/>
      <c r="N1258" s="1"/>
      <c r="O1258" s="1"/>
      <c r="P1258" s="1"/>
      <c r="Q1258" s="1"/>
      <c r="R1258" s="1"/>
    </row>
    <row r="1259" spans="2:18">
      <c r="C1259" s="2" t="s">
        <v>7</v>
      </c>
      <c r="D1259" s="2" t="s">
        <v>192</v>
      </c>
      <c r="E1259" s="3">
        <f>43</f>
        <v>43</v>
      </c>
      <c r="F1259" s="3">
        <f>E1259/5</f>
        <v>8.6</v>
      </c>
      <c r="G1259" s="4">
        <v>44077</v>
      </c>
      <c r="M1259" s="1"/>
      <c r="N1259" s="1"/>
      <c r="O1259" s="1"/>
      <c r="P1259" s="1"/>
      <c r="Q1259" s="1"/>
      <c r="R1259" s="1"/>
    </row>
    <row r="1260" spans="2:18">
      <c r="C1260" s="2" t="s">
        <v>5</v>
      </c>
      <c r="D1260" s="2" t="s">
        <v>192</v>
      </c>
      <c r="E1260" s="3">
        <v>15</v>
      </c>
      <c r="F1260" s="3">
        <v>5</v>
      </c>
      <c r="G1260" s="4">
        <v>43479</v>
      </c>
      <c r="M1260" s="1"/>
      <c r="N1260" s="1"/>
      <c r="O1260" s="1"/>
      <c r="P1260" s="1"/>
      <c r="Q1260" s="1"/>
      <c r="R1260" s="1"/>
    </row>
    <row r="1261" spans="2:18">
      <c r="C1261" s="241" t="s">
        <v>5</v>
      </c>
      <c r="D1261" s="241" t="s">
        <v>7431</v>
      </c>
      <c r="E1261" s="3">
        <v>10</v>
      </c>
      <c r="F1261" s="3">
        <v>2</v>
      </c>
      <c r="G1261" s="4">
        <v>44384</v>
      </c>
      <c r="M1261" s="1"/>
      <c r="N1261" s="1"/>
      <c r="O1261" s="1"/>
      <c r="P1261" s="1"/>
      <c r="Q1261" s="1"/>
      <c r="R1261" s="1"/>
    </row>
    <row r="1262" spans="2:18">
      <c r="C1262" s="265" t="s">
        <v>8</v>
      </c>
      <c r="D1262" s="265" t="s">
        <v>926</v>
      </c>
      <c r="E1262" s="3">
        <v>235</v>
      </c>
      <c r="F1262" s="3">
        <f>185/8</f>
        <v>23.125</v>
      </c>
      <c r="G1262" s="4">
        <v>45161</v>
      </c>
      <c r="J1262" s="1">
        <v>4300</v>
      </c>
      <c r="M1262" s="1"/>
      <c r="N1262" s="1"/>
      <c r="O1262" s="1"/>
      <c r="P1262" s="1"/>
      <c r="Q1262" s="1"/>
      <c r="R1262" s="1"/>
    </row>
    <row r="1263" spans="2:18">
      <c r="G1263" s="4"/>
      <c r="M1263" s="1"/>
      <c r="N1263" s="1"/>
      <c r="O1263" s="1"/>
      <c r="P1263" s="1"/>
      <c r="Q1263" s="1"/>
      <c r="R1263" s="1"/>
    </row>
    <row r="1264" spans="2:18" s="12" customFormat="1">
      <c r="B1264" s="12" t="s">
        <v>7912</v>
      </c>
      <c r="C1264" s="13" t="s">
        <v>969</v>
      </c>
      <c r="D1264" s="13" t="s">
        <v>968</v>
      </c>
      <c r="E1264" s="15"/>
      <c r="F1264" s="15">
        <f>SUM(F1265:F1270)</f>
        <v>104.26984126984127</v>
      </c>
      <c r="G1264" s="14">
        <f>G1266</f>
        <v>45104</v>
      </c>
      <c r="I1264" s="1" t="s">
        <v>1</v>
      </c>
      <c r="J1264" s="1" t="s">
        <v>1</v>
      </c>
      <c r="K1264" s="1" t="s">
        <v>1</v>
      </c>
      <c r="M1264" s="13"/>
      <c r="N1264" s="13"/>
      <c r="O1264" s="13"/>
      <c r="P1264" s="13"/>
      <c r="Q1264" s="13"/>
      <c r="R1264" s="13"/>
    </row>
    <row r="1265" spans="2:18">
      <c r="C1265" s="2" t="s">
        <v>18</v>
      </c>
      <c r="D1265" s="2" t="s">
        <v>1005</v>
      </c>
      <c r="E1265" s="3">
        <v>100</v>
      </c>
      <c r="F1265" s="3">
        <v>10</v>
      </c>
      <c r="G1265" s="4">
        <v>44754</v>
      </c>
    </row>
    <row r="1266" spans="2:18">
      <c r="C1266" s="2" t="s">
        <v>5</v>
      </c>
      <c r="D1266" s="2" t="s">
        <v>546</v>
      </c>
      <c r="E1266" s="3">
        <v>58</v>
      </c>
      <c r="F1266" s="3">
        <v>8</v>
      </c>
      <c r="G1266" s="4">
        <v>45104</v>
      </c>
    </row>
    <row r="1267" spans="2:18">
      <c r="C1267" s="2" t="s">
        <v>53</v>
      </c>
      <c r="D1267" s="2" t="s">
        <v>489</v>
      </c>
      <c r="E1267" s="3">
        <v>50</v>
      </c>
      <c r="F1267" s="3">
        <v>20</v>
      </c>
      <c r="G1267" s="4">
        <v>44174</v>
      </c>
    </row>
    <row r="1268" spans="2:18">
      <c r="C1268" s="2" t="s">
        <v>9</v>
      </c>
      <c r="D1268" s="2" t="s">
        <v>154</v>
      </c>
      <c r="E1268" s="3">
        <v>400</v>
      </c>
      <c r="F1268" s="3">
        <v>35.555555555555557</v>
      </c>
      <c r="G1268" s="4">
        <v>44413</v>
      </c>
    </row>
    <row r="1269" spans="2:18">
      <c r="C1269" s="2" t="s">
        <v>53</v>
      </c>
      <c r="D1269" s="2" t="s">
        <v>47</v>
      </c>
      <c r="E1269" s="3">
        <v>100</v>
      </c>
      <c r="F1269" s="3">
        <f>75/7</f>
        <v>10.714285714285714</v>
      </c>
      <c r="G1269" s="4">
        <v>44515</v>
      </c>
      <c r="I1269" s="1">
        <v>4100</v>
      </c>
      <c r="J1269" s="1">
        <v>4100</v>
      </c>
    </row>
    <row r="1270" spans="2:18">
      <c r="C1270" s="2" t="s">
        <v>1089</v>
      </c>
      <c r="D1270" s="2" t="s">
        <v>47</v>
      </c>
      <c r="E1270" s="3">
        <v>20</v>
      </c>
      <c r="F1270" s="3">
        <v>20</v>
      </c>
      <c r="G1270" s="4">
        <v>44265</v>
      </c>
    </row>
    <row r="1271" spans="2:18">
      <c r="G1271" s="4"/>
    </row>
    <row r="1272" spans="2:18" s="12" customFormat="1">
      <c r="B1272" s="12" t="s">
        <v>174</v>
      </c>
      <c r="C1272" s="13" t="s">
        <v>969</v>
      </c>
      <c r="D1272" s="13" t="s">
        <v>968</v>
      </c>
      <c r="E1272" s="15"/>
      <c r="F1272" s="15">
        <f>SUM(F1273:F1276)</f>
        <v>103.4</v>
      </c>
      <c r="G1272" s="14">
        <f>G1276</f>
        <v>44287</v>
      </c>
      <c r="M1272" s="13"/>
      <c r="N1272" s="13"/>
      <c r="O1272" s="13"/>
      <c r="P1272" s="13"/>
      <c r="Q1272" s="13"/>
      <c r="R1272" s="13"/>
    </row>
    <row r="1273" spans="2:18">
      <c r="C1273" s="2" t="s">
        <v>18</v>
      </c>
      <c r="D1273" s="2" t="s">
        <v>161</v>
      </c>
      <c r="E1273" s="3">
        <v>100</v>
      </c>
      <c r="F1273" s="3">
        <v>14</v>
      </c>
      <c r="G1273" s="4">
        <v>44235</v>
      </c>
      <c r="I1273" s="1">
        <v>5200</v>
      </c>
      <c r="J1273" s="1">
        <v>8400</v>
      </c>
    </row>
    <row r="1274" spans="2:18">
      <c r="C1274" s="2" t="s">
        <v>18</v>
      </c>
      <c r="D1274" s="2" t="s">
        <v>161</v>
      </c>
      <c r="E1274" s="3">
        <v>267</v>
      </c>
      <c r="F1274" s="3">
        <f>167/5</f>
        <v>33.4</v>
      </c>
      <c r="G1274" s="4">
        <v>44140</v>
      </c>
      <c r="I1274" s="1">
        <v>5000</v>
      </c>
      <c r="J1274" s="1">
        <v>8400</v>
      </c>
    </row>
    <row r="1275" spans="2:18">
      <c r="C1275" s="2" t="s">
        <v>5</v>
      </c>
      <c r="D1275" s="2" t="s">
        <v>161</v>
      </c>
      <c r="E1275" s="3">
        <v>102</v>
      </c>
      <c r="F1275" s="3">
        <v>16</v>
      </c>
      <c r="G1275" s="4">
        <v>43292</v>
      </c>
      <c r="J1275" s="1">
        <v>8400</v>
      </c>
    </row>
    <row r="1276" spans="2:18">
      <c r="C1276" s="2" t="s">
        <v>8</v>
      </c>
      <c r="D1276" s="2" t="s">
        <v>2134</v>
      </c>
      <c r="E1276" s="3">
        <v>220</v>
      </c>
      <c r="F1276" s="3">
        <v>40</v>
      </c>
      <c r="G1276" s="4">
        <v>44287</v>
      </c>
    </row>
    <row r="1277" spans="2:18">
      <c r="G1277" s="4"/>
    </row>
    <row r="1278" spans="2:18" s="12" customFormat="1">
      <c r="B1278" s="12" t="s">
        <v>501</v>
      </c>
      <c r="C1278" s="13" t="s">
        <v>969</v>
      </c>
      <c r="D1278" s="13" t="s">
        <v>968</v>
      </c>
      <c r="E1278" s="15"/>
      <c r="F1278" s="15">
        <f>SUM(F1279:F1281)</f>
        <v>101.68994708994708</v>
      </c>
      <c r="G1278" s="14">
        <f>G1280</f>
        <v>45183</v>
      </c>
      <c r="M1278" s="13"/>
      <c r="N1278" s="13"/>
      <c r="O1278" s="13"/>
      <c r="P1278" s="13"/>
      <c r="Q1278" s="13"/>
      <c r="R1278" s="13"/>
    </row>
    <row r="1279" spans="2:18">
      <c r="C1279" s="2" t="s">
        <v>53</v>
      </c>
      <c r="D1279" s="2" t="s">
        <v>489</v>
      </c>
      <c r="E1279" s="3">
        <v>270</v>
      </c>
      <c r="F1279" s="3">
        <v>22</v>
      </c>
      <c r="G1279" s="4">
        <v>44152</v>
      </c>
      <c r="M1279" s="1"/>
      <c r="N1279" s="1"/>
      <c r="O1279" s="1"/>
      <c r="P1279" s="1"/>
      <c r="Q1279" s="1"/>
      <c r="R1279" s="1"/>
    </row>
    <row r="1280" spans="2:18">
      <c r="C1280" s="265" t="s">
        <v>7890</v>
      </c>
      <c r="D1280" s="265" t="s">
        <v>1006</v>
      </c>
      <c r="E1280" s="3">
        <v>684.6</v>
      </c>
      <c r="F1280" s="3">
        <f>584.6/21</f>
        <v>27.838095238095239</v>
      </c>
      <c r="G1280" s="4">
        <v>45183</v>
      </c>
      <c r="I1280" s="1">
        <v>42500</v>
      </c>
      <c r="J1280" s="1">
        <v>42500</v>
      </c>
      <c r="M1280" s="1"/>
      <c r="N1280" s="1"/>
      <c r="O1280" s="1"/>
      <c r="P1280" s="1"/>
      <c r="Q1280" s="1"/>
      <c r="R1280" s="1"/>
    </row>
    <row r="1281" spans="2:18">
      <c r="C1281" s="265" t="s">
        <v>2486</v>
      </c>
      <c r="D1281" s="265" t="s">
        <v>1006</v>
      </c>
      <c r="E1281" s="3">
        <v>1600</v>
      </c>
      <c r="F1281" s="3">
        <f>1400/27</f>
        <v>51.851851851851855</v>
      </c>
      <c r="G1281" s="4">
        <v>44439</v>
      </c>
      <c r="I1281" s="1">
        <v>36400</v>
      </c>
      <c r="J1281" s="1">
        <v>42500</v>
      </c>
      <c r="M1281" s="1"/>
      <c r="N1281" s="1"/>
      <c r="O1281" s="1"/>
      <c r="P1281" s="1"/>
      <c r="Q1281" s="1"/>
      <c r="R1281" s="1"/>
    </row>
    <row r="1282" spans="2:18">
      <c r="G1282" s="4"/>
      <c r="M1282" s="1"/>
      <c r="N1282" s="1"/>
      <c r="O1282" s="1"/>
      <c r="P1282" s="1"/>
      <c r="Q1282" s="1"/>
      <c r="R1282" s="1"/>
    </row>
    <row r="1283" spans="2:18" s="12" customFormat="1">
      <c r="B1283" s="12" t="s">
        <v>78</v>
      </c>
      <c r="C1283" s="13" t="s">
        <v>969</v>
      </c>
      <c r="D1283" s="13" t="s">
        <v>968</v>
      </c>
      <c r="E1283" s="15"/>
      <c r="F1283" s="15">
        <f>SUM(F1284:F1286)</f>
        <v>101.5</v>
      </c>
      <c r="G1283" s="14">
        <f>G1284</f>
        <v>44510</v>
      </c>
      <c r="K1283" s="46"/>
      <c r="M1283" s="13"/>
      <c r="N1283" s="13"/>
      <c r="O1283" s="13"/>
      <c r="P1283" s="13"/>
      <c r="Q1283" s="13"/>
      <c r="R1283" s="13"/>
    </row>
    <row r="1284" spans="2:18">
      <c r="C1284" s="2" t="s">
        <v>53</v>
      </c>
      <c r="D1284" s="2" t="s">
        <v>74</v>
      </c>
      <c r="E1284" s="3">
        <v>250</v>
      </c>
      <c r="F1284" s="3">
        <v>50</v>
      </c>
      <c r="G1284" s="4">
        <v>44510</v>
      </c>
      <c r="I1284" s="1">
        <v>3800</v>
      </c>
      <c r="J1284" s="1">
        <v>3800</v>
      </c>
      <c r="K1284" s="5">
        <f>(E1284/(I1284+E1284))*J1284*(F1284/E1284)</f>
        <v>46.913580246913583</v>
      </c>
    </row>
    <row r="1285" spans="2:18">
      <c r="C1285" s="2" t="s">
        <v>9</v>
      </c>
      <c r="D1285" s="2" t="s">
        <v>47</v>
      </c>
      <c r="E1285" s="3">
        <v>248</v>
      </c>
      <c r="F1285" s="3">
        <f>150/4</f>
        <v>37.5</v>
      </c>
      <c r="G1285" s="4">
        <v>43678</v>
      </c>
      <c r="I1285" s="1">
        <v>1700</v>
      </c>
      <c r="J1285" s="1">
        <v>4100</v>
      </c>
      <c r="K1285" s="5">
        <f>(E1285/(I1285+E1285))*J1285*(F1285/E1285)</f>
        <v>78.927104722792606</v>
      </c>
    </row>
    <row r="1286" spans="2:18">
      <c r="C1286" s="55" t="s">
        <v>53</v>
      </c>
      <c r="D1286" s="55" t="s">
        <v>4996</v>
      </c>
      <c r="E1286" s="3">
        <v>100</v>
      </c>
      <c r="F1286" s="3">
        <f>70/5</f>
        <v>14</v>
      </c>
      <c r="G1286" s="4">
        <v>44474</v>
      </c>
      <c r="K1286" s="5"/>
    </row>
    <row r="1287" spans="2:18">
      <c r="G1287" s="4"/>
      <c r="K1287" s="5"/>
    </row>
    <row r="1288" spans="2:18" s="12" customFormat="1">
      <c r="B1288" s="12" t="s">
        <v>5995</v>
      </c>
      <c r="C1288" s="13" t="s">
        <v>969</v>
      </c>
      <c r="D1288" s="13" t="s">
        <v>968</v>
      </c>
      <c r="E1288" s="15"/>
      <c r="F1288" s="15">
        <f>SUM(F1289:F1294)</f>
        <v>102.1857142857143</v>
      </c>
      <c r="G1288" s="14">
        <f>G1289</f>
        <v>45037</v>
      </c>
    </row>
    <row r="1289" spans="2:18">
      <c r="C1289" s="2" t="s">
        <v>4</v>
      </c>
      <c r="D1289" s="2" t="s">
        <v>509</v>
      </c>
      <c r="E1289" s="3">
        <v>3</v>
      </c>
      <c r="F1289" s="3">
        <v>0.5</v>
      </c>
      <c r="G1289" s="4">
        <v>45037</v>
      </c>
      <c r="M1289" s="1"/>
      <c r="N1289" s="1"/>
      <c r="O1289" s="1"/>
      <c r="P1289" s="1"/>
      <c r="Q1289" s="1"/>
      <c r="R1289" s="1"/>
    </row>
    <row r="1290" spans="2:18">
      <c r="C1290" s="2" t="s">
        <v>7</v>
      </c>
      <c r="D1290" s="2" t="s">
        <v>475</v>
      </c>
      <c r="E1290" s="3">
        <v>90</v>
      </c>
      <c r="F1290" s="3">
        <v>6</v>
      </c>
      <c r="G1290" s="4">
        <v>44398</v>
      </c>
      <c r="M1290" s="1"/>
      <c r="N1290" s="1"/>
      <c r="O1290" s="1"/>
      <c r="P1290" s="1"/>
      <c r="Q1290" s="1"/>
      <c r="R1290" s="1"/>
    </row>
    <row r="1291" spans="2:18">
      <c r="C1291" s="2" t="s">
        <v>9</v>
      </c>
      <c r="D1291" s="2" t="s">
        <v>176</v>
      </c>
      <c r="E1291" s="3">
        <v>392</v>
      </c>
      <c r="F1291" s="3">
        <f>E1291/5</f>
        <v>78.400000000000006</v>
      </c>
      <c r="G1291" s="4">
        <v>43280</v>
      </c>
      <c r="M1291" s="1"/>
      <c r="N1291" s="1"/>
      <c r="O1291" s="1"/>
      <c r="P1291" s="1"/>
      <c r="Q1291" s="1"/>
      <c r="R1291" s="1"/>
    </row>
    <row r="1292" spans="2:18">
      <c r="C1292" s="52" t="s">
        <v>18</v>
      </c>
      <c r="D1292" s="52" t="s">
        <v>2118</v>
      </c>
      <c r="E1292" s="3">
        <v>300</v>
      </c>
      <c r="F1292" s="3">
        <f>200/14</f>
        <v>14.285714285714286</v>
      </c>
      <c r="G1292" s="4">
        <v>44300</v>
      </c>
      <c r="M1292" s="1"/>
      <c r="N1292" s="1"/>
      <c r="O1292" s="1"/>
      <c r="P1292" s="1"/>
      <c r="Q1292" s="1"/>
      <c r="R1292" s="1"/>
    </row>
    <row r="1293" spans="2:18">
      <c r="C1293" s="92" t="s">
        <v>5</v>
      </c>
      <c r="D1293" s="92" t="s">
        <v>5990</v>
      </c>
      <c r="E1293" s="3">
        <v>3</v>
      </c>
      <c r="F1293" s="3">
        <v>1</v>
      </c>
      <c r="G1293" s="4">
        <v>44140</v>
      </c>
      <c r="J1293" s="1">
        <v>250</v>
      </c>
      <c r="M1293" s="1"/>
      <c r="N1293" s="1"/>
      <c r="O1293" s="1"/>
      <c r="P1293" s="1"/>
      <c r="Q1293" s="1"/>
      <c r="R1293" s="1"/>
    </row>
    <row r="1294" spans="2:18">
      <c r="C1294" s="92" t="s">
        <v>5</v>
      </c>
      <c r="D1294" s="92" t="s">
        <v>5990</v>
      </c>
      <c r="E1294" s="3">
        <v>12</v>
      </c>
      <c r="F1294" s="3">
        <v>2</v>
      </c>
      <c r="G1294" s="4">
        <v>43941</v>
      </c>
      <c r="J1294" s="1">
        <v>250</v>
      </c>
      <c r="M1294" s="1"/>
      <c r="N1294" s="1"/>
      <c r="O1294" s="1"/>
      <c r="P1294" s="1"/>
      <c r="Q1294" s="1"/>
      <c r="R1294" s="1"/>
    </row>
    <row r="1295" spans="2:18">
      <c r="G1295" s="4"/>
      <c r="M1295" s="1"/>
      <c r="N1295" s="1"/>
      <c r="O1295" s="1"/>
      <c r="P1295" s="1"/>
      <c r="Q1295" s="1"/>
      <c r="R1295" s="1"/>
    </row>
    <row r="1296" spans="2:18" s="12" customFormat="1">
      <c r="B1296" s="12" t="s">
        <v>46</v>
      </c>
      <c r="C1296" s="13" t="s">
        <v>969</v>
      </c>
      <c r="D1296" s="13" t="s">
        <v>968</v>
      </c>
      <c r="E1296" s="15"/>
      <c r="F1296" s="15">
        <f>SUM(F1297:F1299)</f>
        <v>95</v>
      </c>
      <c r="G1296" s="14">
        <f>G1297</f>
        <v>44984</v>
      </c>
      <c r="M1296" s="13"/>
      <c r="N1296" s="13"/>
      <c r="O1296" s="13"/>
      <c r="P1296" s="13"/>
      <c r="Q1296" s="13"/>
      <c r="R1296" s="13"/>
    </row>
    <row r="1297" spans="2:18">
      <c r="C1297" s="2" t="s">
        <v>9</v>
      </c>
      <c r="D1297" s="2" t="s">
        <v>39</v>
      </c>
      <c r="E1297" s="3">
        <v>230</v>
      </c>
      <c r="F1297" s="3">
        <v>60</v>
      </c>
      <c r="G1297" s="4">
        <v>44984</v>
      </c>
      <c r="I1297" s="1">
        <v>2000</v>
      </c>
      <c r="J1297" s="1">
        <v>2000</v>
      </c>
    </row>
    <row r="1298" spans="2:18">
      <c r="C1298" s="2" t="s">
        <v>8</v>
      </c>
      <c r="D1298" s="2" t="s">
        <v>39</v>
      </c>
      <c r="E1298" s="3">
        <v>170</v>
      </c>
      <c r="F1298" s="3">
        <v>22</v>
      </c>
      <c r="G1298" s="4">
        <v>44255</v>
      </c>
      <c r="I1298" s="1">
        <v>830</v>
      </c>
      <c r="J1298" s="1">
        <v>2000</v>
      </c>
    </row>
    <row r="1299" spans="2:18">
      <c r="C1299" s="2" t="s">
        <v>7</v>
      </c>
      <c r="D1299" s="2" t="s">
        <v>2129</v>
      </c>
      <c r="E1299" s="3">
        <v>176</v>
      </c>
      <c r="F1299" s="3">
        <v>13</v>
      </c>
      <c r="G1299" s="4">
        <v>44578</v>
      </c>
    </row>
    <row r="1300" spans="2:18">
      <c r="G1300" s="4"/>
    </row>
    <row r="1301" spans="2:18" s="12" customFormat="1">
      <c r="B1301" s="12" t="s">
        <v>1087</v>
      </c>
      <c r="C1301" s="13" t="s">
        <v>969</v>
      </c>
      <c r="D1301" s="13" t="s">
        <v>968</v>
      </c>
      <c r="E1301" s="15"/>
      <c r="F1301" s="15">
        <f>SUM(F1302:F1317)</f>
        <v>92.738095238095241</v>
      </c>
      <c r="G1301" s="14">
        <f>G1302</f>
        <v>45042</v>
      </c>
      <c r="M1301" s="13"/>
      <c r="N1301" s="13"/>
      <c r="O1301" s="13"/>
      <c r="P1301" s="13"/>
      <c r="Q1301" s="13"/>
      <c r="R1301" s="13"/>
    </row>
    <row r="1302" spans="2:18">
      <c r="B1302" s="253" t="s">
        <v>7632</v>
      </c>
      <c r="C1302" s="2" t="s">
        <v>7</v>
      </c>
      <c r="D1302" s="2" t="s">
        <v>1086</v>
      </c>
      <c r="E1302" s="3">
        <v>100</v>
      </c>
      <c r="F1302" s="3">
        <v>5</v>
      </c>
      <c r="G1302" s="4">
        <v>45042</v>
      </c>
    </row>
    <row r="1303" spans="2:18">
      <c r="C1303" s="2" t="s">
        <v>5</v>
      </c>
      <c r="D1303" s="2" t="s">
        <v>1086</v>
      </c>
      <c r="E1303" s="3">
        <v>28</v>
      </c>
      <c r="F1303" s="3">
        <v>6</v>
      </c>
      <c r="G1303" s="4">
        <v>44649</v>
      </c>
    </row>
    <row r="1304" spans="2:18">
      <c r="C1304" s="2" t="s">
        <v>4</v>
      </c>
      <c r="D1304" s="2" t="s">
        <v>1086</v>
      </c>
      <c r="E1304" s="3">
        <v>10</v>
      </c>
      <c r="F1304" s="3">
        <v>5</v>
      </c>
      <c r="G1304" s="4">
        <v>44223</v>
      </c>
    </row>
    <row r="1305" spans="2:18">
      <c r="C1305" s="2" t="s">
        <v>7</v>
      </c>
      <c r="D1305" s="2" t="s">
        <v>1011</v>
      </c>
      <c r="E1305" s="3">
        <v>43</v>
      </c>
      <c r="F1305" s="3">
        <f>30/5</f>
        <v>6</v>
      </c>
      <c r="G1305" s="4">
        <v>44978</v>
      </c>
    </row>
    <row r="1306" spans="2:18">
      <c r="C1306" s="2" t="s">
        <v>7</v>
      </c>
      <c r="D1306" s="2" t="s">
        <v>860</v>
      </c>
      <c r="E1306" s="3">
        <v>25</v>
      </c>
      <c r="F1306" s="3">
        <f>18/7</f>
        <v>2.5714285714285716</v>
      </c>
      <c r="G1306" s="4">
        <v>44636</v>
      </c>
    </row>
    <row r="1307" spans="2:18">
      <c r="C1307" s="2" t="s">
        <v>5</v>
      </c>
      <c r="D1307" s="2" t="s">
        <v>860</v>
      </c>
      <c r="E1307" s="3">
        <v>12.2</v>
      </c>
      <c r="F1307" s="3">
        <v>4</v>
      </c>
      <c r="G1307" s="4">
        <v>44179</v>
      </c>
    </row>
    <row r="1308" spans="2:18">
      <c r="C1308" s="2" t="s">
        <v>4</v>
      </c>
      <c r="D1308" s="2" t="s">
        <v>860</v>
      </c>
      <c r="E1308" s="3">
        <v>5.0999999999999996</v>
      </c>
      <c r="F1308" s="3">
        <v>1</v>
      </c>
      <c r="G1308" s="4">
        <v>44046</v>
      </c>
    </row>
    <row r="1309" spans="2:18">
      <c r="C1309" s="2" t="s">
        <v>4</v>
      </c>
      <c r="D1309" s="2" t="s">
        <v>829</v>
      </c>
      <c r="E1309" s="3">
        <v>4.5</v>
      </c>
      <c r="F1309" s="3">
        <v>0.5</v>
      </c>
      <c r="G1309" s="4">
        <v>45056</v>
      </c>
    </row>
    <row r="1310" spans="2:18">
      <c r="C1310" s="2" t="s">
        <v>5</v>
      </c>
      <c r="D1310" s="2" t="s">
        <v>719</v>
      </c>
      <c r="E1310" s="3">
        <v>11</v>
      </c>
      <c r="F1310" s="3">
        <v>4</v>
      </c>
      <c r="G1310" s="4">
        <v>44483</v>
      </c>
    </row>
    <row r="1311" spans="2:18">
      <c r="C1311" s="2" t="s">
        <v>7</v>
      </c>
      <c r="D1311" s="2" t="s">
        <v>398</v>
      </c>
      <c r="E1311" s="3">
        <v>37</v>
      </c>
      <c r="F1311" s="3">
        <v>4</v>
      </c>
      <c r="G1311" s="4">
        <v>44860</v>
      </c>
    </row>
    <row r="1312" spans="2:18">
      <c r="C1312" s="2" t="s">
        <v>7</v>
      </c>
      <c r="D1312" s="2" t="s">
        <v>398</v>
      </c>
      <c r="E1312" s="3">
        <v>80</v>
      </c>
      <c r="F1312" s="3">
        <v>10</v>
      </c>
      <c r="G1312" s="4">
        <v>44327</v>
      </c>
    </row>
    <row r="1313" spans="2:18">
      <c r="C1313" s="2" t="s">
        <v>5</v>
      </c>
      <c r="D1313" s="2" t="s">
        <v>398</v>
      </c>
      <c r="E1313" s="3">
        <v>30</v>
      </c>
      <c r="F1313" s="3">
        <v>6.666666666666667</v>
      </c>
      <c r="G1313" s="4">
        <v>43963</v>
      </c>
    </row>
    <row r="1314" spans="2:18">
      <c r="C1314" s="2" t="s">
        <v>8</v>
      </c>
      <c r="D1314" s="2" t="s">
        <v>55</v>
      </c>
      <c r="E1314" s="3">
        <v>200</v>
      </c>
      <c r="F1314" s="3">
        <f>150/8</f>
        <v>18.75</v>
      </c>
      <c r="G1314" s="4">
        <v>44055</v>
      </c>
      <c r="I1314" s="1">
        <v>2000</v>
      </c>
      <c r="J1314" s="1">
        <v>7000</v>
      </c>
    </row>
    <row r="1315" spans="2:18">
      <c r="C1315" s="2" t="s">
        <v>18</v>
      </c>
      <c r="D1315" s="2" t="s">
        <v>55</v>
      </c>
      <c r="E1315" s="3">
        <v>65</v>
      </c>
      <c r="F1315" s="3">
        <v>8</v>
      </c>
      <c r="G1315" s="4">
        <v>43802</v>
      </c>
      <c r="I1315" s="1">
        <v>685</v>
      </c>
      <c r="J1315" s="1">
        <v>7000</v>
      </c>
    </row>
    <row r="1316" spans="2:18">
      <c r="C1316" s="2" t="s">
        <v>7</v>
      </c>
      <c r="D1316" s="2" t="s">
        <v>55</v>
      </c>
      <c r="E1316" s="3">
        <v>40</v>
      </c>
      <c r="F1316" s="3">
        <v>6.25</v>
      </c>
      <c r="G1316" s="4">
        <v>43503</v>
      </c>
      <c r="J1316" s="1">
        <v>7000</v>
      </c>
    </row>
    <row r="1317" spans="2:18">
      <c r="C1317" s="2" t="s">
        <v>5</v>
      </c>
      <c r="D1317" s="2" t="s">
        <v>55</v>
      </c>
      <c r="E1317" s="3">
        <v>20</v>
      </c>
      <c r="F1317" s="3">
        <v>5</v>
      </c>
      <c r="G1317" s="4">
        <v>42898</v>
      </c>
    </row>
    <row r="1318" spans="2:18">
      <c r="G1318" s="4"/>
    </row>
    <row r="1319" spans="2:18" s="12" customFormat="1">
      <c r="B1319" s="12" t="s">
        <v>72</v>
      </c>
      <c r="C1319" s="13" t="s">
        <v>969</v>
      </c>
      <c r="D1319" s="13" t="s">
        <v>968</v>
      </c>
      <c r="E1319" s="15"/>
      <c r="F1319" s="15" cm="1">
        <f t="array" ref="F1319">SUM(F1320+F1320:F1322)</f>
        <v>89.714285714285722</v>
      </c>
      <c r="G1319" s="14">
        <f>G1320</f>
        <v>44825</v>
      </c>
      <c r="M1319" s="13"/>
      <c r="N1319" s="13"/>
      <c r="O1319" s="13"/>
      <c r="P1319" s="13"/>
      <c r="Q1319" s="13"/>
      <c r="R1319" s="13"/>
    </row>
    <row r="1320" spans="2:18">
      <c r="C1320" s="2" t="s">
        <v>5</v>
      </c>
      <c r="D1320" s="2" t="s">
        <v>71</v>
      </c>
      <c r="E1320" s="3">
        <v>10</v>
      </c>
      <c r="F1320" s="3">
        <v>6</v>
      </c>
      <c r="G1320" s="4">
        <v>44825</v>
      </c>
    </row>
    <row r="1321" spans="2:18">
      <c r="C1321" s="2" t="s">
        <v>7</v>
      </c>
      <c r="D1321" s="2" t="s">
        <v>64</v>
      </c>
      <c r="E1321" s="3">
        <f>1600/7</f>
        <v>228.57142857142858</v>
      </c>
      <c r="F1321" s="3">
        <v>30</v>
      </c>
      <c r="G1321" s="4">
        <v>44550</v>
      </c>
    </row>
    <row r="1322" spans="2:18">
      <c r="C1322" s="2" t="s">
        <v>5</v>
      </c>
      <c r="D1322" s="2" t="s">
        <v>64</v>
      </c>
      <c r="E1322" s="3">
        <f>500/7</f>
        <v>71.428571428571431</v>
      </c>
      <c r="F1322" s="3">
        <f>E1322/2</f>
        <v>35.714285714285715</v>
      </c>
      <c r="G1322" s="4">
        <v>44315</v>
      </c>
    </row>
    <row r="1324" spans="2:18" s="12" customFormat="1">
      <c r="B1324" s="12" t="s">
        <v>236</v>
      </c>
      <c r="C1324" s="13" t="s">
        <v>969</v>
      </c>
      <c r="D1324" s="13" t="s">
        <v>968</v>
      </c>
      <c r="E1324" s="15"/>
      <c r="F1324" s="15">
        <f>SUM(F1325:F1327)</f>
        <v>88.8888888888889</v>
      </c>
      <c r="G1324" s="14">
        <f>G1326</f>
        <v>44218</v>
      </c>
      <c r="M1324" s="13"/>
      <c r="N1324" s="13"/>
      <c r="O1324" s="13"/>
      <c r="P1324" s="13"/>
      <c r="Q1324" s="13"/>
      <c r="R1324" s="13"/>
    </row>
    <row r="1325" spans="2:18">
      <c r="C1325" s="2" t="s">
        <v>18</v>
      </c>
      <c r="D1325" s="2" t="s">
        <v>232</v>
      </c>
      <c r="E1325" s="3">
        <v>460</v>
      </c>
      <c r="F1325" s="3">
        <f>160/4</f>
        <v>40</v>
      </c>
      <c r="G1325" s="4">
        <v>43040</v>
      </c>
    </row>
    <row r="1326" spans="2:18">
      <c r="C1326" s="2" t="s">
        <v>8</v>
      </c>
      <c r="D1326" s="2" t="s">
        <v>211</v>
      </c>
      <c r="E1326" s="3">
        <v>700</v>
      </c>
      <c r="F1326" s="3">
        <f>400/12</f>
        <v>33.333333333333336</v>
      </c>
      <c r="G1326" s="4">
        <v>44218</v>
      </c>
    </row>
    <row r="1327" spans="2:18">
      <c r="C1327" s="2" t="s">
        <v>18</v>
      </c>
      <c r="D1327" s="2" t="s">
        <v>211</v>
      </c>
      <c r="E1327" s="3">
        <v>140</v>
      </c>
      <c r="F1327" s="3">
        <f>E1327/9</f>
        <v>15.555555555555555</v>
      </c>
      <c r="G1327" s="4">
        <v>43453</v>
      </c>
    </row>
    <row r="1328" spans="2:18">
      <c r="G1328" s="4"/>
    </row>
    <row r="1329" spans="2:18" s="12" customFormat="1">
      <c r="B1329" s="12" t="s">
        <v>603</v>
      </c>
      <c r="C1329" s="13" t="s">
        <v>969</v>
      </c>
      <c r="D1329" s="13" t="s">
        <v>968</v>
      </c>
      <c r="E1329" s="15"/>
      <c r="F1329" s="15">
        <f>SUM(F1330:F1334)</f>
        <v>86.174999999999997</v>
      </c>
      <c r="G1329" s="14">
        <f>G1330</f>
        <v>44663</v>
      </c>
    </row>
    <row r="1330" spans="2:18">
      <c r="C1330" s="2" t="s">
        <v>18</v>
      </c>
      <c r="D1330" s="2" t="s">
        <v>599</v>
      </c>
      <c r="E1330" s="3">
        <v>125</v>
      </c>
      <c r="F1330" s="3">
        <f>75/8</f>
        <v>9.375</v>
      </c>
      <c r="G1330" s="4">
        <v>44663</v>
      </c>
      <c r="M1330" s="1"/>
      <c r="N1330" s="1"/>
      <c r="O1330" s="1"/>
      <c r="P1330" s="1"/>
      <c r="Q1330" s="1"/>
      <c r="R1330" s="1"/>
    </row>
    <row r="1331" spans="2:18">
      <c r="C1331" s="2" t="s">
        <v>7</v>
      </c>
      <c r="D1331" s="2" t="s">
        <v>599</v>
      </c>
      <c r="E1331" s="3">
        <v>54</v>
      </c>
      <c r="F1331" s="3">
        <f>40/5</f>
        <v>8</v>
      </c>
      <c r="G1331" s="4">
        <v>44089</v>
      </c>
      <c r="M1331" s="1"/>
      <c r="N1331" s="1"/>
      <c r="O1331" s="1"/>
      <c r="P1331" s="1"/>
      <c r="Q1331" s="1"/>
      <c r="R1331" s="1"/>
    </row>
    <row r="1332" spans="2:18">
      <c r="C1332" s="2" t="s">
        <v>8</v>
      </c>
      <c r="D1332" s="2" t="s">
        <v>39</v>
      </c>
      <c r="E1332" s="3">
        <v>170</v>
      </c>
      <c r="F1332" s="3">
        <v>22</v>
      </c>
      <c r="G1332" s="4">
        <v>44255</v>
      </c>
      <c r="I1332" s="1">
        <v>830</v>
      </c>
      <c r="J1332" s="1">
        <v>2000</v>
      </c>
      <c r="M1332" s="1"/>
      <c r="N1332" s="1"/>
      <c r="O1332" s="1"/>
      <c r="P1332" s="1"/>
      <c r="Q1332" s="1"/>
      <c r="R1332" s="1"/>
    </row>
    <row r="1333" spans="2:18">
      <c r="C1333" s="2" t="s">
        <v>18</v>
      </c>
      <c r="D1333" s="2" t="s">
        <v>39</v>
      </c>
      <c r="E1333" s="3">
        <v>100</v>
      </c>
      <c r="F1333" s="3">
        <v>40</v>
      </c>
      <c r="G1333" s="4">
        <v>44025</v>
      </c>
      <c r="J1333" s="1">
        <v>2000</v>
      </c>
      <c r="M1333" s="1"/>
      <c r="N1333" s="1"/>
      <c r="O1333" s="1"/>
      <c r="P1333" s="1"/>
      <c r="Q1333" s="1"/>
      <c r="R1333" s="1"/>
    </row>
    <row r="1334" spans="2:18">
      <c r="C1334" s="52" t="s">
        <v>8</v>
      </c>
      <c r="D1334" s="52" t="s">
        <v>4882</v>
      </c>
      <c r="E1334" s="3">
        <v>83</v>
      </c>
      <c r="F1334" s="3">
        <v>6.8</v>
      </c>
      <c r="G1334" s="4">
        <v>44320</v>
      </c>
      <c r="I1334" s="1">
        <v>3600</v>
      </c>
      <c r="J1334" s="1">
        <v>3600</v>
      </c>
      <c r="M1334" s="1"/>
      <c r="N1334" s="1"/>
      <c r="O1334" s="1"/>
      <c r="P1334" s="1"/>
      <c r="Q1334" s="1"/>
      <c r="R1334" s="1"/>
    </row>
    <row r="1335" spans="2:18">
      <c r="C1335" s="52" t="s">
        <v>18</v>
      </c>
      <c r="D1335" s="52" t="s">
        <v>4882</v>
      </c>
      <c r="E1335" s="3">
        <v>100</v>
      </c>
      <c r="F1335" s="3">
        <v>20</v>
      </c>
      <c r="G1335" s="4">
        <v>43937</v>
      </c>
      <c r="I1335" s="1">
        <v>1100</v>
      </c>
      <c r="J1335" s="1">
        <v>3600</v>
      </c>
      <c r="M1335" s="1"/>
      <c r="N1335" s="1"/>
      <c r="O1335" s="1"/>
      <c r="P1335" s="1"/>
      <c r="Q1335" s="1"/>
      <c r="R1335" s="1"/>
    </row>
    <row r="1336" spans="2:18">
      <c r="G1336" s="4"/>
      <c r="M1336" s="1"/>
      <c r="N1336" s="1"/>
      <c r="O1336" s="1"/>
      <c r="P1336" s="1"/>
      <c r="Q1336" s="1"/>
      <c r="R1336" s="1"/>
    </row>
    <row r="1337" spans="2:18" s="12" customFormat="1">
      <c r="B1337" s="12" t="s">
        <v>619</v>
      </c>
      <c r="C1337" s="13" t="s">
        <v>969</v>
      </c>
      <c r="D1337" s="13" t="s">
        <v>968</v>
      </c>
      <c r="E1337" s="15"/>
      <c r="F1337" s="15">
        <f>SUM(F1338:F1343)</f>
        <v>91.888888888888886</v>
      </c>
      <c r="G1337" s="14">
        <f>G1340</f>
        <v>45124</v>
      </c>
    </row>
    <row r="1338" spans="2:18">
      <c r="C1338" s="2" t="s">
        <v>9</v>
      </c>
      <c r="D1338" s="2" t="s">
        <v>606</v>
      </c>
      <c r="E1338" s="3">
        <v>132</v>
      </c>
      <c r="F1338" s="3">
        <v>20</v>
      </c>
      <c r="G1338" s="4">
        <v>44215</v>
      </c>
      <c r="I1338" s="1">
        <v>1400</v>
      </c>
      <c r="J1338" s="1">
        <v>1200</v>
      </c>
      <c r="M1338" s="1"/>
      <c r="N1338" s="1"/>
      <c r="O1338" s="1"/>
      <c r="P1338" s="1"/>
      <c r="Q1338" s="1"/>
      <c r="R1338" s="1"/>
    </row>
    <row r="1339" spans="2:18">
      <c r="C1339" s="2" t="s">
        <v>8</v>
      </c>
      <c r="D1339" s="2" t="s">
        <v>606</v>
      </c>
      <c r="E1339" s="3">
        <v>42</v>
      </c>
      <c r="F1339" s="3">
        <v>12</v>
      </c>
      <c r="G1339" s="4">
        <v>44153</v>
      </c>
      <c r="J1339" s="1">
        <v>1200</v>
      </c>
      <c r="M1339" s="1"/>
      <c r="N1339" s="1"/>
      <c r="O1339" s="1"/>
      <c r="P1339" s="1"/>
      <c r="Q1339" s="1"/>
      <c r="R1339" s="1"/>
    </row>
    <row r="1340" spans="2:18">
      <c r="C1340" s="265" t="s">
        <v>7934</v>
      </c>
      <c r="D1340" s="2" t="s">
        <v>606</v>
      </c>
      <c r="E1340" s="3">
        <v>59</v>
      </c>
      <c r="F1340" s="3">
        <f>E1340/9</f>
        <v>6.5555555555555554</v>
      </c>
      <c r="G1340" s="4">
        <v>45124</v>
      </c>
      <c r="I1340" s="1">
        <v>1200</v>
      </c>
      <c r="J1340" s="1">
        <v>1200</v>
      </c>
      <c r="M1340" s="1"/>
      <c r="N1340" s="1"/>
      <c r="O1340" s="1"/>
      <c r="P1340" s="1"/>
      <c r="Q1340" s="1"/>
      <c r="R1340" s="1"/>
    </row>
    <row r="1341" spans="2:18">
      <c r="C1341" s="2" t="s">
        <v>7</v>
      </c>
      <c r="D1341" s="2" t="s">
        <v>318</v>
      </c>
      <c r="E1341" s="3">
        <v>55</v>
      </c>
      <c r="F1341" s="3">
        <f>30/6</f>
        <v>5</v>
      </c>
      <c r="G1341" s="4">
        <v>44200</v>
      </c>
      <c r="M1341" s="1"/>
      <c r="N1341" s="1"/>
      <c r="O1341" s="1"/>
      <c r="P1341" s="1"/>
      <c r="Q1341" s="1"/>
      <c r="R1341" s="1"/>
    </row>
    <row r="1342" spans="2:18">
      <c r="C1342" s="2" t="s">
        <v>18</v>
      </c>
      <c r="D1342" s="2" t="s">
        <v>318</v>
      </c>
      <c r="E1342" s="3">
        <v>91</v>
      </c>
      <c r="F1342" s="3">
        <v>8.75</v>
      </c>
      <c r="G1342" s="4">
        <v>44867</v>
      </c>
      <c r="M1342" s="1"/>
      <c r="N1342" s="1"/>
      <c r="O1342" s="1"/>
      <c r="P1342" s="1"/>
      <c r="Q1342" s="1"/>
      <c r="R1342" s="1"/>
    </row>
    <row r="1343" spans="2:18">
      <c r="C1343" s="2" t="s">
        <v>53</v>
      </c>
      <c r="D1343" s="2" t="s">
        <v>176</v>
      </c>
      <c r="E1343" s="3">
        <v>475</v>
      </c>
      <c r="F1343" s="3">
        <f>E1343/12</f>
        <v>39.583333333333336</v>
      </c>
      <c r="G1343" s="4">
        <v>44278</v>
      </c>
      <c r="M1343" s="1"/>
      <c r="N1343" s="1"/>
      <c r="O1343" s="1"/>
      <c r="P1343" s="1"/>
      <c r="Q1343" s="1"/>
      <c r="R1343" s="1"/>
    </row>
    <row r="1344" spans="2:18">
      <c r="G1344" s="4"/>
      <c r="M1344" s="1"/>
      <c r="N1344" s="1"/>
      <c r="O1344" s="1"/>
      <c r="P1344" s="1"/>
      <c r="Q1344" s="1"/>
      <c r="R1344" s="1"/>
    </row>
    <row r="1345" spans="2:18">
      <c r="B1345" s="12" t="s">
        <v>965</v>
      </c>
      <c r="C1345" s="13" t="s">
        <v>969</v>
      </c>
      <c r="D1345" s="13" t="s">
        <v>968</v>
      </c>
      <c r="F1345" s="15">
        <f>SUM(F1346:F1349)</f>
        <v>108.69642857142857</v>
      </c>
      <c r="G1345" s="14">
        <f>G1347</f>
        <v>45161</v>
      </c>
      <c r="I1345" s="5"/>
      <c r="J1345" s="5"/>
    </row>
    <row r="1346" spans="2:18">
      <c r="C1346" s="2" t="s">
        <v>18</v>
      </c>
      <c r="D1346" s="2" t="s">
        <v>964</v>
      </c>
      <c r="E1346" s="3">
        <v>450</v>
      </c>
      <c r="F1346" s="3">
        <f>300/5</f>
        <v>60</v>
      </c>
      <c r="G1346" s="4">
        <v>45069</v>
      </c>
      <c r="I1346" s="268" t="s">
        <v>7921</v>
      </c>
      <c r="J1346" s="5"/>
    </row>
    <row r="1347" spans="2:18">
      <c r="C1347" s="265" t="s">
        <v>8</v>
      </c>
      <c r="D1347" s="265" t="s">
        <v>926</v>
      </c>
      <c r="E1347" s="3">
        <v>235</v>
      </c>
      <c r="F1347" s="3">
        <f>185/8</f>
        <v>23.125</v>
      </c>
      <c r="G1347" s="4">
        <v>45161</v>
      </c>
      <c r="I1347" s="5">
        <v>4300</v>
      </c>
      <c r="J1347" s="5">
        <v>4300</v>
      </c>
    </row>
    <row r="1348" spans="2:18">
      <c r="C1348" s="265" t="s">
        <v>7920</v>
      </c>
      <c r="D1348" s="265" t="s">
        <v>936</v>
      </c>
      <c r="E1348" s="3">
        <v>25</v>
      </c>
      <c r="F1348" s="3">
        <v>25</v>
      </c>
      <c r="G1348" s="4">
        <v>45047</v>
      </c>
      <c r="I1348" s="5"/>
      <c r="J1348" s="5"/>
    </row>
    <row r="1349" spans="2:18">
      <c r="C1349" s="398" t="s">
        <v>278</v>
      </c>
      <c r="D1349" s="398" t="s">
        <v>9780</v>
      </c>
      <c r="E1349" s="3">
        <v>6</v>
      </c>
      <c r="F1349" s="3">
        <f>4/7</f>
        <v>0.5714285714285714</v>
      </c>
      <c r="G1349" s="4">
        <v>44348</v>
      </c>
      <c r="I1349" s="5"/>
      <c r="J1349" s="5"/>
    </row>
    <row r="1350" spans="2:18">
      <c r="G1350" s="4"/>
      <c r="I1350" s="5"/>
      <c r="J1350" s="5"/>
    </row>
    <row r="1351" spans="2:18" s="12" customFormat="1">
      <c r="B1351" s="12" t="s">
        <v>75</v>
      </c>
      <c r="C1351" s="13" t="s">
        <v>969</v>
      </c>
      <c r="D1351" s="13" t="s">
        <v>968</v>
      </c>
      <c r="E1351" s="15"/>
      <c r="F1351" s="15">
        <f>SUM(F1352:F1358)</f>
        <v>84</v>
      </c>
      <c r="G1351" s="14">
        <f>G1355</f>
        <v>44937</v>
      </c>
      <c r="K1351" s="46"/>
      <c r="M1351" s="13"/>
      <c r="N1351" s="13"/>
      <c r="O1351" s="13"/>
      <c r="P1351" s="13"/>
      <c r="Q1351" s="13"/>
      <c r="R1351" s="13"/>
    </row>
    <row r="1352" spans="2:18">
      <c r="B1352" s="403" t="s">
        <v>9806</v>
      </c>
      <c r="C1352" s="2" t="s">
        <v>8</v>
      </c>
      <c r="D1352" s="2" t="s">
        <v>74</v>
      </c>
      <c r="E1352" s="3">
        <v>81</v>
      </c>
      <c r="F1352" s="3">
        <f>+E1352/6</f>
        <v>13.5</v>
      </c>
      <c r="G1352" s="4">
        <v>43418</v>
      </c>
      <c r="I1352" s="1">
        <v>1700</v>
      </c>
      <c r="J1352" s="1">
        <v>3800</v>
      </c>
      <c r="K1352" s="5">
        <f>(E1352/(I1352+E1352))*J1352*(F1352/E1352)</f>
        <v>28.804042672655811</v>
      </c>
      <c r="M1352" s="92" t="s">
        <v>5903</v>
      </c>
    </row>
    <row r="1353" spans="2:18">
      <c r="C1353" s="2" t="s">
        <v>18</v>
      </c>
      <c r="D1353" s="2" t="s">
        <v>74</v>
      </c>
      <c r="E1353" s="3">
        <v>60</v>
      </c>
      <c r="F1353" s="3">
        <f>+E1353/5</f>
        <v>12</v>
      </c>
      <c r="G1353" s="4">
        <v>42736</v>
      </c>
      <c r="I1353" s="1">
        <v>800</v>
      </c>
      <c r="J1353" s="1">
        <v>3800</v>
      </c>
      <c r="K1353" s="5">
        <f>(E1353/(I1353+E1353))*J1353*(F1353/E1353)</f>
        <v>53.023255813953483</v>
      </c>
    </row>
    <row r="1354" spans="2:18">
      <c r="C1354" s="2" t="s">
        <v>7</v>
      </c>
      <c r="D1354" s="2" t="s">
        <v>74</v>
      </c>
      <c r="E1354" s="3">
        <v>25</v>
      </c>
      <c r="F1354" s="3">
        <v>15</v>
      </c>
      <c r="G1354" s="4">
        <v>42723</v>
      </c>
      <c r="I1354" s="1">
        <v>245</v>
      </c>
      <c r="J1354" s="1">
        <v>3800</v>
      </c>
      <c r="K1354" s="5">
        <f>(E1354/(I1354+E1354))*J1354*(F1354/E1354)</f>
        <v>211.11111111111111</v>
      </c>
    </row>
    <row r="1355" spans="2:18">
      <c r="C1355" s="92" t="s">
        <v>7</v>
      </c>
      <c r="D1355" s="92" t="s">
        <v>2076</v>
      </c>
      <c r="E1355" s="3">
        <v>100</v>
      </c>
      <c r="F1355" s="3">
        <f>70/5</f>
        <v>14</v>
      </c>
      <c r="G1355" s="4">
        <v>44937</v>
      </c>
      <c r="I1355" s="1">
        <v>900</v>
      </c>
      <c r="J1355" s="1">
        <v>900</v>
      </c>
      <c r="K1355" s="5"/>
    </row>
    <row r="1356" spans="2:18">
      <c r="C1356" s="92" t="s">
        <v>18</v>
      </c>
      <c r="D1356" s="92" t="s">
        <v>2072</v>
      </c>
      <c r="E1356" s="3">
        <v>65</v>
      </c>
      <c r="F1356" s="3">
        <v>10</v>
      </c>
      <c r="G1356" s="4">
        <v>44644</v>
      </c>
      <c r="I1356" s="1">
        <v>500</v>
      </c>
      <c r="J1356" s="1">
        <v>500</v>
      </c>
      <c r="K1356" s="5"/>
    </row>
    <row r="1357" spans="2:18">
      <c r="C1357" s="92" t="s">
        <v>7</v>
      </c>
      <c r="D1357" s="92" t="s">
        <v>2072</v>
      </c>
      <c r="E1357" s="3">
        <v>22</v>
      </c>
      <c r="F1357" s="3">
        <v>10</v>
      </c>
      <c r="G1357" s="4">
        <v>43944</v>
      </c>
      <c r="J1357" s="1">
        <v>500</v>
      </c>
      <c r="K1357" s="5"/>
    </row>
    <row r="1358" spans="2:18">
      <c r="C1358" s="92" t="s">
        <v>5</v>
      </c>
      <c r="D1358" s="92" t="s">
        <v>2072</v>
      </c>
      <c r="E1358" s="3">
        <v>10.5</v>
      </c>
      <c r="F1358" s="3">
        <v>9.5</v>
      </c>
      <c r="G1358" s="4"/>
      <c r="J1358" s="1">
        <v>500</v>
      </c>
      <c r="K1358" s="5"/>
    </row>
    <row r="1359" spans="2:18">
      <c r="G1359" s="4"/>
      <c r="K1359" s="5"/>
    </row>
    <row r="1360" spans="2:18" s="12" customFormat="1">
      <c r="B1360" s="12" t="s">
        <v>85</v>
      </c>
      <c r="C1360" s="13" t="s">
        <v>969</v>
      </c>
      <c r="D1360" s="13" t="s">
        <v>968</v>
      </c>
      <c r="E1360" s="15"/>
      <c r="F1360" s="15">
        <f>SUM(F1361:F1363)</f>
        <v>83.166666666666657</v>
      </c>
      <c r="G1360" s="14">
        <f>G1361</f>
        <v>44201</v>
      </c>
      <c r="M1360" s="13"/>
      <c r="N1360" s="13"/>
      <c r="O1360" s="13"/>
      <c r="P1360" s="13"/>
      <c r="Q1360" s="13"/>
      <c r="R1360" s="13"/>
    </row>
    <row r="1361" spans="2:18">
      <c r="C1361" s="2" t="s">
        <v>18</v>
      </c>
      <c r="D1361" s="2" t="s">
        <v>80</v>
      </c>
      <c r="E1361" s="3">
        <v>257</v>
      </c>
      <c r="F1361" s="3">
        <f>107/3</f>
        <v>35.666666666666664</v>
      </c>
      <c r="G1361" s="4">
        <v>44201</v>
      </c>
      <c r="I1361" s="5">
        <v>1286</v>
      </c>
    </row>
    <row r="1362" spans="2:18">
      <c r="C1362" s="2" t="s">
        <v>7</v>
      </c>
      <c r="D1362" s="2" t="s">
        <v>80</v>
      </c>
      <c r="E1362" s="3">
        <v>100</v>
      </c>
      <c r="F1362" s="3">
        <v>40</v>
      </c>
      <c r="G1362" s="4">
        <v>43958</v>
      </c>
      <c r="I1362" s="5">
        <f>4500/7</f>
        <v>642.85714285714289</v>
      </c>
    </row>
    <row r="1363" spans="2:18">
      <c r="C1363" s="2" t="s">
        <v>4</v>
      </c>
      <c r="D1363" s="2" t="s">
        <v>80</v>
      </c>
      <c r="E1363" s="3">
        <v>49</v>
      </c>
      <c r="F1363" s="3">
        <v>7.5</v>
      </c>
      <c r="G1363" s="4">
        <v>43319</v>
      </c>
      <c r="I1363" s="5"/>
    </row>
    <row r="1364" spans="2:18">
      <c r="G1364" s="4"/>
      <c r="I1364" s="5"/>
    </row>
    <row r="1365" spans="2:18" s="12" customFormat="1">
      <c r="B1365" s="12" t="s">
        <v>844</v>
      </c>
      <c r="C1365" s="13" t="s">
        <v>969</v>
      </c>
      <c r="D1365" s="13" t="s">
        <v>968</v>
      </c>
      <c r="E1365" s="15"/>
      <c r="F1365" s="15">
        <f>SUM(F1366:F1369)</f>
        <v>82.5</v>
      </c>
      <c r="G1365" s="14">
        <f>G1366</f>
        <v>44796</v>
      </c>
      <c r="M1365" s="13"/>
      <c r="N1365" s="13"/>
      <c r="O1365" s="13"/>
      <c r="P1365" s="13"/>
      <c r="Q1365" s="13"/>
      <c r="R1365" s="13"/>
    </row>
    <row r="1366" spans="2:18">
      <c r="C1366" s="2" t="s">
        <v>5</v>
      </c>
      <c r="D1366" s="2" t="s">
        <v>701</v>
      </c>
      <c r="E1366" s="3">
        <v>50</v>
      </c>
      <c r="F1366" s="3">
        <f>30/12</f>
        <v>2.5</v>
      </c>
      <c r="G1366" s="4">
        <v>44796</v>
      </c>
    </row>
    <row r="1367" spans="2:18">
      <c r="C1367" s="2" t="s">
        <v>5</v>
      </c>
      <c r="D1367" s="2" t="s">
        <v>843</v>
      </c>
      <c r="E1367" s="3">
        <v>44</v>
      </c>
      <c r="F1367" s="3">
        <v>10</v>
      </c>
      <c r="G1367" s="4">
        <v>44671</v>
      </c>
    </row>
    <row r="1368" spans="2:18">
      <c r="C1368" s="2" t="s">
        <v>18</v>
      </c>
      <c r="D1368" s="2" t="s">
        <v>232</v>
      </c>
      <c r="E1368" s="3">
        <v>460</v>
      </c>
      <c r="F1368" s="3">
        <v>40</v>
      </c>
      <c r="G1368" s="4">
        <v>43040</v>
      </c>
    </row>
    <row r="1369" spans="2:18">
      <c r="C1369" s="2" t="s">
        <v>7</v>
      </c>
      <c r="D1369" s="2" t="s">
        <v>2130</v>
      </c>
      <c r="E1369" s="3">
        <v>186</v>
      </c>
      <c r="F1369" s="3">
        <v>30</v>
      </c>
      <c r="G1369" s="4">
        <v>44648</v>
      </c>
    </row>
    <row r="1370" spans="2:18">
      <c r="G1370" s="4"/>
    </row>
    <row r="1371" spans="2:18">
      <c r="B1371" s="12" t="s">
        <v>1079</v>
      </c>
      <c r="C1371" s="13" t="s">
        <v>969</v>
      </c>
      <c r="D1371" s="13" t="s">
        <v>968</v>
      </c>
      <c r="E1371" s="15"/>
      <c r="F1371" s="15">
        <f>SUM(F1372:F1375)</f>
        <v>80.920454545454547</v>
      </c>
      <c r="G1371" s="14">
        <f>G1372</f>
        <v>45069</v>
      </c>
    </row>
    <row r="1372" spans="2:18">
      <c r="C1372" s="2" t="s">
        <v>18</v>
      </c>
      <c r="D1372" s="2" t="s">
        <v>964</v>
      </c>
      <c r="E1372" s="3">
        <v>450</v>
      </c>
      <c r="F1372" s="3">
        <f>300/5</f>
        <v>60</v>
      </c>
      <c r="G1372" s="4">
        <v>45069</v>
      </c>
    </row>
    <row r="1373" spans="2:18">
      <c r="C1373" s="2" t="s">
        <v>18</v>
      </c>
      <c r="D1373" s="2" t="s">
        <v>692</v>
      </c>
      <c r="E1373" s="3">
        <v>125</v>
      </c>
      <c r="F1373" s="3">
        <f>75/8</f>
        <v>9.375</v>
      </c>
      <c r="G1373" s="4">
        <v>44663</v>
      </c>
    </row>
    <row r="1374" spans="2:18">
      <c r="C1374" s="2" t="s">
        <v>8</v>
      </c>
      <c r="D1374" s="2" t="s">
        <v>448</v>
      </c>
      <c r="E1374" s="3">
        <v>90</v>
      </c>
      <c r="F1374" s="3">
        <f>50/11</f>
        <v>4.5454545454545459</v>
      </c>
      <c r="G1374" s="4">
        <v>44776</v>
      </c>
    </row>
    <row r="1375" spans="2:18">
      <c r="C1375" s="92" t="s">
        <v>18</v>
      </c>
      <c r="D1375" s="92" t="s">
        <v>2090</v>
      </c>
      <c r="E1375" s="3">
        <v>80</v>
      </c>
      <c r="F1375" s="3">
        <f>70/10</f>
        <v>7</v>
      </c>
      <c r="G1375" s="4">
        <v>44637</v>
      </c>
    </row>
    <row r="1376" spans="2:18">
      <c r="G1376" s="4"/>
    </row>
    <row r="1377" spans="2:18" s="12" customFormat="1">
      <c r="B1377" s="12" t="s">
        <v>246</v>
      </c>
      <c r="C1377" s="13" t="s">
        <v>969</v>
      </c>
      <c r="D1377" s="13" t="s">
        <v>968</v>
      </c>
      <c r="E1377" s="15"/>
      <c r="F1377" s="15">
        <f>SUM(F1378:F1381)</f>
        <v>79</v>
      </c>
      <c r="G1377" s="14">
        <f>G1380</f>
        <v>42735</v>
      </c>
      <c r="M1377" s="13"/>
      <c r="N1377" s="13"/>
      <c r="O1377" s="13"/>
      <c r="P1377" s="13"/>
      <c r="Q1377" s="13"/>
      <c r="R1377" s="13"/>
    </row>
    <row r="1378" spans="2:18">
      <c r="C1378" s="2" t="s">
        <v>7</v>
      </c>
      <c r="D1378" s="2" t="s">
        <v>245</v>
      </c>
      <c r="E1378" s="3">
        <v>100</v>
      </c>
      <c r="F1378" s="3">
        <v>25</v>
      </c>
      <c r="G1378" s="4">
        <v>42576</v>
      </c>
    </row>
    <row r="1379" spans="2:18">
      <c r="C1379" s="2" t="s">
        <v>5</v>
      </c>
      <c r="D1379" s="2" t="s">
        <v>245</v>
      </c>
      <c r="E1379" s="3">
        <v>20</v>
      </c>
      <c r="F1379" s="3">
        <v>20</v>
      </c>
      <c r="G1379" s="4">
        <v>42339</v>
      </c>
    </row>
    <row r="1380" spans="2:18">
      <c r="C1380" s="2" t="s">
        <v>18</v>
      </c>
      <c r="D1380" s="2" t="s">
        <v>232</v>
      </c>
      <c r="E1380" s="3">
        <v>100</v>
      </c>
      <c r="F1380" s="3">
        <v>20</v>
      </c>
      <c r="G1380" s="4">
        <v>42735</v>
      </c>
    </row>
    <row r="1381" spans="2:18">
      <c r="C1381" s="2" t="s">
        <v>7</v>
      </c>
      <c r="D1381" s="2" t="s">
        <v>232</v>
      </c>
      <c r="E1381" s="3">
        <v>22</v>
      </c>
      <c r="F1381" s="3">
        <v>14</v>
      </c>
      <c r="G1381" s="4">
        <v>41821</v>
      </c>
    </row>
    <row r="1382" spans="2:18">
      <c r="G1382" s="4"/>
    </row>
    <row r="1383" spans="2:18">
      <c r="B1383" s="12" t="s">
        <v>1075</v>
      </c>
      <c r="C1383" s="13" t="s">
        <v>969</v>
      </c>
      <c r="D1383" s="13" t="s">
        <v>968</v>
      </c>
      <c r="E1383" s="15"/>
      <c r="F1383" s="15">
        <f>SUM(F1384:F1394)</f>
        <v>79.304761904761889</v>
      </c>
      <c r="G1383" s="14">
        <f>G1386</f>
        <v>44796</v>
      </c>
    </row>
    <row r="1384" spans="2:18">
      <c r="C1384" s="2" t="s">
        <v>7</v>
      </c>
      <c r="D1384" s="2" t="s">
        <v>952</v>
      </c>
      <c r="E1384" s="3">
        <v>130</v>
      </c>
      <c r="F1384" s="3">
        <f>70/3</f>
        <v>23.333333333333332</v>
      </c>
      <c r="G1384" s="4">
        <v>44607</v>
      </c>
    </row>
    <row r="1385" spans="2:18">
      <c r="C1385" s="2" t="s">
        <v>5</v>
      </c>
      <c r="D1385" s="2" t="s">
        <v>952</v>
      </c>
      <c r="E1385" s="3">
        <v>40</v>
      </c>
      <c r="F1385" s="3">
        <v>10</v>
      </c>
      <c r="G1385" s="4">
        <v>44446</v>
      </c>
    </row>
    <row r="1386" spans="2:18">
      <c r="C1386" s="2" t="s">
        <v>5</v>
      </c>
      <c r="D1386" s="2" t="s">
        <v>701</v>
      </c>
      <c r="E1386" s="3">
        <v>50</v>
      </c>
      <c r="F1386" s="3">
        <v>10</v>
      </c>
      <c r="G1386" s="4">
        <v>44796</v>
      </c>
    </row>
    <row r="1387" spans="2:18">
      <c r="C1387" s="2" t="s">
        <v>5</v>
      </c>
      <c r="D1387" s="2" t="s">
        <v>730</v>
      </c>
      <c r="E1387" s="3">
        <v>25</v>
      </c>
      <c r="F1387" s="3">
        <f>18/7</f>
        <v>2.5714285714285716</v>
      </c>
      <c r="G1387" s="4">
        <v>44757</v>
      </c>
    </row>
    <row r="1388" spans="2:18">
      <c r="C1388" s="2" t="s">
        <v>4</v>
      </c>
      <c r="D1388" s="2" t="s">
        <v>730</v>
      </c>
      <c r="E1388" s="3">
        <v>4</v>
      </c>
      <c r="F1388" s="3">
        <v>0.5</v>
      </c>
      <c r="G1388" s="4">
        <v>44340</v>
      </c>
    </row>
    <row r="1389" spans="2:18">
      <c r="C1389" s="2" t="s">
        <v>4</v>
      </c>
      <c r="D1389" s="2" t="s">
        <v>730</v>
      </c>
      <c r="E1389" s="3">
        <v>1.5</v>
      </c>
      <c r="F1389" s="3">
        <v>0.5</v>
      </c>
      <c r="G1389" s="4">
        <v>43979</v>
      </c>
    </row>
    <row r="1390" spans="2:18">
      <c r="C1390" s="2" t="s">
        <v>7</v>
      </c>
      <c r="D1390" s="2" t="s">
        <v>310</v>
      </c>
      <c r="E1390" s="3">
        <v>40</v>
      </c>
      <c r="F1390" s="3">
        <f>32/8</f>
        <v>4</v>
      </c>
      <c r="G1390" s="4">
        <v>43419</v>
      </c>
    </row>
    <row r="1391" spans="2:18">
      <c r="C1391" s="2" t="s">
        <v>18</v>
      </c>
      <c r="D1391" s="2" t="s">
        <v>1056</v>
      </c>
      <c r="E1391" s="3">
        <v>40</v>
      </c>
      <c r="F1391" s="3">
        <f>20/3</f>
        <v>6.666666666666667</v>
      </c>
      <c r="G1391" s="4">
        <v>44599</v>
      </c>
    </row>
    <row r="1392" spans="2:18">
      <c r="C1392" s="2" t="s">
        <v>7</v>
      </c>
      <c r="D1392" s="2" t="s">
        <v>1056</v>
      </c>
      <c r="E1392" s="3">
        <v>28</v>
      </c>
      <c r="F1392" s="3">
        <v>10</v>
      </c>
      <c r="G1392" s="4">
        <v>44377</v>
      </c>
    </row>
    <row r="1393" spans="2:18">
      <c r="C1393" s="140" t="s">
        <v>7</v>
      </c>
      <c r="D1393" s="140" t="s">
        <v>6271</v>
      </c>
      <c r="E1393" s="3">
        <v>52.2</v>
      </c>
      <c r="F1393" s="3">
        <f>32.2/3</f>
        <v>10.733333333333334</v>
      </c>
      <c r="G1393" s="4">
        <v>44476</v>
      </c>
    </row>
    <row r="1394" spans="2:18">
      <c r="C1394" s="335" t="s">
        <v>4</v>
      </c>
      <c r="D1394" s="335" t="s">
        <v>8303</v>
      </c>
      <c r="E1394" s="3">
        <v>8</v>
      </c>
      <c r="F1394" s="3">
        <v>1</v>
      </c>
      <c r="G1394" s="4">
        <v>44482</v>
      </c>
    </row>
    <row r="1395" spans="2:18">
      <c r="G1395" s="4"/>
    </row>
    <row r="1396" spans="2:18" s="12" customFormat="1">
      <c r="B1396" s="12" t="s">
        <v>1078</v>
      </c>
      <c r="C1396" s="13" t="s">
        <v>969</v>
      </c>
      <c r="D1396" s="13" t="s">
        <v>968</v>
      </c>
      <c r="E1396" s="15"/>
      <c r="F1396" s="15">
        <f>SUM(F1397:F1406)</f>
        <v>77.5</v>
      </c>
      <c r="G1396" s="14">
        <f>G1399</f>
        <v>44578</v>
      </c>
      <c r="M1396" s="13"/>
      <c r="N1396" s="13"/>
      <c r="O1396" s="13"/>
      <c r="P1396" s="13"/>
      <c r="Q1396" s="13"/>
      <c r="R1396" s="13"/>
    </row>
    <row r="1397" spans="2:18">
      <c r="B1397" s="253" t="s">
        <v>7632</v>
      </c>
      <c r="C1397" s="2" t="s">
        <v>5</v>
      </c>
      <c r="D1397" s="2" t="s">
        <v>873</v>
      </c>
      <c r="E1397" s="3">
        <v>30</v>
      </c>
      <c r="F1397" s="3">
        <v>4</v>
      </c>
      <c r="G1397" s="4">
        <v>44522</v>
      </c>
    </row>
    <row r="1398" spans="2:18">
      <c r="C1398" s="2" t="s">
        <v>4</v>
      </c>
      <c r="D1398" s="2" t="s">
        <v>873</v>
      </c>
      <c r="E1398" s="3">
        <v>5.5</v>
      </c>
      <c r="F1398" s="3">
        <v>3.5</v>
      </c>
      <c r="G1398" s="4">
        <v>44096</v>
      </c>
    </row>
    <row r="1399" spans="2:18">
      <c r="C1399" s="2" t="s">
        <v>5</v>
      </c>
      <c r="D1399" s="2" t="s">
        <v>819</v>
      </c>
      <c r="E1399" s="3">
        <v>20</v>
      </c>
      <c r="F1399" s="3">
        <v>2</v>
      </c>
      <c r="G1399" s="4">
        <v>44578</v>
      </c>
    </row>
    <row r="1400" spans="2:18">
      <c r="C1400" s="2" t="s">
        <v>9</v>
      </c>
      <c r="D1400" s="2" t="s">
        <v>606</v>
      </c>
      <c r="E1400" s="3">
        <v>132</v>
      </c>
      <c r="F1400" s="3">
        <v>20</v>
      </c>
      <c r="G1400" s="4">
        <v>44215</v>
      </c>
    </row>
    <row r="1401" spans="2:18">
      <c r="C1401" s="2" t="s">
        <v>18</v>
      </c>
      <c r="D1401" s="2" t="s">
        <v>520</v>
      </c>
      <c r="E1401" s="3">
        <v>60</v>
      </c>
      <c r="F1401" s="3">
        <v>5</v>
      </c>
      <c r="G1401" s="4">
        <v>43606</v>
      </c>
    </row>
    <row r="1402" spans="2:18">
      <c r="C1402" s="2" t="s">
        <v>7</v>
      </c>
      <c r="D1402" s="2" t="s">
        <v>520</v>
      </c>
      <c r="E1402" s="3">
        <v>30</v>
      </c>
      <c r="F1402" s="3">
        <v>5</v>
      </c>
      <c r="G1402" s="4">
        <v>43396</v>
      </c>
    </row>
    <row r="1403" spans="2:18">
      <c r="C1403" s="2" t="s">
        <v>7</v>
      </c>
      <c r="D1403" s="2" t="s">
        <v>197</v>
      </c>
      <c r="E1403" s="3">
        <v>21</v>
      </c>
      <c r="F1403" s="3">
        <v>21</v>
      </c>
      <c r="G1403" s="4">
        <v>43140</v>
      </c>
    </row>
    <row r="1404" spans="2:18">
      <c r="C1404" s="2" t="s">
        <v>7</v>
      </c>
      <c r="D1404" s="2" t="s">
        <v>197</v>
      </c>
      <c r="E1404" s="3">
        <v>11</v>
      </c>
      <c r="F1404" s="3">
        <v>11</v>
      </c>
      <c r="G1404" s="4">
        <v>43025</v>
      </c>
    </row>
    <row r="1405" spans="2:18">
      <c r="C1405" s="153" t="s">
        <v>7</v>
      </c>
      <c r="D1405" s="153" t="s">
        <v>2046</v>
      </c>
      <c r="E1405" s="3">
        <v>50</v>
      </c>
      <c r="F1405" s="3">
        <v>4</v>
      </c>
      <c r="G1405" s="4">
        <v>44252</v>
      </c>
    </row>
    <row r="1406" spans="2:18">
      <c r="C1406" s="153" t="s">
        <v>5</v>
      </c>
      <c r="D1406" s="153" t="s">
        <v>6397</v>
      </c>
      <c r="E1406" s="3">
        <v>8</v>
      </c>
      <c r="F1406" s="3">
        <v>2</v>
      </c>
      <c r="G1406" s="4">
        <v>44179</v>
      </c>
    </row>
    <row r="1407" spans="2:18">
      <c r="G1407" s="4"/>
    </row>
    <row r="1408" spans="2:18" s="12" customFormat="1">
      <c r="B1408" s="12" t="s">
        <v>6692</v>
      </c>
      <c r="C1408" s="13" t="s">
        <v>969</v>
      </c>
      <c r="D1408" s="13" t="s">
        <v>968</v>
      </c>
      <c r="E1408" s="15"/>
      <c r="F1408" s="15">
        <f>SUM(F1409:F1410)</f>
        <v>76.666666666666671</v>
      </c>
      <c r="G1408" s="14">
        <f>G1409</f>
        <v>44502</v>
      </c>
      <c r="M1408" s="13"/>
      <c r="N1408" s="13"/>
      <c r="O1408" s="13"/>
      <c r="P1408" s="13"/>
      <c r="Q1408" s="13"/>
      <c r="R1408" s="13"/>
    </row>
    <row r="1409" spans="2:18">
      <c r="B1409" s="176"/>
      <c r="C1409" s="2" t="s">
        <v>8</v>
      </c>
      <c r="D1409" s="2" t="s">
        <v>15</v>
      </c>
      <c r="E1409" s="3">
        <v>220</v>
      </c>
      <c r="F1409" s="3">
        <v>50</v>
      </c>
      <c r="G1409" s="4">
        <v>44502</v>
      </c>
      <c r="I1409" s="1">
        <v>794</v>
      </c>
      <c r="J1409" s="1">
        <v>794</v>
      </c>
    </row>
    <row r="1410" spans="2:18">
      <c r="C1410" s="2" t="s">
        <v>8</v>
      </c>
      <c r="D1410" s="2" t="s">
        <v>15</v>
      </c>
      <c r="E1410" s="3">
        <v>220</v>
      </c>
      <c r="F1410" s="3">
        <v>26.666666666666668</v>
      </c>
      <c r="G1410" s="4">
        <v>44322</v>
      </c>
      <c r="I1410" s="1">
        <v>780</v>
      </c>
      <c r="J1410" s="1">
        <v>780</v>
      </c>
    </row>
    <row r="1411" spans="2:18">
      <c r="G1411" s="4"/>
    </row>
    <row r="1412" spans="2:18" s="12" customFormat="1">
      <c r="B1412" s="12" t="s">
        <v>1081</v>
      </c>
      <c r="C1412" s="13" t="s">
        <v>969</v>
      </c>
      <c r="D1412" s="13" t="s">
        <v>968</v>
      </c>
      <c r="E1412" s="15"/>
      <c r="F1412" s="15">
        <f>SUM(F1413:F1420)</f>
        <v>81.36</v>
      </c>
      <c r="G1412" s="14">
        <f>G1415</f>
        <v>45077</v>
      </c>
      <c r="M1412" s="13"/>
      <c r="N1412" s="13"/>
      <c r="O1412" s="13"/>
      <c r="P1412" s="13"/>
      <c r="Q1412" s="13"/>
      <c r="R1412" s="13"/>
    </row>
    <row r="1413" spans="2:18">
      <c r="B1413" s="253" t="s">
        <v>7632</v>
      </c>
      <c r="C1413" s="2" t="s">
        <v>18</v>
      </c>
      <c r="D1413" s="2" t="s">
        <v>962</v>
      </c>
      <c r="E1413" s="3">
        <v>135</v>
      </c>
      <c r="F1413" s="3">
        <v>42.5</v>
      </c>
      <c r="G1413" s="4">
        <v>44482</v>
      </c>
      <c r="J1413" s="1">
        <v>1200</v>
      </c>
    </row>
    <row r="1414" spans="2:18">
      <c r="C1414" s="2" t="s">
        <v>18</v>
      </c>
      <c r="D1414" s="2" t="s">
        <v>957</v>
      </c>
      <c r="E1414" s="3">
        <v>50</v>
      </c>
      <c r="F1414" s="3">
        <v>20</v>
      </c>
      <c r="G1414" s="4">
        <v>44900</v>
      </c>
      <c r="I1414" s="1">
        <v>450</v>
      </c>
      <c r="J1414" s="1">
        <v>1400</v>
      </c>
    </row>
    <row r="1415" spans="2:18">
      <c r="C1415" s="2" t="s">
        <v>5</v>
      </c>
      <c r="D1415" s="2" t="s">
        <v>689</v>
      </c>
      <c r="E1415" s="3">
        <v>28.5</v>
      </c>
      <c r="F1415" s="3">
        <v>6</v>
      </c>
      <c r="G1415" s="4">
        <v>45077</v>
      </c>
    </row>
    <row r="1416" spans="2:18">
      <c r="C1416" s="2" t="s">
        <v>7</v>
      </c>
      <c r="D1416" s="2" t="s">
        <v>416</v>
      </c>
      <c r="E1416" s="3">
        <v>16</v>
      </c>
      <c r="F1416" s="3">
        <v>4</v>
      </c>
      <c r="G1416" s="4">
        <v>42995</v>
      </c>
    </row>
    <row r="1417" spans="2:18">
      <c r="C1417" s="2" t="s">
        <v>5</v>
      </c>
      <c r="D1417" s="2" t="s">
        <v>416</v>
      </c>
      <c r="E1417" s="3">
        <v>8</v>
      </c>
      <c r="F1417" s="3">
        <v>2</v>
      </c>
      <c r="G1417" s="4">
        <v>42416</v>
      </c>
    </row>
    <row r="1418" spans="2:18">
      <c r="C1418" s="153" t="s">
        <v>5</v>
      </c>
      <c r="D1418" s="153" t="s">
        <v>2039</v>
      </c>
      <c r="E1418" s="3">
        <v>18</v>
      </c>
      <c r="F1418" s="3">
        <v>1</v>
      </c>
      <c r="G1418" s="4">
        <v>43445</v>
      </c>
    </row>
    <row r="1419" spans="2:18">
      <c r="C1419" s="153" t="s">
        <v>4</v>
      </c>
      <c r="D1419" s="153" t="s">
        <v>2039</v>
      </c>
      <c r="E1419" s="3">
        <v>4.3</v>
      </c>
      <c r="F1419" s="3">
        <f>E1419/5</f>
        <v>0.86</v>
      </c>
      <c r="G1419" s="4">
        <v>43157</v>
      </c>
    </row>
    <row r="1420" spans="2:18">
      <c r="C1420" s="265" t="s">
        <v>1040</v>
      </c>
      <c r="D1420" s="265" t="s">
        <v>962</v>
      </c>
      <c r="E1420" s="3">
        <v>50</v>
      </c>
      <c r="F1420" s="3">
        <v>5</v>
      </c>
      <c r="G1420" s="4">
        <v>45147</v>
      </c>
      <c r="I1420" s="1">
        <v>1200</v>
      </c>
      <c r="J1420" s="1">
        <v>1200</v>
      </c>
    </row>
    <row r="1421" spans="2:18">
      <c r="G1421" s="4"/>
    </row>
    <row r="1422" spans="2:18" s="12" customFormat="1">
      <c r="B1422" s="12" t="s">
        <v>6803</v>
      </c>
      <c r="C1422" s="13" t="s">
        <v>969</v>
      </c>
      <c r="D1422" s="13" t="s">
        <v>968</v>
      </c>
      <c r="E1422" s="15"/>
      <c r="F1422" s="15">
        <f>SUM(F1423:F1429)</f>
        <v>74.904761904761898</v>
      </c>
      <c r="G1422" s="14">
        <f>G1426</f>
        <v>44565</v>
      </c>
    </row>
    <row r="1423" spans="2:18">
      <c r="C1423" s="2" t="s">
        <v>8</v>
      </c>
      <c r="D1423" s="2" t="s">
        <v>386</v>
      </c>
      <c r="E1423" s="3">
        <v>140</v>
      </c>
      <c r="F1423" s="3">
        <v>10</v>
      </c>
      <c r="G1423" s="4">
        <v>44286</v>
      </c>
      <c r="M1423" s="1"/>
      <c r="N1423" s="1"/>
      <c r="O1423" s="1"/>
      <c r="P1423" s="1"/>
      <c r="Q1423" s="1"/>
      <c r="R1423" s="1"/>
    </row>
    <row r="1424" spans="2:18">
      <c r="C1424" s="2" t="s">
        <v>18</v>
      </c>
      <c r="D1424" s="2" t="s">
        <v>292</v>
      </c>
      <c r="E1424" s="3">
        <v>38</v>
      </c>
      <c r="F1424" s="3">
        <v>3</v>
      </c>
      <c r="G1424" s="4">
        <v>43104</v>
      </c>
      <c r="M1424" s="1"/>
      <c r="N1424" s="1"/>
      <c r="O1424" s="1"/>
      <c r="P1424" s="1"/>
      <c r="Q1424" s="1"/>
      <c r="R1424" s="1"/>
    </row>
    <row r="1425" spans="2:18">
      <c r="C1425" s="2" t="s">
        <v>18</v>
      </c>
      <c r="D1425" s="2" t="s">
        <v>211</v>
      </c>
      <c r="E1425" s="3">
        <v>230</v>
      </c>
      <c r="F1425" s="3">
        <f>E1425/6</f>
        <v>38.333333333333336</v>
      </c>
      <c r="G1425" s="4">
        <v>43923</v>
      </c>
      <c r="M1425" s="1"/>
      <c r="N1425" s="1"/>
      <c r="O1425" s="1"/>
      <c r="P1425" s="1"/>
      <c r="Q1425" s="1"/>
      <c r="R1425" s="1"/>
    </row>
    <row r="1426" spans="2:18">
      <c r="C1426" s="2" t="s">
        <v>18</v>
      </c>
      <c r="D1426" s="2" t="s">
        <v>131</v>
      </c>
      <c r="E1426" s="3">
        <v>73</v>
      </c>
      <c r="F1426" s="3">
        <f>53/7</f>
        <v>7.5714285714285712</v>
      </c>
      <c r="G1426" s="4">
        <v>44565</v>
      </c>
      <c r="J1426" s="1">
        <v>615</v>
      </c>
      <c r="M1426" s="1"/>
      <c r="N1426" s="1"/>
      <c r="O1426" s="1"/>
      <c r="P1426" s="1"/>
      <c r="Q1426" s="1"/>
      <c r="R1426" s="1"/>
    </row>
    <row r="1427" spans="2:18">
      <c r="C1427" s="2" t="s">
        <v>18</v>
      </c>
      <c r="D1427" s="2" t="s">
        <v>55</v>
      </c>
      <c r="E1427" s="3">
        <v>65</v>
      </c>
      <c r="F1427" s="3">
        <v>8</v>
      </c>
      <c r="G1427" s="4">
        <v>43802</v>
      </c>
      <c r="I1427" s="1">
        <v>685</v>
      </c>
      <c r="J1427" s="1">
        <v>7000</v>
      </c>
      <c r="M1427" s="1"/>
      <c r="N1427" s="1"/>
      <c r="O1427" s="1"/>
      <c r="P1427" s="1"/>
      <c r="Q1427" s="1"/>
      <c r="R1427" s="1"/>
    </row>
    <row r="1428" spans="2:18">
      <c r="C1428" s="2" t="s">
        <v>7</v>
      </c>
      <c r="D1428" s="2" t="s">
        <v>55</v>
      </c>
      <c r="E1428" s="3">
        <v>40</v>
      </c>
      <c r="F1428" s="3">
        <v>6</v>
      </c>
      <c r="G1428" s="4">
        <v>43503</v>
      </c>
      <c r="J1428" s="1">
        <v>7000</v>
      </c>
      <c r="M1428" s="1"/>
      <c r="N1428" s="1"/>
      <c r="O1428" s="1"/>
      <c r="P1428" s="1"/>
      <c r="Q1428" s="1"/>
      <c r="R1428" s="1"/>
    </row>
    <row r="1429" spans="2:18">
      <c r="C1429" s="2" t="s">
        <v>5</v>
      </c>
      <c r="D1429" s="2" t="s">
        <v>55</v>
      </c>
      <c r="E1429" s="3">
        <v>2</v>
      </c>
      <c r="F1429" s="3">
        <v>2</v>
      </c>
      <c r="G1429" s="4">
        <v>42928</v>
      </c>
      <c r="J1429" s="1">
        <v>7000</v>
      </c>
      <c r="M1429" s="1"/>
      <c r="N1429" s="1"/>
      <c r="O1429" s="1"/>
      <c r="P1429" s="1"/>
      <c r="Q1429" s="1"/>
      <c r="R1429" s="1"/>
    </row>
    <row r="1430" spans="2:18">
      <c r="G1430" s="4"/>
    </row>
    <row r="1431" spans="2:18" s="12" customFormat="1">
      <c r="B1431" s="12" t="s">
        <v>158</v>
      </c>
      <c r="C1431" s="13" t="s">
        <v>969</v>
      </c>
      <c r="D1431" s="13" t="s">
        <v>968</v>
      </c>
      <c r="E1431" s="15"/>
      <c r="F1431" s="15">
        <f>SUM(F1432:F1435)</f>
        <v>75.055555555555557</v>
      </c>
      <c r="G1431" s="14">
        <f>G1432</f>
        <v>44413</v>
      </c>
      <c r="M1431" s="13"/>
      <c r="N1431" s="13"/>
      <c r="O1431" s="13"/>
      <c r="P1431" s="13"/>
      <c r="Q1431" s="13"/>
      <c r="R1431" s="13"/>
    </row>
    <row r="1432" spans="2:18">
      <c r="C1432" s="2" t="s">
        <v>9</v>
      </c>
      <c r="D1432" s="2" t="s">
        <v>154</v>
      </c>
      <c r="E1432" s="3">
        <v>400</v>
      </c>
      <c r="F1432" s="3">
        <f>320/9</f>
        <v>35.555555555555557</v>
      </c>
      <c r="G1432" s="4">
        <v>44413</v>
      </c>
      <c r="I1432" s="1">
        <v>4200</v>
      </c>
    </row>
    <row r="1433" spans="2:18">
      <c r="C1433" s="2" t="s">
        <v>8</v>
      </c>
      <c r="D1433" s="2" t="s">
        <v>154</v>
      </c>
      <c r="E1433" s="3">
        <v>100</v>
      </c>
      <c r="F1433" s="3">
        <f>75/6</f>
        <v>12.5</v>
      </c>
      <c r="G1433" s="4">
        <v>44067</v>
      </c>
    </row>
    <row r="1434" spans="2:18">
      <c r="C1434" s="2" t="s">
        <v>18</v>
      </c>
      <c r="D1434" s="2" t="s">
        <v>154</v>
      </c>
      <c r="E1434" s="3">
        <v>101</v>
      </c>
      <c r="F1434" s="3">
        <f>60/4</f>
        <v>15</v>
      </c>
      <c r="G1434" s="4">
        <v>43453</v>
      </c>
    </row>
    <row r="1435" spans="2:18">
      <c r="C1435" s="2" t="s">
        <v>7</v>
      </c>
      <c r="D1435" s="2" t="s">
        <v>108</v>
      </c>
      <c r="E1435" s="3">
        <v>37</v>
      </c>
      <c r="F1435" s="3">
        <v>12</v>
      </c>
      <c r="G1435" s="4">
        <v>43783</v>
      </c>
    </row>
    <row r="1436" spans="2:18">
      <c r="G1436" s="4"/>
    </row>
    <row r="1437" spans="2:18" s="12" customFormat="1">
      <c r="B1437" s="12" t="s">
        <v>963</v>
      </c>
      <c r="C1437" s="13" t="s">
        <v>969</v>
      </c>
      <c r="D1437" s="13" t="s">
        <v>968</v>
      </c>
      <c r="E1437" s="15"/>
      <c r="F1437" s="15">
        <f>SUM(F1438:F1441)</f>
        <v>100.16666666666667</v>
      </c>
      <c r="G1437" s="14">
        <f>G1440</f>
        <v>45265</v>
      </c>
      <c r="M1437" s="13"/>
      <c r="N1437" s="13"/>
      <c r="O1437" s="13"/>
      <c r="P1437" s="13"/>
      <c r="Q1437" s="13"/>
      <c r="R1437" s="13"/>
    </row>
    <row r="1438" spans="2:18">
      <c r="C1438" s="2" t="s">
        <v>18</v>
      </c>
      <c r="D1438" s="2" t="s">
        <v>962</v>
      </c>
      <c r="E1438" s="3">
        <v>135</v>
      </c>
      <c r="F1438" s="3">
        <v>42.5</v>
      </c>
      <c r="G1438" s="4">
        <v>44482</v>
      </c>
    </row>
    <row r="1439" spans="2:18">
      <c r="C1439" s="92" t="s">
        <v>7</v>
      </c>
      <c r="D1439" s="92" t="s">
        <v>2069</v>
      </c>
      <c r="E1439" s="3">
        <v>60</v>
      </c>
      <c r="F1439" s="3">
        <v>30</v>
      </c>
      <c r="G1439" s="4">
        <v>44278</v>
      </c>
    </row>
    <row r="1440" spans="2:18">
      <c r="C1440" s="265" t="s">
        <v>9</v>
      </c>
      <c r="D1440" s="265" t="s">
        <v>4882</v>
      </c>
      <c r="E1440" s="3">
        <v>118</v>
      </c>
      <c r="F1440" s="3">
        <f>68/3</f>
        <v>22.666666666666668</v>
      </c>
      <c r="G1440" s="4">
        <v>45265</v>
      </c>
      <c r="I1440" s="1">
        <v>9000</v>
      </c>
      <c r="J1440" s="1">
        <v>9000</v>
      </c>
    </row>
    <row r="1441" spans="2:18">
      <c r="C1441" s="265" t="s">
        <v>1040</v>
      </c>
      <c r="D1441" s="265" t="s">
        <v>962</v>
      </c>
      <c r="E1441" s="3">
        <v>50</v>
      </c>
      <c r="F1441" s="3">
        <v>5</v>
      </c>
      <c r="G1441" s="4">
        <v>45147</v>
      </c>
      <c r="I1441" s="1">
        <v>1200</v>
      </c>
      <c r="J1441" s="1">
        <v>1200</v>
      </c>
    </row>
    <row r="1442" spans="2:18">
      <c r="G1442" s="4"/>
    </row>
    <row r="1443" spans="2:18" s="12" customFormat="1">
      <c r="B1443" s="12" t="s">
        <v>225</v>
      </c>
      <c r="C1443" s="13" t="s">
        <v>969</v>
      </c>
      <c r="D1443" s="13" t="s">
        <v>968</v>
      </c>
      <c r="E1443" s="15"/>
      <c r="F1443" s="15">
        <f>SUM(F1444:F1445)</f>
        <v>73.333333333333343</v>
      </c>
      <c r="G1443" s="14">
        <f>G1445</f>
        <v>44287</v>
      </c>
      <c r="M1443" s="13"/>
      <c r="N1443" s="13"/>
      <c r="O1443" s="13"/>
      <c r="P1443" s="13"/>
      <c r="Q1443" s="13"/>
      <c r="R1443" s="13"/>
    </row>
    <row r="1444" spans="2:18">
      <c r="C1444" s="2" t="s">
        <v>8</v>
      </c>
      <c r="D1444" s="2" t="s">
        <v>211</v>
      </c>
      <c r="E1444" s="3">
        <v>700</v>
      </c>
      <c r="F1444" s="3">
        <f t="shared" ref="F1444" si="0">400/12</f>
        <v>33.333333333333336</v>
      </c>
      <c r="G1444" s="4">
        <v>44218</v>
      </c>
    </row>
    <row r="1445" spans="2:18">
      <c r="C1445" s="2" t="s">
        <v>8</v>
      </c>
      <c r="D1445" s="2" t="s">
        <v>2134</v>
      </c>
      <c r="E1445" s="3">
        <v>220</v>
      </c>
      <c r="F1445" s="3">
        <v>40</v>
      </c>
      <c r="G1445" s="4">
        <v>44287</v>
      </c>
    </row>
    <row r="1446" spans="2:18">
      <c r="G1446" s="4"/>
    </row>
    <row r="1447" spans="2:18" s="12" customFormat="1">
      <c r="B1447" s="12" t="s">
        <v>694</v>
      </c>
      <c r="C1447" s="13" t="s">
        <v>969</v>
      </c>
      <c r="D1447" s="13" t="s">
        <v>968</v>
      </c>
      <c r="E1447" s="15"/>
      <c r="F1447" s="15">
        <f>SUM(F1448:F1454)</f>
        <v>73.375</v>
      </c>
      <c r="G1447" s="14">
        <f>G1454</f>
        <v>44833</v>
      </c>
      <c r="M1447" s="13"/>
      <c r="N1447" s="13"/>
      <c r="O1447" s="13"/>
      <c r="P1447" s="13"/>
      <c r="Q1447" s="13"/>
      <c r="R1447" s="13"/>
    </row>
    <row r="1448" spans="2:18">
      <c r="B1448" s="253" t="s">
        <v>7632</v>
      </c>
      <c r="C1448" s="2" t="s">
        <v>7</v>
      </c>
      <c r="D1448" s="2" t="s">
        <v>693</v>
      </c>
      <c r="E1448" s="3">
        <v>50</v>
      </c>
      <c r="F1448" s="3">
        <v>25</v>
      </c>
      <c r="G1448" s="4">
        <v>44643</v>
      </c>
    </row>
    <row r="1449" spans="2:18">
      <c r="C1449" s="2" t="s">
        <v>18</v>
      </c>
      <c r="D1449" s="2" t="s">
        <v>692</v>
      </c>
      <c r="E1449" s="3">
        <v>125</v>
      </c>
      <c r="F1449" s="3">
        <f>75/8</f>
        <v>9.375</v>
      </c>
      <c r="G1449" s="4">
        <v>44663</v>
      </c>
    </row>
    <row r="1450" spans="2:18">
      <c r="C1450" s="2" t="s">
        <v>7</v>
      </c>
      <c r="D1450" s="2" t="s">
        <v>692</v>
      </c>
      <c r="E1450" s="3">
        <v>54</v>
      </c>
      <c r="F1450" s="3">
        <f>40/5</f>
        <v>8</v>
      </c>
      <c r="G1450" s="4">
        <v>44089</v>
      </c>
    </row>
    <row r="1451" spans="2:18">
      <c r="C1451" s="2" t="s">
        <v>5</v>
      </c>
      <c r="D1451" s="2" t="s">
        <v>692</v>
      </c>
      <c r="E1451" s="3">
        <v>26</v>
      </c>
      <c r="F1451" s="3">
        <v>10</v>
      </c>
      <c r="G1451" s="4">
        <v>43809</v>
      </c>
    </row>
    <row r="1452" spans="2:18">
      <c r="C1452" s="140" t="s">
        <v>7</v>
      </c>
      <c r="D1452" s="140" t="s">
        <v>2057</v>
      </c>
      <c r="E1452" s="3">
        <v>50</v>
      </c>
      <c r="F1452" s="3">
        <v>10</v>
      </c>
      <c r="G1452" s="4">
        <v>44518</v>
      </c>
    </row>
    <row r="1453" spans="2:18">
      <c r="C1453" s="140" t="s">
        <v>5</v>
      </c>
      <c r="D1453" s="140" t="s">
        <v>2057</v>
      </c>
      <c r="E1453" s="3">
        <v>13</v>
      </c>
      <c r="F1453" s="3">
        <v>7</v>
      </c>
      <c r="G1453" s="4">
        <v>44294</v>
      </c>
    </row>
    <row r="1454" spans="2:18">
      <c r="C1454" s="177" t="s">
        <v>5</v>
      </c>
      <c r="D1454" s="177" t="s">
        <v>2018</v>
      </c>
      <c r="E1454" s="3">
        <v>16</v>
      </c>
      <c r="F1454" s="3">
        <v>4</v>
      </c>
      <c r="G1454" s="4">
        <v>44833</v>
      </c>
    </row>
    <row r="1455" spans="2:18">
      <c r="G1455" s="4"/>
    </row>
    <row r="1456" spans="2:18" s="12" customFormat="1">
      <c r="B1456" s="12" t="s">
        <v>1074</v>
      </c>
      <c r="C1456" s="13" t="s">
        <v>969</v>
      </c>
      <c r="D1456" s="13" t="s">
        <v>968</v>
      </c>
      <c r="E1456" s="15"/>
      <c r="F1456" s="15">
        <f>SUM(F1457:F1470)</f>
        <v>73.469047619047615</v>
      </c>
      <c r="G1456" s="14">
        <f>G1468</f>
        <v>45001</v>
      </c>
      <c r="M1456" s="13"/>
      <c r="N1456" s="13"/>
      <c r="O1456" s="13"/>
      <c r="P1456" s="13"/>
      <c r="Q1456" s="13"/>
      <c r="R1456" s="13"/>
    </row>
    <row r="1457" spans="2:10">
      <c r="B1457" s="253" t="s">
        <v>7632</v>
      </c>
      <c r="C1457" s="2" t="s">
        <v>5</v>
      </c>
      <c r="D1457" s="2" t="s">
        <v>779</v>
      </c>
      <c r="E1457" s="3">
        <v>33</v>
      </c>
      <c r="F1457" s="3">
        <f>13/3</f>
        <v>4.333333333333333</v>
      </c>
      <c r="G1457" s="4">
        <v>44893</v>
      </c>
    </row>
    <row r="1458" spans="2:10">
      <c r="C1458" s="2" t="s">
        <v>670</v>
      </c>
      <c r="D1458" s="2" t="s">
        <v>779</v>
      </c>
      <c r="E1458" s="3">
        <v>3</v>
      </c>
      <c r="F1458" s="3">
        <v>2</v>
      </c>
      <c r="G1458" s="4">
        <v>44183</v>
      </c>
    </row>
    <row r="1459" spans="2:10">
      <c r="C1459" s="2" t="s">
        <v>7</v>
      </c>
      <c r="D1459" s="2" t="s">
        <v>542</v>
      </c>
      <c r="E1459" s="3">
        <v>40</v>
      </c>
      <c r="F1459" s="3">
        <f>25/4</f>
        <v>6.25</v>
      </c>
      <c r="G1459" s="4">
        <v>44811</v>
      </c>
    </row>
    <row r="1460" spans="2:10">
      <c r="C1460" s="2" t="s">
        <v>5</v>
      </c>
      <c r="D1460" s="2" t="s">
        <v>542</v>
      </c>
      <c r="E1460" s="3">
        <v>14</v>
      </c>
      <c r="F1460" s="3">
        <f>8/5</f>
        <v>1.6</v>
      </c>
      <c r="G1460" s="4">
        <v>44447</v>
      </c>
    </row>
    <row r="1461" spans="2:10">
      <c r="C1461" s="2" t="s">
        <v>5</v>
      </c>
      <c r="D1461" s="2" t="s">
        <v>542</v>
      </c>
      <c r="E1461" s="3">
        <v>12</v>
      </c>
      <c r="F1461" s="3">
        <v>2</v>
      </c>
      <c r="G1461" s="4">
        <v>43532</v>
      </c>
    </row>
    <row r="1462" spans="2:10">
      <c r="C1462" s="2" t="s">
        <v>9</v>
      </c>
      <c r="D1462" s="2" t="s">
        <v>22</v>
      </c>
      <c r="E1462" s="3">
        <v>222</v>
      </c>
      <c r="F1462" s="3">
        <v>10</v>
      </c>
      <c r="G1462" s="4">
        <v>44194</v>
      </c>
      <c r="I1462" s="1">
        <v>2500</v>
      </c>
      <c r="J1462" s="1">
        <v>2500</v>
      </c>
    </row>
    <row r="1463" spans="2:10">
      <c r="C1463" s="2" t="s">
        <v>8</v>
      </c>
      <c r="D1463" s="2" t="s">
        <v>22</v>
      </c>
      <c r="E1463" s="3">
        <v>150</v>
      </c>
      <c r="F1463" s="3">
        <v>14.285714285714286</v>
      </c>
      <c r="G1463" s="4">
        <v>43885</v>
      </c>
      <c r="I1463" s="1">
        <v>1800</v>
      </c>
      <c r="J1463" s="1">
        <v>2500</v>
      </c>
    </row>
    <row r="1464" spans="2:10">
      <c r="C1464" s="2" t="s">
        <v>8</v>
      </c>
      <c r="D1464" s="2" t="s">
        <v>22</v>
      </c>
      <c r="E1464" s="3">
        <v>200</v>
      </c>
      <c r="F1464" s="3">
        <v>13</v>
      </c>
      <c r="G1464" s="4">
        <v>43452</v>
      </c>
      <c r="I1464" s="1">
        <v>1500</v>
      </c>
      <c r="J1464" s="1">
        <v>2500</v>
      </c>
    </row>
    <row r="1465" spans="2:10">
      <c r="C1465" s="2" t="s">
        <v>18</v>
      </c>
      <c r="D1465" s="2" t="s">
        <v>22</v>
      </c>
      <c r="E1465" s="3">
        <v>50</v>
      </c>
      <c r="F1465" s="3">
        <v>5</v>
      </c>
      <c r="G1465" s="4">
        <v>43051</v>
      </c>
      <c r="J1465" s="1">
        <v>2500</v>
      </c>
    </row>
    <row r="1466" spans="2:10">
      <c r="C1466" s="2" t="s">
        <v>7</v>
      </c>
      <c r="D1466" s="2" t="s">
        <v>22</v>
      </c>
      <c r="E1466" s="3">
        <v>30</v>
      </c>
      <c r="F1466" s="3">
        <v>3</v>
      </c>
      <c r="G1466" s="4">
        <v>42936</v>
      </c>
      <c r="J1466" s="1">
        <v>2500</v>
      </c>
    </row>
    <row r="1467" spans="2:10">
      <c r="C1467" s="2" t="s">
        <v>5</v>
      </c>
      <c r="D1467" s="2" t="s">
        <v>22</v>
      </c>
      <c r="E1467" s="3">
        <v>30</v>
      </c>
      <c r="F1467" s="3">
        <v>5</v>
      </c>
      <c r="G1467" s="4">
        <v>42674</v>
      </c>
      <c r="J1467" s="1">
        <v>2500</v>
      </c>
    </row>
    <row r="1468" spans="2:10">
      <c r="C1468" s="241" t="s">
        <v>7</v>
      </c>
      <c r="D1468" s="241" t="s">
        <v>2012</v>
      </c>
      <c r="E1468" s="3">
        <v>20</v>
      </c>
      <c r="F1468" s="3">
        <v>4</v>
      </c>
      <c r="G1468" s="4">
        <v>45001</v>
      </c>
    </row>
    <row r="1469" spans="2:10">
      <c r="C1469" s="241" t="s">
        <v>5</v>
      </c>
      <c r="D1469" s="241" t="s">
        <v>2012</v>
      </c>
      <c r="E1469" s="3">
        <v>9</v>
      </c>
      <c r="F1469" s="3">
        <v>1</v>
      </c>
      <c r="G1469" s="4">
        <v>44152</v>
      </c>
    </row>
    <row r="1470" spans="2:10">
      <c r="C1470" s="241" t="s">
        <v>4</v>
      </c>
      <c r="D1470" s="241" t="s">
        <v>2012</v>
      </c>
      <c r="E1470" s="3">
        <v>4</v>
      </c>
      <c r="F1470" s="3">
        <v>2</v>
      </c>
      <c r="G1470" s="4">
        <v>43481</v>
      </c>
    </row>
    <row r="1471" spans="2:10">
      <c r="G1471" s="4"/>
    </row>
    <row r="1472" spans="2:10" s="12" customFormat="1">
      <c r="B1472" s="12" t="s">
        <v>359</v>
      </c>
      <c r="C1472" s="13" t="s">
        <v>969</v>
      </c>
      <c r="D1472" s="13" t="s">
        <v>968</v>
      </c>
      <c r="E1472" s="15"/>
      <c r="F1472" s="15">
        <f>SUM(F1473:F1476)</f>
        <v>73</v>
      </c>
      <c r="G1472" s="14">
        <f>G1473</f>
        <v>44663</v>
      </c>
    </row>
    <row r="1473" spans="2:18">
      <c r="C1473" s="2" t="s">
        <v>5</v>
      </c>
      <c r="D1473" s="2" t="s">
        <v>355</v>
      </c>
      <c r="E1473" s="3">
        <v>16</v>
      </c>
      <c r="F1473" s="3">
        <v>10</v>
      </c>
      <c r="G1473" s="4">
        <v>44663</v>
      </c>
      <c r="M1473" s="1"/>
      <c r="N1473" s="1"/>
      <c r="O1473" s="1"/>
      <c r="P1473" s="1"/>
      <c r="Q1473" s="1"/>
      <c r="R1473" s="1"/>
    </row>
    <row r="1474" spans="2:18">
      <c r="C1474" s="2" t="s">
        <v>18</v>
      </c>
      <c r="D1474" s="2" t="s">
        <v>161</v>
      </c>
      <c r="E1474" s="3">
        <v>100</v>
      </c>
      <c r="F1474" s="3">
        <f>70/5</f>
        <v>14</v>
      </c>
      <c r="G1474" s="4">
        <v>44235</v>
      </c>
      <c r="I1474" s="1">
        <v>5200</v>
      </c>
      <c r="J1474" s="1">
        <v>8400</v>
      </c>
      <c r="M1474" s="1"/>
      <c r="N1474" s="1"/>
      <c r="O1474" s="1"/>
      <c r="P1474" s="1"/>
      <c r="Q1474" s="1"/>
      <c r="R1474" s="1"/>
    </row>
    <row r="1475" spans="2:18">
      <c r="C1475" s="2" t="s">
        <v>18</v>
      </c>
      <c r="D1475" s="2" t="s">
        <v>161</v>
      </c>
      <c r="E1475" s="3">
        <v>267</v>
      </c>
      <c r="F1475" s="3">
        <v>33</v>
      </c>
      <c r="G1475" s="4">
        <v>44235</v>
      </c>
      <c r="I1475" s="1">
        <v>5000</v>
      </c>
      <c r="J1475" s="1">
        <v>8400</v>
      </c>
      <c r="M1475" s="1"/>
      <c r="N1475" s="1"/>
      <c r="O1475" s="1"/>
      <c r="P1475" s="1"/>
      <c r="Q1475" s="1"/>
      <c r="R1475" s="1"/>
    </row>
    <row r="1476" spans="2:18">
      <c r="C1476" s="2" t="s">
        <v>5</v>
      </c>
      <c r="D1476" s="2" t="s">
        <v>161</v>
      </c>
      <c r="E1476" s="3">
        <v>102</v>
      </c>
      <c r="F1476" s="3">
        <v>16</v>
      </c>
      <c r="G1476" s="4">
        <v>43292</v>
      </c>
      <c r="J1476" s="1">
        <v>8400</v>
      </c>
      <c r="M1476" s="1"/>
      <c r="N1476" s="1"/>
      <c r="O1476" s="1"/>
      <c r="P1476" s="1"/>
      <c r="Q1476" s="1"/>
      <c r="R1476" s="1"/>
    </row>
    <row r="1477" spans="2:18">
      <c r="G1477" s="4"/>
      <c r="M1477" s="1"/>
      <c r="N1477" s="1"/>
      <c r="O1477" s="1"/>
      <c r="P1477" s="1"/>
      <c r="Q1477" s="1"/>
      <c r="R1477" s="1"/>
    </row>
    <row r="1478" spans="2:18" s="12" customFormat="1">
      <c r="B1478" s="12" t="s">
        <v>708</v>
      </c>
      <c r="C1478" s="13" t="s">
        <v>969</v>
      </c>
      <c r="D1478" s="13" t="s">
        <v>968</v>
      </c>
      <c r="E1478" s="15"/>
      <c r="F1478" s="15" cm="1">
        <f t="array" ref="F1478">SUM(F1479+F1479:F1482)</f>
        <v>72.166666666666671</v>
      </c>
      <c r="G1478" s="14">
        <f>G1479</f>
        <v>45090</v>
      </c>
      <c r="M1478" s="13"/>
      <c r="N1478" s="13"/>
      <c r="O1478" s="13"/>
      <c r="P1478" s="13"/>
      <c r="Q1478" s="13"/>
      <c r="R1478" s="13"/>
    </row>
    <row r="1479" spans="2:18">
      <c r="C1479" s="2" t="s">
        <v>4</v>
      </c>
      <c r="D1479" s="2" t="s">
        <v>705</v>
      </c>
      <c r="E1479" s="3">
        <v>113</v>
      </c>
      <c r="F1479" s="3">
        <v>8</v>
      </c>
      <c r="G1479" s="4">
        <v>45090</v>
      </c>
    </row>
    <row r="1480" spans="2:18">
      <c r="C1480" s="2" t="s">
        <v>5</v>
      </c>
      <c r="D1480" s="2" t="s">
        <v>381</v>
      </c>
      <c r="E1480" s="3">
        <v>86</v>
      </c>
      <c r="F1480" s="3">
        <v>10</v>
      </c>
      <c r="G1480" s="4">
        <v>44488</v>
      </c>
    </row>
    <row r="1481" spans="2:18">
      <c r="C1481" s="2" t="s">
        <v>4</v>
      </c>
      <c r="D1481" s="2" t="s">
        <v>381</v>
      </c>
      <c r="E1481" s="3">
        <v>8.5</v>
      </c>
      <c r="F1481" s="3">
        <v>5.5</v>
      </c>
      <c r="G1481" s="4">
        <v>43796</v>
      </c>
    </row>
    <row r="1482" spans="2:18">
      <c r="C1482" s="2" t="s">
        <v>8</v>
      </c>
      <c r="D1482" s="2" t="s">
        <v>707</v>
      </c>
      <c r="E1482" s="3">
        <v>150</v>
      </c>
      <c r="F1482" s="3">
        <f>100/6</f>
        <v>16.666666666666668</v>
      </c>
      <c r="G1482" s="4">
        <v>43885</v>
      </c>
      <c r="I1482" s="1">
        <v>1800</v>
      </c>
      <c r="J1482" s="1">
        <v>2500</v>
      </c>
    </row>
    <row r="1483" spans="2:18">
      <c r="G1483" s="4"/>
    </row>
    <row r="1484" spans="2:18" s="12" customFormat="1">
      <c r="B1484" s="12" t="s">
        <v>7897</v>
      </c>
      <c r="C1484" s="13" t="s">
        <v>969</v>
      </c>
      <c r="D1484" s="13" t="s">
        <v>968</v>
      </c>
      <c r="E1484" s="15"/>
      <c r="F1484" s="15">
        <f>SUM(F1485:F1487)</f>
        <v>69.968530020703938</v>
      </c>
      <c r="G1484" s="14">
        <f>G1486</f>
        <v>45183</v>
      </c>
      <c r="M1484" s="13"/>
      <c r="N1484" s="13"/>
      <c r="O1484" s="13"/>
      <c r="P1484" s="13"/>
      <c r="Q1484" s="13"/>
      <c r="R1484" s="13"/>
    </row>
    <row r="1485" spans="2:18">
      <c r="B1485" s="264"/>
      <c r="C1485" s="2" t="s">
        <v>7</v>
      </c>
      <c r="D1485" s="2" t="s">
        <v>525</v>
      </c>
      <c r="E1485" s="3">
        <v>32</v>
      </c>
      <c r="F1485" s="3">
        <v>3</v>
      </c>
      <c r="G1485" s="4">
        <v>44364</v>
      </c>
    </row>
    <row r="1486" spans="2:18">
      <c r="B1486" s="264"/>
      <c r="C1486" s="265" t="s">
        <v>7890</v>
      </c>
      <c r="D1486" s="265" t="s">
        <v>1006</v>
      </c>
      <c r="E1486" s="3">
        <v>684.6</v>
      </c>
      <c r="F1486" s="3">
        <f>584.6/21</f>
        <v>27.838095238095239</v>
      </c>
      <c r="G1486" s="4">
        <v>45183</v>
      </c>
    </row>
    <row r="1487" spans="2:18">
      <c r="B1487" s="264"/>
      <c r="C1487" s="265" t="s">
        <v>504</v>
      </c>
      <c r="D1487" s="265" t="s">
        <v>1006</v>
      </c>
      <c r="E1487" s="3">
        <v>1000</v>
      </c>
      <c r="F1487" s="3">
        <f>900/23</f>
        <v>39.130434782608695</v>
      </c>
      <c r="G1487" s="4">
        <v>44228</v>
      </c>
    </row>
    <row r="1488" spans="2:18">
      <c r="B1488" s="264"/>
      <c r="C1488" s="265" t="s">
        <v>8</v>
      </c>
      <c r="D1488" s="265" t="s">
        <v>3733</v>
      </c>
      <c r="E1488" s="3">
        <v>235</v>
      </c>
      <c r="F1488" s="3">
        <f>185/8</f>
        <v>23.125</v>
      </c>
      <c r="G1488" s="4">
        <v>45161</v>
      </c>
      <c r="I1488" s="1">
        <v>4300</v>
      </c>
      <c r="J1488" s="1">
        <v>4300</v>
      </c>
    </row>
    <row r="1489" spans="2:18">
      <c r="B1489" s="264"/>
      <c r="G1489" s="4"/>
    </row>
    <row r="1490" spans="2:18" s="12" customFormat="1">
      <c r="B1490" s="12" t="s">
        <v>1077</v>
      </c>
      <c r="C1490" s="13" t="s">
        <v>969</v>
      </c>
      <c r="D1490" s="13" t="s">
        <v>968</v>
      </c>
      <c r="E1490" s="15"/>
      <c r="F1490" s="15">
        <f>SUM(F1491:F1495)</f>
        <v>69.833333333333329</v>
      </c>
      <c r="G1490" s="14">
        <f>G1491</f>
        <v>45048</v>
      </c>
      <c r="M1490" s="13"/>
      <c r="N1490" s="13"/>
      <c r="O1490" s="13"/>
      <c r="P1490" s="13"/>
      <c r="Q1490" s="13"/>
      <c r="R1490" s="13"/>
    </row>
    <row r="1491" spans="2:18">
      <c r="C1491" s="2" t="s">
        <v>18</v>
      </c>
      <c r="D1491" s="2" t="s">
        <v>952</v>
      </c>
      <c r="E1491" s="3">
        <v>270</v>
      </c>
      <c r="F1491" s="3">
        <v>24</v>
      </c>
      <c r="G1491" s="4">
        <v>45048</v>
      </c>
    </row>
    <row r="1492" spans="2:18">
      <c r="C1492" s="2" t="s">
        <v>7</v>
      </c>
      <c r="D1492" s="2" t="s">
        <v>475</v>
      </c>
      <c r="E1492" s="3">
        <v>90</v>
      </c>
      <c r="F1492" s="3">
        <v>6</v>
      </c>
      <c r="G1492" s="4">
        <v>44398</v>
      </c>
    </row>
    <row r="1493" spans="2:18">
      <c r="C1493" s="2" t="s">
        <v>8</v>
      </c>
      <c r="D1493" s="2" t="s">
        <v>258</v>
      </c>
      <c r="E1493" s="3">
        <v>111</v>
      </c>
      <c r="F1493" s="3">
        <v>7</v>
      </c>
      <c r="G1493" s="4">
        <v>44622</v>
      </c>
    </row>
    <row r="1494" spans="2:18">
      <c r="C1494" s="2" t="s">
        <v>8</v>
      </c>
      <c r="D1494" s="2" t="s">
        <v>131</v>
      </c>
      <c r="E1494" s="3">
        <v>135</v>
      </c>
      <c r="F1494" s="3">
        <v>8</v>
      </c>
      <c r="G1494" s="4">
        <v>44880</v>
      </c>
    </row>
    <row r="1495" spans="2:18">
      <c r="C1495" s="2" t="s">
        <v>7</v>
      </c>
      <c r="D1495" s="2" t="s">
        <v>64</v>
      </c>
      <c r="E1495" s="3">
        <f>1600/7</f>
        <v>228.57142857142858</v>
      </c>
      <c r="F1495" s="3">
        <f>149/6</f>
        <v>24.833333333333332</v>
      </c>
      <c r="G1495" s="4">
        <v>44550</v>
      </c>
    </row>
    <row r="1496" spans="2:18">
      <c r="G1496" s="4"/>
    </row>
    <row r="1497" spans="2:18" s="12" customFormat="1">
      <c r="B1497" s="12" t="s">
        <v>502</v>
      </c>
      <c r="C1497" s="13" t="s">
        <v>969</v>
      </c>
      <c r="D1497" s="13" t="s">
        <v>968</v>
      </c>
      <c r="E1497" s="15"/>
      <c r="F1497" s="15">
        <f>SUM(F1498:F1501)</f>
        <v>69</v>
      </c>
      <c r="G1497" s="14">
        <f>G1498</f>
        <v>44152</v>
      </c>
    </row>
    <row r="1498" spans="2:18">
      <c r="C1498" s="2" t="s">
        <v>53</v>
      </c>
      <c r="D1498" s="2" t="s">
        <v>489</v>
      </c>
      <c r="E1498" s="3">
        <v>270</v>
      </c>
      <c r="F1498" s="3">
        <v>22</v>
      </c>
      <c r="G1498" s="4">
        <v>44152</v>
      </c>
      <c r="M1498" s="1"/>
      <c r="N1498" s="1"/>
      <c r="O1498" s="1"/>
      <c r="P1498" s="1"/>
      <c r="Q1498" s="1"/>
      <c r="R1498" s="1"/>
    </row>
    <row r="1499" spans="2:18">
      <c r="C1499" s="2" t="s">
        <v>8</v>
      </c>
      <c r="D1499" s="2" t="s">
        <v>176</v>
      </c>
      <c r="E1499" s="3">
        <v>130</v>
      </c>
      <c r="F1499" s="3">
        <v>12</v>
      </c>
      <c r="G1499" s="4">
        <v>42080</v>
      </c>
      <c r="M1499" s="1"/>
      <c r="N1499" s="1"/>
      <c r="O1499" s="1"/>
      <c r="P1499" s="1"/>
      <c r="Q1499" s="1"/>
      <c r="R1499" s="1"/>
    </row>
    <row r="1500" spans="2:18">
      <c r="C1500" s="2" t="s">
        <v>8</v>
      </c>
      <c r="D1500" s="2" t="s">
        <v>3935</v>
      </c>
      <c r="E1500" s="3">
        <v>90</v>
      </c>
      <c r="F1500" s="3">
        <v>15</v>
      </c>
      <c r="G1500" s="4">
        <v>40354</v>
      </c>
      <c r="M1500" s="1"/>
      <c r="N1500" s="1"/>
      <c r="O1500" s="1"/>
      <c r="P1500" s="1"/>
      <c r="Q1500" s="1"/>
      <c r="R1500" s="1"/>
    </row>
    <row r="1501" spans="2:18">
      <c r="C1501" s="92" t="s">
        <v>8</v>
      </c>
      <c r="D1501" s="92" t="s">
        <v>5407</v>
      </c>
      <c r="E1501" s="3">
        <v>50</v>
      </c>
      <c r="F1501" s="3">
        <v>20</v>
      </c>
      <c r="G1501" s="4">
        <v>44307</v>
      </c>
      <c r="I1501" s="1">
        <v>2000</v>
      </c>
      <c r="J1501" s="1">
        <v>2000</v>
      </c>
      <c r="M1501" s="1"/>
      <c r="N1501" s="1"/>
      <c r="O1501" s="1"/>
      <c r="P1501" s="1"/>
      <c r="Q1501" s="1"/>
      <c r="R1501" s="1"/>
    </row>
    <row r="1502" spans="2:18">
      <c r="G1502" s="4"/>
      <c r="M1502" s="1"/>
      <c r="N1502" s="1"/>
      <c r="O1502" s="1"/>
      <c r="P1502" s="1"/>
      <c r="Q1502" s="1"/>
      <c r="R1502" s="1"/>
    </row>
    <row r="1503" spans="2:18" s="12" customFormat="1">
      <c r="B1503" s="12" t="s">
        <v>493</v>
      </c>
      <c r="C1503" s="13" t="s">
        <v>969</v>
      </c>
      <c r="D1503" s="13" t="s">
        <v>968</v>
      </c>
      <c r="E1503" s="15"/>
      <c r="F1503" s="15">
        <f>SUM(F1504:F1507)</f>
        <v>68.599999999999994</v>
      </c>
      <c r="G1503" s="14">
        <f>G1506</f>
        <v>44077</v>
      </c>
    </row>
    <row r="1504" spans="2:18">
      <c r="C1504" s="2" t="s">
        <v>9</v>
      </c>
      <c r="D1504" s="2" t="s">
        <v>489</v>
      </c>
      <c r="E1504" s="3">
        <v>206</v>
      </c>
      <c r="F1504" s="3">
        <v>14</v>
      </c>
      <c r="G1504" s="4">
        <v>43725</v>
      </c>
      <c r="M1504" s="1"/>
      <c r="N1504" s="1"/>
      <c r="O1504" s="1"/>
      <c r="P1504" s="1"/>
      <c r="Q1504" s="1"/>
      <c r="R1504" s="1"/>
    </row>
    <row r="1505" spans="2:18">
      <c r="C1505" s="2" t="s">
        <v>8</v>
      </c>
      <c r="D1505" s="2" t="s">
        <v>489</v>
      </c>
      <c r="E1505" s="3">
        <v>100</v>
      </c>
      <c r="F1505" s="3">
        <v>15</v>
      </c>
      <c r="G1505" s="4">
        <v>43397</v>
      </c>
      <c r="M1505" s="1"/>
      <c r="N1505" s="1"/>
      <c r="O1505" s="1"/>
      <c r="P1505" s="1"/>
      <c r="Q1505" s="1"/>
      <c r="R1505" s="1"/>
    </row>
    <row r="1506" spans="2:18">
      <c r="C1506" s="2" t="s">
        <v>7</v>
      </c>
      <c r="D1506" s="2" t="s">
        <v>192</v>
      </c>
      <c r="E1506" s="3">
        <v>43</v>
      </c>
      <c r="F1506" s="3">
        <f>E1506/5</f>
        <v>8.6</v>
      </c>
      <c r="G1506" s="4">
        <v>44077</v>
      </c>
      <c r="M1506" s="1"/>
      <c r="N1506" s="1"/>
      <c r="O1506" s="1"/>
      <c r="P1506" s="1"/>
      <c r="Q1506" s="1"/>
      <c r="R1506" s="1"/>
    </row>
    <row r="1507" spans="2:18">
      <c r="C1507" s="2" t="s">
        <v>5</v>
      </c>
      <c r="D1507" s="2" t="s">
        <v>493</v>
      </c>
      <c r="E1507" s="3">
        <v>31</v>
      </c>
      <c r="F1507" s="3">
        <v>31</v>
      </c>
      <c r="G1507" s="4">
        <v>43634</v>
      </c>
      <c r="M1507" s="1"/>
      <c r="N1507" s="1"/>
      <c r="O1507" s="1"/>
      <c r="P1507" s="1"/>
      <c r="Q1507" s="1"/>
      <c r="R1507" s="1"/>
    </row>
    <row r="1508" spans="2:18">
      <c r="G1508" s="4"/>
      <c r="M1508" s="1"/>
      <c r="N1508" s="1"/>
      <c r="O1508" s="1"/>
      <c r="P1508" s="1"/>
      <c r="Q1508" s="1"/>
      <c r="R1508" s="1"/>
    </row>
    <row r="1509" spans="2:18" s="12" customFormat="1">
      <c r="B1509" s="12" t="s">
        <v>1076</v>
      </c>
      <c r="C1509" s="13" t="s">
        <v>969</v>
      </c>
      <c r="D1509" s="13" t="s">
        <v>968</v>
      </c>
      <c r="E1509" s="15"/>
      <c r="F1509" s="15">
        <f>SUM(F1510:F1514)</f>
        <v>68.900000000000006</v>
      </c>
      <c r="G1509" s="14">
        <f>G1510</f>
        <v>44679</v>
      </c>
    </row>
    <row r="1510" spans="2:18">
      <c r="C1510" s="2" t="s">
        <v>5</v>
      </c>
      <c r="D1510" s="2" t="s">
        <v>663</v>
      </c>
      <c r="E1510" s="3">
        <v>17</v>
      </c>
      <c r="F1510" s="3">
        <v>1.5</v>
      </c>
      <c r="G1510" s="4">
        <v>44679</v>
      </c>
      <c r="M1510" s="1"/>
      <c r="N1510" s="1"/>
      <c r="O1510" s="1"/>
      <c r="P1510" s="1"/>
      <c r="Q1510" s="1"/>
      <c r="R1510" s="1"/>
    </row>
    <row r="1511" spans="2:18">
      <c r="C1511" s="2" t="s">
        <v>5</v>
      </c>
      <c r="D1511" s="2" t="s">
        <v>656</v>
      </c>
      <c r="E1511" s="3">
        <v>12.6</v>
      </c>
      <c r="F1511" s="3">
        <v>3</v>
      </c>
      <c r="G1511" s="4">
        <v>44579</v>
      </c>
      <c r="M1511" s="1"/>
      <c r="N1511" s="1"/>
      <c r="O1511" s="1"/>
      <c r="P1511" s="1"/>
      <c r="Q1511" s="1"/>
      <c r="R1511" s="1"/>
    </row>
    <row r="1512" spans="2:18">
      <c r="C1512" s="2" t="s">
        <v>5</v>
      </c>
      <c r="D1512" s="2" t="s">
        <v>516</v>
      </c>
      <c r="E1512" s="3">
        <v>14.5</v>
      </c>
      <c r="F1512" s="3">
        <v>3</v>
      </c>
      <c r="G1512" s="4">
        <v>43389</v>
      </c>
      <c r="M1512" s="1"/>
      <c r="N1512" s="1"/>
      <c r="O1512" s="1"/>
      <c r="P1512" s="1"/>
      <c r="Q1512" s="1"/>
      <c r="R1512" s="1"/>
    </row>
    <row r="1513" spans="2:18">
      <c r="C1513" s="2" t="s">
        <v>8</v>
      </c>
      <c r="D1513" s="2" t="s">
        <v>386</v>
      </c>
      <c r="E1513" s="3">
        <v>140</v>
      </c>
      <c r="F1513" s="3">
        <v>60</v>
      </c>
      <c r="G1513" s="4">
        <v>44286</v>
      </c>
      <c r="M1513" s="1"/>
      <c r="N1513" s="1"/>
      <c r="O1513" s="1"/>
      <c r="P1513" s="1"/>
      <c r="Q1513" s="1"/>
      <c r="R1513" s="1"/>
    </row>
    <row r="1514" spans="2:18">
      <c r="C1514" s="2" t="s">
        <v>5</v>
      </c>
      <c r="D1514" s="2" t="s">
        <v>302</v>
      </c>
      <c r="E1514" s="3">
        <v>10</v>
      </c>
      <c r="F1514" s="3">
        <v>1.4</v>
      </c>
      <c r="G1514" s="4">
        <v>44637</v>
      </c>
      <c r="M1514" s="1"/>
      <c r="N1514" s="1"/>
      <c r="O1514" s="1"/>
      <c r="P1514" s="1"/>
      <c r="Q1514" s="1"/>
      <c r="R1514" s="1"/>
    </row>
    <row r="1515" spans="2:18">
      <c r="G1515" s="4"/>
      <c r="M1515" s="1"/>
      <c r="N1515" s="1"/>
      <c r="O1515" s="1"/>
      <c r="P1515" s="1"/>
      <c r="Q1515" s="1"/>
      <c r="R1515" s="1"/>
    </row>
    <row r="1516" spans="2:18" s="12" customFormat="1">
      <c r="B1516" s="12" t="s">
        <v>1062</v>
      </c>
      <c r="C1516" s="13" t="s">
        <v>969</v>
      </c>
      <c r="D1516" s="13" t="s">
        <v>968</v>
      </c>
      <c r="E1516" s="15"/>
      <c r="F1516" s="15">
        <f>SUM(F1517:F1524)</f>
        <v>67.8</v>
      </c>
      <c r="G1516" s="14">
        <f>+G1517</f>
        <v>44754</v>
      </c>
      <c r="M1516" s="13"/>
      <c r="N1516" s="13"/>
      <c r="O1516" s="13"/>
      <c r="P1516" s="13"/>
      <c r="Q1516" s="13"/>
      <c r="R1516" s="13"/>
    </row>
    <row r="1517" spans="2:18">
      <c r="C1517" s="2" t="s">
        <v>18</v>
      </c>
      <c r="D1517" s="2" t="s">
        <v>1005</v>
      </c>
      <c r="E1517" s="3">
        <v>100</v>
      </c>
      <c r="F1517" s="3">
        <v>10</v>
      </c>
      <c r="G1517" s="4">
        <v>44754</v>
      </c>
    </row>
    <row r="1518" spans="2:18">
      <c r="C1518" s="2" t="s">
        <v>7</v>
      </c>
      <c r="D1518" s="2" t="s">
        <v>894</v>
      </c>
      <c r="E1518" s="3">
        <v>40</v>
      </c>
      <c r="F1518" s="3">
        <v>5</v>
      </c>
      <c r="G1518" s="4">
        <v>44728</v>
      </c>
    </row>
    <row r="1519" spans="2:18">
      <c r="C1519" s="2" t="s">
        <v>7</v>
      </c>
      <c r="D1519" s="2" t="s">
        <v>894</v>
      </c>
      <c r="E1519" s="3">
        <v>18.600000000000001</v>
      </c>
      <c r="F1519" s="3">
        <f>8.6/2</f>
        <v>4.3</v>
      </c>
      <c r="G1519" s="4">
        <v>44112</v>
      </c>
    </row>
    <row r="1520" spans="2:18">
      <c r="C1520" s="2" t="s">
        <v>18</v>
      </c>
      <c r="D1520" s="2" t="s">
        <v>883</v>
      </c>
      <c r="E1520" s="3">
        <v>200</v>
      </c>
      <c r="F1520" s="3">
        <v>20</v>
      </c>
      <c r="G1520" s="4">
        <v>44377</v>
      </c>
    </row>
    <row r="1521" spans="2:18">
      <c r="C1521" s="2" t="s">
        <v>7</v>
      </c>
      <c r="D1521" s="2" t="s">
        <v>883</v>
      </c>
      <c r="E1521" s="3">
        <v>75</v>
      </c>
      <c r="F1521" s="3">
        <v>5</v>
      </c>
      <c r="G1521" s="4">
        <v>43783</v>
      </c>
    </row>
    <row r="1522" spans="2:18">
      <c r="C1522" s="2" t="s">
        <v>5</v>
      </c>
      <c r="D1522" s="2" t="s">
        <v>883</v>
      </c>
      <c r="E1522" s="3">
        <v>30</v>
      </c>
      <c r="F1522" s="3">
        <v>10</v>
      </c>
      <c r="G1522" s="4">
        <v>43573</v>
      </c>
    </row>
    <row r="1523" spans="2:18">
      <c r="C1523" s="92" t="s">
        <v>8</v>
      </c>
      <c r="D1523" s="92" t="s">
        <v>5407</v>
      </c>
      <c r="E1523" s="3">
        <v>50</v>
      </c>
      <c r="F1523" s="3">
        <f>30/4</f>
        <v>7.5</v>
      </c>
      <c r="G1523" s="4">
        <v>44307</v>
      </c>
    </row>
    <row r="1524" spans="2:18">
      <c r="C1524" s="92" t="s">
        <v>18</v>
      </c>
      <c r="D1524" s="92" t="s">
        <v>5407</v>
      </c>
      <c r="E1524" s="3">
        <v>37</v>
      </c>
      <c r="F1524" s="3">
        <v>6</v>
      </c>
      <c r="G1524" s="4">
        <v>43831</v>
      </c>
    </row>
    <row r="1525" spans="2:18">
      <c r="G1525" s="4"/>
    </row>
    <row r="1526" spans="2:18" s="12" customFormat="1">
      <c r="B1526" s="12" t="s">
        <v>38</v>
      </c>
      <c r="C1526" s="13" t="s">
        <v>969</v>
      </c>
      <c r="D1526" s="13" t="s">
        <v>968</v>
      </c>
      <c r="E1526" s="15"/>
      <c r="F1526" s="15">
        <f>SUM(F1527:F1528)</f>
        <v>67</v>
      </c>
      <c r="G1526" s="14">
        <f>G1528</f>
        <v>44322</v>
      </c>
      <c r="M1526" s="13"/>
      <c r="N1526" s="13"/>
      <c r="O1526" s="13"/>
      <c r="P1526" s="13"/>
      <c r="Q1526" s="13"/>
      <c r="R1526" s="13"/>
    </row>
    <row r="1527" spans="2:18">
      <c r="C1527" s="2" t="s">
        <v>18</v>
      </c>
      <c r="D1527" s="2" t="s">
        <v>32</v>
      </c>
      <c r="E1527" s="3">
        <v>230</v>
      </c>
      <c r="F1527" s="3">
        <v>40</v>
      </c>
      <c r="G1527" s="4">
        <v>43634</v>
      </c>
      <c r="I1527" s="1">
        <v>770</v>
      </c>
      <c r="J1527" s="1">
        <v>770</v>
      </c>
    </row>
    <row r="1528" spans="2:18">
      <c r="C1528" s="2" t="s">
        <v>8</v>
      </c>
      <c r="D1528" s="2" t="s">
        <v>15</v>
      </c>
      <c r="E1528" s="3">
        <v>220</v>
      </c>
      <c r="F1528" s="3">
        <v>27</v>
      </c>
      <c r="G1528" s="4">
        <v>44322</v>
      </c>
      <c r="I1528" s="1">
        <v>780</v>
      </c>
      <c r="J1528" s="1">
        <v>780</v>
      </c>
    </row>
    <row r="1529" spans="2:18">
      <c r="G1529" s="4"/>
    </row>
    <row r="1530" spans="2:18" s="12" customFormat="1">
      <c r="B1530" s="12" t="s">
        <v>209</v>
      </c>
      <c r="C1530" s="13" t="s">
        <v>969</v>
      </c>
      <c r="D1530" s="13" t="s">
        <v>968</v>
      </c>
      <c r="E1530" s="15"/>
      <c r="F1530" s="15">
        <f>SUM(F1531:F1533)</f>
        <v>67</v>
      </c>
      <c r="G1530" s="14">
        <f>G1531</f>
        <v>43886</v>
      </c>
      <c r="M1530" s="13"/>
      <c r="N1530" s="13"/>
      <c r="O1530" s="13"/>
      <c r="P1530" s="13"/>
      <c r="Q1530" s="13"/>
      <c r="R1530" s="13"/>
    </row>
    <row r="1531" spans="2:18">
      <c r="C1531" s="2" t="s">
        <v>18</v>
      </c>
      <c r="D1531" s="2" t="s">
        <v>208</v>
      </c>
      <c r="E1531" s="3">
        <v>250</v>
      </c>
      <c r="F1531" s="3">
        <f>170/5</f>
        <v>34</v>
      </c>
      <c r="G1531" s="4">
        <v>43886</v>
      </c>
      <c r="I1531" s="1">
        <v>2300</v>
      </c>
      <c r="J1531" s="1">
        <v>2300</v>
      </c>
    </row>
    <row r="1532" spans="2:18">
      <c r="C1532" s="2" t="s">
        <v>7</v>
      </c>
      <c r="D1532" s="2" t="s">
        <v>208</v>
      </c>
      <c r="E1532" s="3">
        <v>150</v>
      </c>
      <c r="F1532" s="3">
        <v>20</v>
      </c>
      <c r="G1532" s="4">
        <v>43556</v>
      </c>
    </row>
    <row r="1533" spans="2:18">
      <c r="C1533" s="2" t="s">
        <v>5</v>
      </c>
      <c r="D1533" s="2" t="s">
        <v>208</v>
      </c>
      <c r="E1533" s="3">
        <v>56</v>
      </c>
      <c r="F1533" s="3">
        <f>26/2</f>
        <v>13</v>
      </c>
      <c r="G1533" s="4">
        <v>43174</v>
      </c>
    </row>
    <row r="1534" spans="2:18">
      <c r="G1534" s="4"/>
    </row>
    <row r="1535" spans="2:18" s="12" customFormat="1">
      <c r="B1535" s="12" t="s">
        <v>1054</v>
      </c>
      <c r="C1535" s="13" t="s">
        <v>969</v>
      </c>
      <c r="D1535" s="13" t="s">
        <v>968</v>
      </c>
      <c r="E1535" s="15"/>
      <c r="F1535" s="15">
        <f>SUM(F1536:F1541)</f>
        <v>65.5</v>
      </c>
      <c r="G1535" s="14">
        <f>G1536</f>
        <v>44636</v>
      </c>
      <c r="M1535" s="13"/>
      <c r="N1535" s="13"/>
      <c r="O1535" s="13"/>
      <c r="P1535" s="13"/>
      <c r="Q1535" s="13"/>
      <c r="R1535" s="13"/>
    </row>
    <row r="1536" spans="2:18">
      <c r="C1536" s="2" t="s">
        <v>7</v>
      </c>
      <c r="D1536" s="2" t="s">
        <v>860</v>
      </c>
      <c r="E1536" s="3">
        <v>25</v>
      </c>
      <c r="F1536" s="3">
        <v>3</v>
      </c>
      <c r="G1536" s="4">
        <v>44636</v>
      </c>
    </row>
    <row r="1537" spans="2:18">
      <c r="C1537" s="2" t="s">
        <v>5</v>
      </c>
      <c r="D1537" s="2" t="s">
        <v>860</v>
      </c>
      <c r="E1537" s="3">
        <v>12</v>
      </c>
      <c r="F1537" s="3">
        <v>2</v>
      </c>
      <c r="G1537" s="4">
        <v>44179</v>
      </c>
    </row>
    <row r="1538" spans="2:18">
      <c r="C1538" s="2" t="s">
        <v>53</v>
      </c>
      <c r="D1538" s="2" t="s">
        <v>489</v>
      </c>
      <c r="E1538" s="3">
        <v>270</v>
      </c>
      <c r="F1538" s="3">
        <v>22</v>
      </c>
      <c r="G1538" s="4">
        <v>44152</v>
      </c>
    </row>
    <row r="1539" spans="2:18">
      <c r="C1539" s="2" t="s">
        <v>18</v>
      </c>
      <c r="D1539" s="2" t="s">
        <v>292</v>
      </c>
      <c r="E1539" s="3">
        <v>38</v>
      </c>
      <c r="F1539" s="3">
        <v>6</v>
      </c>
      <c r="G1539" s="4">
        <v>43104</v>
      </c>
    </row>
    <row r="1540" spans="2:18">
      <c r="C1540" s="55" t="s">
        <v>8</v>
      </c>
      <c r="D1540" s="55" t="s">
        <v>2109</v>
      </c>
      <c r="E1540" s="3">
        <v>110</v>
      </c>
      <c r="F1540" s="3">
        <f>70/4</f>
        <v>17.5</v>
      </c>
      <c r="G1540" s="4">
        <v>44567</v>
      </c>
      <c r="I1540" s="1">
        <v>790</v>
      </c>
      <c r="J1540" s="1">
        <v>790</v>
      </c>
    </row>
    <row r="1541" spans="2:18">
      <c r="C1541" s="55" t="s">
        <v>18</v>
      </c>
      <c r="D1541" s="55" t="s">
        <v>2109</v>
      </c>
      <c r="E1541" s="3">
        <v>40</v>
      </c>
      <c r="F1541" s="3">
        <v>15</v>
      </c>
      <c r="G1541" s="4">
        <v>44238</v>
      </c>
      <c r="J1541" s="1">
        <v>790</v>
      </c>
    </row>
    <row r="1542" spans="2:18">
      <c r="G1542" s="4"/>
    </row>
    <row r="1543" spans="2:18" s="12" customFormat="1">
      <c r="B1543" s="12" t="s">
        <v>7939</v>
      </c>
      <c r="C1543" s="13" t="s">
        <v>969</v>
      </c>
      <c r="D1543" s="13" t="s">
        <v>968</v>
      </c>
      <c r="E1543" s="15"/>
      <c r="F1543" s="15">
        <f>SUM(F1544:F1550)</f>
        <v>66</v>
      </c>
      <c r="G1543" s="14">
        <f>+G1550</f>
        <v>45147</v>
      </c>
      <c r="M1543" s="13"/>
      <c r="N1543" s="13"/>
      <c r="O1543" s="13"/>
      <c r="P1543" s="13"/>
      <c r="Q1543" s="13"/>
      <c r="R1543" s="13"/>
    </row>
    <row r="1544" spans="2:18">
      <c r="B1544" s="12"/>
      <c r="C1544" s="2" t="s">
        <v>5</v>
      </c>
      <c r="D1544" s="2" t="s">
        <v>935</v>
      </c>
      <c r="E1544" s="3">
        <v>150</v>
      </c>
      <c r="F1544" s="3">
        <v>25</v>
      </c>
      <c r="G1544" s="4">
        <v>45008</v>
      </c>
    </row>
    <row r="1545" spans="2:18">
      <c r="B1545" s="12"/>
      <c r="C1545" s="2" t="s">
        <v>5</v>
      </c>
      <c r="D1545" s="2" t="s">
        <v>446</v>
      </c>
      <c r="E1545" s="3">
        <v>28</v>
      </c>
      <c r="F1545" s="3">
        <v>5</v>
      </c>
      <c r="G1545" s="4">
        <v>44624</v>
      </c>
    </row>
    <row r="1546" spans="2:18">
      <c r="B1546" s="12"/>
      <c r="C1546" s="2" t="s">
        <v>4</v>
      </c>
      <c r="D1546" s="2" t="s">
        <v>446</v>
      </c>
      <c r="E1546" s="3">
        <v>5</v>
      </c>
      <c r="F1546" s="3">
        <v>3</v>
      </c>
      <c r="G1546" s="4">
        <v>44136</v>
      </c>
    </row>
    <row r="1547" spans="2:18">
      <c r="B1547" s="12"/>
      <c r="C1547" s="92" t="s">
        <v>5</v>
      </c>
      <c r="D1547" s="92" t="s">
        <v>3213</v>
      </c>
      <c r="E1547" s="3">
        <v>19</v>
      </c>
      <c r="F1547" s="3">
        <v>3</v>
      </c>
      <c r="G1547" s="4">
        <v>45097</v>
      </c>
    </row>
    <row r="1548" spans="2:18">
      <c r="B1548" s="12"/>
      <c r="C1548" s="92" t="s">
        <v>5</v>
      </c>
      <c r="D1548" s="92" t="s">
        <v>546</v>
      </c>
      <c r="E1548" s="3">
        <v>58</v>
      </c>
      <c r="F1548" s="3">
        <v>10</v>
      </c>
      <c r="G1548" s="4">
        <v>45104</v>
      </c>
      <c r="I1548" s="1">
        <v>242</v>
      </c>
      <c r="J1548" s="1">
        <v>242</v>
      </c>
    </row>
    <row r="1549" spans="2:18">
      <c r="B1549" s="12"/>
      <c r="C1549" s="92" t="s">
        <v>5</v>
      </c>
      <c r="D1549" s="92" t="s">
        <v>1004</v>
      </c>
      <c r="E1549" s="3">
        <v>25.6</v>
      </c>
      <c r="F1549" s="3">
        <v>5</v>
      </c>
      <c r="G1549" s="4">
        <v>45013</v>
      </c>
    </row>
    <row r="1550" spans="2:18">
      <c r="B1550" s="12"/>
      <c r="C1550" s="265" t="s">
        <v>1040</v>
      </c>
      <c r="D1550" s="265" t="s">
        <v>3662</v>
      </c>
      <c r="E1550" s="3">
        <v>50</v>
      </c>
      <c r="F1550" s="3">
        <v>15</v>
      </c>
      <c r="G1550" s="4">
        <v>45147</v>
      </c>
    </row>
    <row r="1551" spans="2:18">
      <c r="B1551" s="12"/>
      <c r="G1551" s="4"/>
    </row>
    <row r="1552" spans="2:18" s="12" customFormat="1">
      <c r="B1552" s="12" t="s">
        <v>62</v>
      </c>
      <c r="C1552" s="13" t="s">
        <v>969</v>
      </c>
      <c r="D1552" s="13" t="s">
        <v>968</v>
      </c>
      <c r="E1552" s="15"/>
      <c r="F1552" s="15">
        <f>SUM(F1553:F1555)</f>
        <v>64.5</v>
      </c>
      <c r="G1552" s="14">
        <f>G1553</f>
        <v>45069</v>
      </c>
      <c r="M1552" s="13"/>
      <c r="N1552" s="13"/>
      <c r="O1552" s="13"/>
      <c r="P1552" s="13"/>
      <c r="Q1552" s="13"/>
      <c r="R1552" s="13"/>
    </row>
    <row r="1553" spans="2:11">
      <c r="C1553" s="2" t="s">
        <v>8</v>
      </c>
      <c r="D1553" s="2" t="s">
        <v>57</v>
      </c>
      <c r="E1553" s="3">
        <v>250</v>
      </c>
      <c r="F1553" s="3">
        <f>150/4</f>
        <v>37.5</v>
      </c>
      <c r="G1553" s="4">
        <v>45069</v>
      </c>
    </row>
    <row r="1554" spans="2:11">
      <c r="C1554" s="2" t="s">
        <v>18</v>
      </c>
      <c r="D1554" s="2" t="s">
        <v>57</v>
      </c>
      <c r="E1554" s="3">
        <v>100</v>
      </c>
      <c r="F1554" s="3">
        <f>75/5</f>
        <v>15</v>
      </c>
      <c r="G1554" s="4">
        <v>44650</v>
      </c>
    </row>
    <row r="1555" spans="2:11">
      <c r="C1555" s="2" t="s">
        <v>5</v>
      </c>
      <c r="D1555" s="2" t="s">
        <v>57</v>
      </c>
      <c r="E1555" s="3">
        <v>29.5</v>
      </c>
      <c r="F1555" s="3">
        <v>12</v>
      </c>
      <c r="G1555" s="4">
        <v>43410</v>
      </c>
    </row>
    <row r="1556" spans="2:11">
      <c r="G1556" s="4"/>
    </row>
    <row r="1557" spans="2:11">
      <c r="B1557" s="12" t="s">
        <v>1071</v>
      </c>
      <c r="C1557" s="13" t="s">
        <v>969</v>
      </c>
      <c r="D1557" s="13" t="s">
        <v>968</v>
      </c>
      <c r="F1557" s="15">
        <f>SUM(F1558:F1567)</f>
        <v>65.214285714285708</v>
      </c>
      <c r="G1557" s="14">
        <f>G1560</f>
        <v>44690</v>
      </c>
      <c r="I1557" s="1">
        <f>140+191</f>
        <v>331</v>
      </c>
      <c r="J1557" s="19">
        <f>+F1557/I1557</f>
        <v>0.19702201122140697</v>
      </c>
      <c r="K1557" s="1">
        <v>2014</v>
      </c>
    </row>
    <row r="1558" spans="2:11">
      <c r="B1558" s="12"/>
      <c r="C1558" s="2" t="s">
        <v>5</v>
      </c>
      <c r="D1558" s="2" t="s">
        <v>935</v>
      </c>
      <c r="E1558" s="3">
        <v>150</v>
      </c>
      <c r="F1558" s="3">
        <v>15</v>
      </c>
      <c r="G1558" s="4">
        <v>45008</v>
      </c>
    </row>
    <row r="1559" spans="2:11">
      <c r="B1559" s="12"/>
      <c r="C1559" s="2" t="s">
        <v>7</v>
      </c>
      <c r="D1559" s="2" t="s">
        <v>949</v>
      </c>
      <c r="E1559" s="3">
        <v>350</v>
      </c>
      <c r="F1559" s="3">
        <v>10</v>
      </c>
      <c r="G1559" s="4">
        <v>44999</v>
      </c>
    </row>
    <row r="1560" spans="2:11">
      <c r="C1560" s="2" t="s">
        <v>18</v>
      </c>
      <c r="D1560" s="2" t="s">
        <v>926</v>
      </c>
      <c r="E1560" s="3">
        <v>100</v>
      </c>
      <c r="F1560" s="3">
        <v>9</v>
      </c>
      <c r="G1560" s="4">
        <v>44690</v>
      </c>
      <c r="J1560" s="1">
        <v>4300</v>
      </c>
    </row>
    <row r="1561" spans="2:11">
      <c r="C1561" s="2" t="s">
        <v>7</v>
      </c>
      <c r="D1561" s="2" t="s">
        <v>926</v>
      </c>
      <c r="E1561" s="3">
        <v>40</v>
      </c>
      <c r="F1561" s="3">
        <v>7</v>
      </c>
      <c r="G1561" s="4">
        <v>44327</v>
      </c>
      <c r="J1561" s="1">
        <v>4300</v>
      </c>
    </row>
    <row r="1562" spans="2:11">
      <c r="C1562" s="2" t="s">
        <v>5</v>
      </c>
      <c r="D1562" s="2" t="s">
        <v>926</v>
      </c>
      <c r="E1562" s="3">
        <v>15</v>
      </c>
      <c r="F1562" s="3">
        <v>3</v>
      </c>
      <c r="G1562" s="4">
        <v>43816</v>
      </c>
      <c r="J1562" s="1">
        <v>4300</v>
      </c>
    </row>
    <row r="1563" spans="2:11">
      <c r="C1563" s="2" t="s">
        <v>4</v>
      </c>
      <c r="D1563" s="2" t="s">
        <v>926</v>
      </c>
      <c r="E1563" s="3">
        <v>4</v>
      </c>
      <c r="F1563" s="3">
        <v>1</v>
      </c>
      <c r="G1563" s="4">
        <v>43243</v>
      </c>
      <c r="J1563" s="1">
        <v>4300</v>
      </c>
    </row>
    <row r="1564" spans="2:11">
      <c r="C1564" s="2" t="s">
        <v>5</v>
      </c>
      <c r="D1564" s="2" t="s">
        <v>907</v>
      </c>
      <c r="E1564" s="3">
        <v>20</v>
      </c>
      <c r="F1564" s="3">
        <v>10</v>
      </c>
      <c r="G1564" s="4">
        <v>44245</v>
      </c>
    </row>
    <row r="1565" spans="2:11">
      <c r="C1565" s="2" t="s">
        <v>7</v>
      </c>
      <c r="D1565" s="2" t="s">
        <v>1070</v>
      </c>
      <c r="E1565" s="3">
        <v>18</v>
      </c>
      <c r="F1565" s="3">
        <v>4.5</v>
      </c>
      <c r="G1565" s="4">
        <v>44831</v>
      </c>
    </row>
    <row r="1566" spans="2:11">
      <c r="C1566" s="2" t="s">
        <v>5</v>
      </c>
      <c r="D1566" s="2" t="s">
        <v>1070</v>
      </c>
      <c r="E1566" s="3">
        <v>18.5</v>
      </c>
      <c r="F1566" s="3">
        <v>5</v>
      </c>
      <c r="G1566" s="4">
        <v>44658</v>
      </c>
    </row>
    <row r="1567" spans="2:11">
      <c r="C1567" s="2" t="s">
        <v>4</v>
      </c>
      <c r="D1567" s="2" t="s">
        <v>424</v>
      </c>
      <c r="E1567" s="3">
        <v>7</v>
      </c>
      <c r="F1567" s="3">
        <v>0.7142857142857143</v>
      </c>
      <c r="G1567" s="4">
        <v>43046</v>
      </c>
    </row>
    <row r="1568" spans="2:11">
      <c r="G1568" s="4"/>
    </row>
    <row r="1569" spans="2:18" s="12" customFormat="1">
      <c r="B1569" s="12" t="s">
        <v>1068</v>
      </c>
      <c r="C1569" s="13" t="s">
        <v>969</v>
      </c>
      <c r="D1569" s="13" t="s">
        <v>968</v>
      </c>
      <c r="E1569" s="15"/>
      <c r="F1569" s="15">
        <f>SUM(F1570:F1599)</f>
        <v>65.004761904761892</v>
      </c>
      <c r="G1569" s="14">
        <f>+G1574</f>
        <v>45041</v>
      </c>
      <c r="I1569" s="12" t="s">
        <v>6671</v>
      </c>
      <c r="M1569" s="13"/>
      <c r="N1569" s="13"/>
      <c r="O1569" s="13"/>
      <c r="P1569" s="13"/>
      <c r="Q1569" s="13"/>
      <c r="R1569" s="13"/>
    </row>
    <row r="1570" spans="2:18">
      <c r="C1570" s="2" t="s">
        <v>9</v>
      </c>
      <c r="D1570" s="2" t="s">
        <v>803</v>
      </c>
      <c r="E1570" s="3">
        <v>325</v>
      </c>
      <c r="F1570" s="3">
        <v>18.5</v>
      </c>
      <c r="G1570" s="4">
        <v>44299</v>
      </c>
    </row>
    <row r="1571" spans="2:18">
      <c r="C1571" s="2" t="s">
        <v>7</v>
      </c>
      <c r="D1571" s="2" t="s">
        <v>803</v>
      </c>
      <c r="E1571" s="3">
        <v>18</v>
      </c>
      <c r="F1571" s="3">
        <v>3</v>
      </c>
      <c r="G1571" s="4">
        <v>43319</v>
      </c>
    </row>
    <row r="1572" spans="2:18">
      <c r="C1572" s="2" t="s">
        <v>5</v>
      </c>
      <c r="D1572" s="2" t="s">
        <v>803</v>
      </c>
      <c r="E1572" s="3">
        <v>4.5</v>
      </c>
      <c r="F1572" s="3">
        <v>1.5</v>
      </c>
      <c r="G1572" s="4">
        <v>42878</v>
      </c>
    </row>
    <row r="1573" spans="2:18">
      <c r="C1573" s="2" t="s">
        <v>4</v>
      </c>
      <c r="D1573" s="2" t="s">
        <v>803</v>
      </c>
      <c r="E1573" s="3">
        <v>0.12</v>
      </c>
      <c r="F1573" s="3">
        <v>0.12</v>
      </c>
      <c r="G1573" s="4">
        <v>42604</v>
      </c>
    </row>
    <row r="1574" spans="2:18">
      <c r="C1574" s="2" t="s">
        <v>7</v>
      </c>
      <c r="D1574" s="2" t="s">
        <v>907</v>
      </c>
      <c r="E1574" s="3">
        <v>97.4</v>
      </c>
      <c r="F1574" s="3">
        <f>47/6</f>
        <v>7.833333333333333</v>
      </c>
      <c r="G1574" s="4">
        <v>45041</v>
      </c>
    </row>
    <row r="1575" spans="2:18">
      <c r="C1575" s="2" t="s">
        <v>4</v>
      </c>
      <c r="D1575" s="2" t="s">
        <v>720</v>
      </c>
      <c r="E1575" s="3">
        <v>0.12</v>
      </c>
      <c r="F1575" s="3">
        <v>0.12</v>
      </c>
      <c r="G1575" s="4">
        <v>44068</v>
      </c>
    </row>
    <row r="1576" spans="2:18">
      <c r="C1576" s="2" t="s">
        <v>4</v>
      </c>
      <c r="D1576" s="2" t="s">
        <v>709</v>
      </c>
      <c r="E1576" s="3">
        <v>5.5</v>
      </c>
      <c r="F1576" s="3">
        <v>0.5</v>
      </c>
      <c r="G1576" s="4">
        <v>45092</v>
      </c>
    </row>
    <row r="1577" spans="2:18">
      <c r="C1577" s="2" t="s">
        <v>278</v>
      </c>
      <c r="D1577" s="2" t="s">
        <v>709</v>
      </c>
      <c r="E1577" s="3">
        <v>0.125</v>
      </c>
      <c r="F1577" s="3">
        <v>0.125</v>
      </c>
      <c r="G1577" s="4">
        <f>G1576</f>
        <v>45092</v>
      </c>
    </row>
    <row r="1578" spans="2:18">
      <c r="C1578" s="2" t="s">
        <v>5</v>
      </c>
      <c r="D1578" s="2" t="s">
        <v>676</v>
      </c>
      <c r="E1578" s="3">
        <v>15</v>
      </c>
      <c r="F1578" s="3">
        <v>3.3</v>
      </c>
      <c r="G1578" s="4">
        <v>44482</v>
      </c>
    </row>
    <row r="1579" spans="2:18">
      <c r="C1579" s="2" t="s">
        <v>4</v>
      </c>
      <c r="D1579" s="2" t="s">
        <v>676</v>
      </c>
      <c r="E1579" s="3">
        <v>4.5</v>
      </c>
      <c r="F1579" s="3">
        <v>0.5</v>
      </c>
      <c r="G1579" s="4">
        <v>44362</v>
      </c>
    </row>
    <row r="1580" spans="2:18">
      <c r="C1580" s="2" t="s">
        <v>4</v>
      </c>
      <c r="D1580" s="2" t="s">
        <v>676</v>
      </c>
      <c r="E1580" s="3">
        <v>0.125</v>
      </c>
      <c r="F1580" s="3">
        <v>0.125</v>
      </c>
      <c r="G1580" s="4">
        <v>44246</v>
      </c>
    </row>
    <row r="1581" spans="2:18">
      <c r="C1581" s="2" t="s">
        <v>5</v>
      </c>
      <c r="D1581" s="2" t="s">
        <v>1069</v>
      </c>
      <c r="E1581" s="3">
        <v>12.5</v>
      </c>
      <c r="F1581" s="3">
        <v>3</v>
      </c>
      <c r="G1581" s="4">
        <v>44978</v>
      </c>
    </row>
    <row r="1582" spans="2:18">
      <c r="C1582" s="2" t="s">
        <v>278</v>
      </c>
      <c r="D1582" s="2" t="s">
        <v>620</v>
      </c>
      <c r="E1582" s="3">
        <v>0.5</v>
      </c>
      <c r="F1582" s="3">
        <v>0.5</v>
      </c>
      <c r="G1582" s="4">
        <v>45021</v>
      </c>
    </row>
    <row r="1583" spans="2:18">
      <c r="C1583" s="2" t="s">
        <v>5</v>
      </c>
      <c r="D1583" s="2" t="s">
        <v>692</v>
      </c>
      <c r="E1583" s="3">
        <v>8</v>
      </c>
      <c r="F1583" s="3">
        <v>1</v>
      </c>
      <c r="G1583" s="4">
        <v>43249</v>
      </c>
    </row>
    <row r="1584" spans="2:18">
      <c r="C1584" s="2" t="s">
        <v>278</v>
      </c>
      <c r="D1584" s="2" t="s">
        <v>692</v>
      </c>
      <c r="E1584" s="3">
        <v>0.12</v>
      </c>
      <c r="F1584" s="3">
        <v>0.12</v>
      </c>
      <c r="G1584" s="4">
        <v>43104</v>
      </c>
    </row>
    <row r="1585" spans="3:7">
      <c r="C1585" s="2" t="s">
        <v>278</v>
      </c>
      <c r="D1585" s="2" t="s">
        <v>584</v>
      </c>
      <c r="E1585" s="3">
        <v>0.12</v>
      </c>
      <c r="F1585" s="3">
        <v>0.12</v>
      </c>
      <c r="G1585" s="4">
        <v>44439</v>
      </c>
    </row>
    <row r="1586" spans="3:7">
      <c r="C1586" s="2" t="s">
        <v>18</v>
      </c>
      <c r="D1586" s="2" t="s">
        <v>520</v>
      </c>
      <c r="E1586" s="3">
        <v>60</v>
      </c>
      <c r="F1586" s="3">
        <v>5</v>
      </c>
      <c r="G1586" s="4">
        <v>43606</v>
      </c>
    </row>
    <row r="1587" spans="3:7">
      <c r="C1587" s="2" t="s">
        <v>7</v>
      </c>
      <c r="D1587" s="2" t="s">
        <v>520</v>
      </c>
      <c r="E1587" s="3">
        <v>30</v>
      </c>
      <c r="F1587" s="3">
        <v>5</v>
      </c>
      <c r="G1587" s="4">
        <v>43396</v>
      </c>
    </row>
    <row r="1588" spans="3:7">
      <c r="C1588" s="2" t="s">
        <v>4</v>
      </c>
      <c r="D1588" s="2" t="s">
        <v>520</v>
      </c>
      <c r="E1588" s="3">
        <v>3</v>
      </c>
      <c r="F1588" s="3">
        <v>0.5</v>
      </c>
      <c r="G1588" s="4">
        <v>42606</v>
      </c>
    </row>
    <row r="1589" spans="3:7">
      <c r="C1589" s="2" t="s">
        <v>7</v>
      </c>
      <c r="D1589" s="2" t="s">
        <v>446</v>
      </c>
      <c r="E1589" s="3">
        <v>30</v>
      </c>
      <c r="F1589" s="3">
        <v>5</v>
      </c>
      <c r="G1589" s="4">
        <v>44756</v>
      </c>
    </row>
    <row r="1590" spans="3:7">
      <c r="C1590" s="2" t="s">
        <v>5</v>
      </c>
      <c r="D1590" s="2" t="s">
        <v>446</v>
      </c>
      <c r="E1590" s="3">
        <v>28</v>
      </c>
      <c r="F1590" s="3">
        <v>5</v>
      </c>
      <c r="G1590" s="4">
        <v>44624</v>
      </c>
    </row>
    <row r="1591" spans="3:7">
      <c r="C1591" s="2" t="s">
        <v>4</v>
      </c>
      <c r="D1591" s="2" t="s">
        <v>446</v>
      </c>
      <c r="E1591" s="3">
        <v>0.12</v>
      </c>
      <c r="F1591" s="3">
        <v>0.12</v>
      </c>
      <c r="G1591" s="4">
        <v>42970</v>
      </c>
    </row>
    <row r="1592" spans="3:7">
      <c r="C1592" s="2" t="s">
        <v>4</v>
      </c>
      <c r="D1592" s="2" t="s">
        <v>277</v>
      </c>
      <c r="E1592" s="3">
        <v>0.125</v>
      </c>
      <c r="F1592" s="3">
        <v>0.125</v>
      </c>
      <c r="G1592" s="4">
        <v>44265</v>
      </c>
    </row>
    <row r="1593" spans="3:7">
      <c r="C1593" s="2" t="s">
        <v>4</v>
      </c>
      <c r="D1593" s="2" t="s">
        <v>1068</v>
      </c>
      <c r="E1593" s="3">
        <v>1.6</v>
      </c>
      <c r="F1593" s="3">
        <f>E1593/2</f>
        <v>0.8</v>
      </c>
      <c r="G1593" s="4">
        <v>43060</v>
      </c>
    </row>
    <row r="1594" spans="3:7">
      <c r="C1594" s="2" t="s">
        <v>4</v>
      </c>
      <c r="D1594" s="2" t="s">
        <v>87</v>
      </c>
      <c r="E1594" s="3">
        <v>5.3</v>
      </c>
      <c r="F1594" s="3">
        <f>4/7</f>
        <v>0.5714285714285714</v>
      </c>
      <c r="G1594" s="4">
        <v>43398</v>
      </c>
    </row>
    <row r="1595" spans="3:7">
      <c r="C1595" s="2" t="s">
        <v>4</v>
      </c>
      <c r="D1595" s="2" t="s">
        <v>87</v>
      </c>
      <c r="E1595" s="3">
        <v>4</v>
      </c>
      <c r="F1595" s="3">
        <f>2.5/4</f>
        <v>0.625</v>
      </c>
      <c r="G1595" s="4">
        <v>43122</v>
      </c>
    </row>
    <row r="1596" spans="3:7">
      <c r="C1596" s="140" t="s">
        <v>4</v>
      </c>
      <c r="D1596" s="140" t="s">
        <v>6301</v>
      </c>
      <c r="E1596" s="3">
        <v>5</v>
      </c>
      <c r="F1596" s="3">
        <v>0.5</v>
      </c>
      <c r="G1596" s="4">
        <v>43335</v>
      </c>
    </row>
    <row r="1597" spans="3:7">
      <c r="C1597" s="177" t="s">
        <v>4</v>
      </c>
      <c r="D1597" s="177" t="s">
        <v>2030</v>
      </c>
      <c r="E1597" s="3">
        <v>2</v>
      </c>
      <c r="F1597" s="3">
        <v>0.5</v>
      </c>
      <c r="G1597" s="4">
        <v>43522</v>
      </c>
    </row>
    <row r="1598" spans="3:7">
      <c r="C1598" s="241" t="s">
        <v>278</v>
      </c>
      <c r="D1598" s="241" t="s">
        <v>7584</v>
      </c>
      <c r="E1598" s="3">
        <v>0.5</v>
      </c>
      <c r="F1598" s="3">
        <v>0.5</v>
      </c>
      <c r="G1598" s="4">
        <v>43696</v>
      </c>
    </row>
    <row r="1599" spans="3:7">
      <c r="C1599" s="241" t="s">
        <v>4</v>
      </c>
      <c r="D1599" s="241" t="s">
        <v>7584</v>
      </c>
      <c r="E1599" s="3">
        <v>2.2000000000000002</v>
      </c>
      <c r="F1599" s="3">
        <f>1.2/3</f>
        <v>0.39999999999999997</v>
      </c>
      <c r="G1599" s="4">
        <v>43906</v>
      </c>
    </row>
    <row r="1600" spans="3:7">
      <c r="G1600" s="4"/>
    </row>
    <row r="1601" spans="2:18" s="12" customFormat="1">
      <c r="B1601" s="12" t="s">
        <v>13</v>
      </c>
      <c r="C1601" s="13" t="s">
        <v>969</v>
      </c>
      <c r="D1601" s="13" t="s">
        <v>968</v>
      </c>
      <c r="E1601" s="15"/>
      <c r="F1601" s="15">
        <f>SUM(F1602:F1604)</f>
        <v>63.75</v>
      </c>
      <c r="G1601" s="14">
        <f>+G1604</f>
        <v>45230</v>
      </c>
      <c r="M1601" s="13"/>
      <c r="N1601" s="13"/>
      <c r="O1601" s="13"/>
      <c r="P1601" s="13"/>
      <c r="Q1601" s="13"/>
      <c r="R1601" s="13"/>
    </row>
    <row r="1602" spans="2:18">
      <c r="C1602" s="2" t="s">
        <v>9</v>
      </c>
      <c r="D1602" s="2" t="s">
        <v>3</v>
      </c>
      <c r="E1602" s="3">
        <v>90</v>
      </c>
      <c r="F1602" s="3">
        <v>10</v>
      </c>
      <c r="G1602" s="4">
        <v>44721</v>
      </c>
      <c r="I1602" s="1">
        <v>2200</v>
      </c>
      <c r="J1602" s="1">
        <v>2500</v>
      </c>
    </row>
    <row r="1603" spans="2:18">
      <c r="C1603" s="2" t="s">
        <v>7</v>
      </c>
      <c r="D1603" s="2" t="s">
        <v>3</v>
      </c>
      <c r="E1603" s="3">
        <v>25</v>
      </c>
      <c r="F1603" s="3">
        <v>3.75</v>
      </c>
      <c r="G1603" s="4">
        <v>43697</v>
      </c>
      <c r="J1603" s="1">
        <v>2500</v>
      </c>
    </row>
    <row r="1604" spans="2:18">
      <c r="C1604" s="265" t="s">
        <v>53</v>
      </c>
      <c r="D1604" s="265" t="s">
        <v>3</v>
      </c>
      <c r="E1604" s="3">
        <v>200</v>
      </c>
      <c r="F1604" s="3">
        <v>50</v>
      </c>
      <c r="G1604" s="4">
        <v>45230</v>
      </c>
      <c r="I1604" s="1">
        <v>2500</v>
      </c>
      <c r="J1604" s="1">
        <v>2500</v>
      </c>
    </row>
    <row r="1605" spans="2:18">
      <c r="G1605" s="4"/>
    </row>
    <row r="1606" spans="2:18">
      <c r="B1606" s="12" t="s">
        <v>985</v>
      </c>
      <c r="C1606" s="13" t="s">
        <v>969</v>
      </c>
      <c r="D1606" s="13" t="s">
        <v>968</v>
      </c>
      <c r="F1606" s="15">
        <f>SUM(F1607:F1611)</f>
        <v>63.18518518518519</v>
      </c>
      <c r="G1606" s="14">
        <f>G1608</f>
        <v>44467</v>
      </c>
    </row>
    <row r="1607" spans="2:18">
      <c r="C1607" s="2" t="s">
        <v>5</v>
      </c>
      <c r="D1607" s="2" t="s">
        <v>832</v>
      </c>
      <c r="E1607" s="3">
        <v>20</v>
      </c>
      <c r="F1607" s="3">
        <f>12/6</f>
        <v>2</v>
      </c>
      <c r="G1607" s="4">
        <v>43816</v>
      </c>
    </row>
    <row r="1608" spans="2:18">
      <c r="C1608" s="2" t="s">
        <v>5</v>
      </c>
      <c r="D1608" s="2" t="s">
        <v>984</v>
      </c>
      <c r="E1608" s="3">
        <v>19</v>
      </c>
      <c r="F1608" s="3">
        <v>4</v>
      </c>
      <c r="G1608" s="4">
        <v>44467</v>
      </c>
    </row>
    <row r="1609" spans="2:18">
      <c r="C1609" s="2" t="s">
        <v>5</v>
      </c>
      <c r="D1609" s="2" t="s">
        <v>281</v>
      </c>
      <c r="E1609" s="3">
        <v>26</v>
      </c>
      <c r="F1609" s="3">
        <v>4.333333333333333</v>
      </c>
      <c r="G1609" s="4">
        <v>44453</v>
      </c>
    </row>
    <row r="1610" spans="2:18">
      <c r="C1610" s="2" t="s">
        <v>4</v>
      </c>
      <c r="D1610" s="2" t="s">
        <v>281</v>
      </c>
      <c r="E1610" s="3">
        <v>6.2</v>
      </c>
      <c r="F1610" s="3">
        <v>1</v>
      </c>
      <c r="G1610" s="4">
        <v>44201</v>
      </c>
    </row>
    <row r="1611" spans="2:18">
      <c r="C1611" s="265" t="s">
        <v>2486</v>
      </c>
      <c r="D1611" s="265" t="s">
        <v>1006</v>
      </c>
      <c r="E1611" s="3">
        <v>1600</v>
      </c>
      <c r="F1611" s="3">
        <f>1400/27</f>
        <v>51.851851851851855</v>
      </c>
      <c r="G1611" s="4">
        <v>44439</v>
      </c>
    </row>
    <row r="1612" spans="2:18">
      <c r="G1612" s="4"/>
    </row>
    <row r="1613" spans="2:18" s="12" customFormat="1">
      <c r="B1613" s="12" t="s">
        <v>220</v>
      </c>
      <c r="C1613" s="13" t="s">
        <v>969</v>
      </c>
      <c r="D1613" s="13" t="s">
        <v>968</v>
      </c>
      <c r="E1613" s="15"/>
      <c r="F1613" s="15">
        <f>SUM(F1614:F1615)</f>
        <v>63.166666666666671</v>
      </c>
      <c r="G1613" s="14">
        <f>G1615</f>
        <v>44550</v>
      </c>
      <c r="M1613" s="13"/>
      <c r="N1613" s="13"/>
      <c r="O1613" s="13"/>
      <c r="P1613" s="13"/>
      <c r="Q1613" s="13"/>
      <c r="R1613" s="13"/>
    </row>
    <row r="1614" spans="2:18">
      <c r="C1614" s="2" t="s">
        <v>18</v>
      </c>
      <c r="D1614" s="2" t="s">
        <v>211</v>
      </c>
      <c r="E1614" s="3">
        <v>230</v>
      </c>
      <c r="F1614" s="3">
        <f>E1614/6</f>
        <v>38.333333333333336</v>
      </c>
      <c r="G1614" s="4">
        <v>43923</v>
      </c>
    </row>
    <row r="1615" spans="2:18">
      <c r="C1615" s="2" t="s">
        <v>7</v>
      </c>
      <c r="D1615" s="2" t="s">
        <v>64</v>
      </c>
      <c r="E1615" s="3">
        <f>1600/7</f>
        <v>228.57142857142858</v>
      </c>
      <c r="F1615" s="3">
        <f>149/6</f>
        <v>24.833333333333332</v>
      </c>
      <c r="G1615" s="4">
        <v>44550</v>
      </c>
    </row>
    <row r="1616" spans="2:18">
      <c r="G1616" s="4"/>
    </row>
    <row r="1617" spans="2:18" s="12" customFormat="1">
      <c r="B1617" s="12" t="s">
        <v>6805</v>
      </c>
      <c r="C1617" s="13" t="s">
        <v>969</v>
      </c>
      <c r="D1617" s="13" t="s">
        <v>968</v>
      </c>
      <c r="E1617" s="15"/>
      <c r="F1617" s="15">
        <f>SUM(F1618:F1619)</f>
        <v>62.5</v>
      </c>
      <c r="G1617" s="14">
        <f>G1618</f>
        <v>44578</v>
      </c>
      <c r="M1617" s="13"/>
      <c r="N1617" s="13"/>
      <c r="O1617" s="13"/>
      <c r="P1617" s="13"/>
      <c r="Q1617" s="13"/>
      <c r="R1617" s="13"/>
    </row>
    <row r="1618" spans="2:18">
      <c r="B1618" s="254" t="s">
        <v>7631</v>
      </c>
      <c r="C1618" s="2" t="s">
        <v>7</v>
      </c>
      <c r="D1618" s="2" t="s">
        <v>2129</v>
      </c>
      <c r="E1618" s="3">
        <f>176</f>
        <v>176</v>
      </c>
      <c r="F1618" s="3">
        <f>150/12</f>
        <v>12.5</v>
      </c>
      <c r="G1618" s="4">
        <v>44578</v>
      </c>
    </row>
    <row r="1619" spans="2:18">
      <c r="C1619" s="52" t="s">
        <v>18</v>
      </c>
      <c r="D1619" s="52" t="s">
        <v>2118</v>
      </c>
      <c r="E1619" s="3">
        <v>300</v>
      </c>
      <c r="F1619" s="3">
        <v>50</v>
      </c>
      <c r="G1619" s="4">
        <v>44300</v>
      </c>
      <c r="I1619" s="1">
        <v>700</v>
      </c>
      <c r="J1619" s="1">
        <v>700</v>
      </c>
    </row>
    <row r="1620" spans="2:18">
      <c r="G1620" s="4"/>
    </row>
    <row r="1621" spans="2:18" s="12" customFormat="1">
      <c r="B1621" s="12" t="s">
        <v>1067</v>
      </c>
      <c r="C1621" s="13" t="s">
        <v>969</v>
      </c>
      <c r="D1621" s="13" t="s">
        <v>968</v>
      </c>
      <c r="E1621" s="15"/>
      <c r="F1621" s="15">
        <f>SUM(F1622:F1635)</f>
        <v>62.685714285714283</v>
      </c>
      <c r="G1621" s="14">
        <f>G1624</f>
        <v>44727</v>
      </c>
      <c r="I1621" s="12" t="s">
        <v>7567</v>
      </c>
    </row>
    <row r="1622" spans="2:18">
      <c r="C1622" s="2" t="s">
        <v>5</v>
      </c>
      <c r="D1622" s="2" t="s">
        <v>986</v>
      </c>
      <c r="E1622" s="3">
        <v>25</v>
      </c>
      <c r="F1622" s="3">
        <f>15/4</f>
        <v>3.75</v>
      </c>
      <c r="G1622" s="4">
        <v>44615</v>
      </c>
    </row>
    <row r="1623" spans="2:18">
      <c r="C1623" s="2" t="s">
        <v>5</v>
      </c>
      <c r="D1623" s="2" t="s">
        <v>735</v>
      </c>
      <c r="E1623" s="3">
        <v>21</v>
      </c>
      <c r="F1623" s="3">
        <f>14/5</f>
        <v>2.8</v>
      </c>
      <c r="G1623" s="4">
        <v>44489</v>
      </c>
    </row>
    <row r="1624" spans="2:18">
      <c r="C1624" s="2" t="s">
        <v>5</v>
      </c>
      <c r="D1624" s="2" t="s">
        <v>465</v>
      </c>
      <c r="E1624" s="3">
        <v>15.5</v>
      </c>
      <c r="F1624" s="3">
        <v>3</v>
      </c>
      <c r="G1624" s="4">
        <v>44727</v>
      </c>
    </row>
    <row r="1625" spans="2:18">
      <c r="C1625" s="2" t="s">
        <v>4</v>
      </c>
      <c r="D1625" s="2" t="s">
        <v>424</v>
      </c>
      <c r="E1625" s="3">
        <v>7</v>
      </c>
      <c r="F1625" s="3">
        <v>0.7142857142857143</v>
      </c>
      <c r="G1625" s="4">
        <v>43046</v>
      </c>
    </row>
    <row r="1626" spans="2:18">
      <c r="C1626" s="2" t="s">
        <v>7</v>
      </c>
      <c r="D1626" s="2" t="s">
        <v>363</v>
      </c>
      <c r="E1626" s="3">
        <v>120</v>
      </c>
      <c r="F1626" s="3">
        <f>90/8</f>
        <v>11.25</v>
      </c>
      <c r="G1626" s="4">
        <v>44602</v>
      </c>
    </row>
    <row r="1627" spans="2:18">
      <c r="C1627" s="2" t="s">
        <v>5</v>
      </c>
      <c r="D1627" s="2" t="s">
        <v>313</v>
      </c>
      <c r="E1627" s="3">
        <v>57</v>
      </c>
      <c r="F1627" s="3">
        <v>6</v>
      </c>
      <c r="G1627" s="4">
        <v>44508</v>
      </c>
    </row>
    <row r="1628" spans="2:18">
      <c r="C1628" s="2" t="s">
        <v>18</v>
      </c>
      <c r="D1628" s="2" t="s">
        <v>292</v>
      </c>
      <c r="E1628" s="3">
        <v>38</v>
      </c>
      <c r="F1628" s="3">
        <f>20/6</f>
        <v>3.3333333333333335</v>
      </c>
      <c r="G1628" s="4">
        <v>43104</v>
      </c>
    </row>
    <row r="1629" spans="2:18">
      <c r="C1629" s="2" t="s">
        <v>8</v>
      </c>
      <c r="D1629" s="2" t="s">
        <v>131</v>
      </c>
      <c r="E1629" s="3">
        <v>135</v>
      </c>
      <c r="F1629" s="3">
        <f>115/14</f>
        <v>8.2142857142857135</v>
      </c>
      <c r="G1629" s="4">
        <v>44880</v>
      </c>
    </row>
    <row r="1630" spans="2:18">
      <c r="C1630" s="2" t="s">
        <v>9</v>
      </c>
      <c r="D1630" s="2" t="s">
        <v>22</v>
      </c>
      <c r="E1630" s="3">
        <v>222</v>
      </c>
      <c r="F1630" s="3">
        <f>200/21</f>
        <v>9.5238095238095237</v>
      </c>
      <c r="G1630" s="4">
        <v>44194</v>
      </c>
      <c r="I1630" s="1">
        <v>2500</v>
      </c>
      <c r="J1630" s="1">
        <v>2500</v>
      </c>
    </row>
    <row r="1631" spans="2:18">
      <c r="C1631" s="2" t="s">
        <v>18</v>
      </c>
      <c r="D1631" s="2" t="s">
        <v>22</v>
      </c>
      <c r="E1631" s="3">
        <v>50</v>
      </c>
      <c r="F1631" s="3">
        <v>5</v>
      </c>
      <c r="G1631" s="4">
        <v>43051</v>
      </c>
      <c r="J1631" s="1">
        <v>2500</v>
      </c>
    </row>
    <row r="1632" spans="2:18">
      <c r="C1632" s="2" t="s">
        <v>5</v>
      </c>
      <c r="D1632" s="2" t="s">
        <v>22</v>
      </c>
      <c r="E1632" s="3">
        <v>30</v>
      </c>
      <c r="F1632" s="3">
        <v>5</v>
      </c>
      <c r="G1632" s="4">
        <v>42674</v>
      </c>
      <c r="J1632" s="1">
        <v>2500</v>
      </c>
    </row>
    <row r="1633" spans="2:18">
      <c r="C1633" s="177" t="s">
        <v>5</v>
      </c>
      <c r="D1633" s="177" t="s">
        <v>6767</v>
      </c>
      <c r="E1633" s="3">
        <v>11</v>
      </c>
      <c r="F1633" s="3">
        <v>2</v>
      </c>
      <c r="G1633" s="4">
        <v>43215</v>
      </c>
    </row>
    <row r="1634" spans="2:18">
      <c r="C1634" s="241" t="s">
        <v>5</v>
      </c>
      <c r="D1634" s="241" t="s">
        <v>2010</v>
      </c>
      <c r="E1634" s="3">
        <v>9</v>
      </c>
      <c r="F1634" s="3">
        <f>6/4</f>
        <v>1.5</v>
      </c>
      <c r="G1634" s="4">
        <v>44540</v>
      </c>
    </row>
    <row r="1635" spans="2:18">
      <c r="C1635" s="241" t="s">
        <v>4</v>
      </c>
      <c r="D1635" s="241" t="s">
        <v>7585</v>
      </c>
      <c r="E1635" s="3">
        <v>2.2000000000000002</v>
      </c>
      <c r="F1635" s="3">
        <v>0.6</v>
      </c>
      <c r="G1635" s="4">
        <v>43544</v>
      </c>
    </row>
    <row r="1636" spans="2:18">
      <c r="G1636" s="4"/>
    </row>
    <row r="1637" spans="2:18" s="12" customFormat="1">
      <c r="B1637" s="12" t="s">
        <v>25</v>
      </c>
      <c r="C1637" s="13" t="s">
        <v>969</v>
      </c>
      <c r="D1637" s="13" t="s">
        <v>968</v>
      </c>
      <c r="E1637" s="15"/>
      <c r="F1637" s="15">
        <f>SUM(F1638:F1639)</f>
        <v>59.523809523809526</v>
      </c>
      <c r="G1637" s="14">
        <f>G1638</f>
        <v>44194</v>
      </c>
      <c r="M1637" s="13"/>
      <c r="N1637" s="13"/>
      <c r="O1637" s="13"/>
      <c r="P1637" s="13"/>
      <c r="Q1637" s="13"/>
      <c r="R1637" s="13"/>
    </row>
    <row r="1638" spans="2:18">
      <c r="C1638" s="2" t="s">
        <v>9</v>
      </c>
      <c r="D1638" s="2" t="s">
        <v>22</v>
      </c>
      <c r="E1638" s="3">
        <v>222</v>
      </c>
      <c r="F1638" s="3">
        <f>200/21</f>
        <v>9.5238095238095237</v>
      </c>
      <c r="G1638" s="4">
        <v>44194</v>
      </c>
      <c r="I1638" s="1">
        <v>2500</v>
      </c>
      <c r="J1638" s="1">
        <v>2500</v>
      </c>
    </row>
    <row r="1639" spans="2:18">
      <c r="C1639" s="2" t="s">
        <v>8</v>
      </c>
      <c r="D1639" s="2" t="s">
        <v>22</v>
      </c>
      <c r="E1639" s="3">
        <v>150</v>
      </c>
      <c r="F1639" s="3">
        <v>50</v>
      </c>
      <c r="G1639" s="4">
        <v>43885</v>
      </c>
      <c r="I1639" s="1">
        <v>1800</v>
      </c>
      <c r="J1639" s="1">
        <v>2500</v>
      </c>
    </row>
    <row r="1640" spans="2:18">
      <c r="G1640" s="4"/>
    </row>
    <row r="1641" spans="2:18" s="12" customFormat="1">
      <c r="B1641" s="12" t="s">
        <v>24</v>
      </c>
      <c r="C1641" s="13" t="s">
        <v>969</v>
      </c>
      <c r="D1641" s="13" t="s">
        <v>968</v>
      </c>
      <c r="E1641" s="15"/>
      <c r="F1641" s="15">
        <f>SUM(F1642:F1643)</f>
        <v>59.523809523809526</v>
      </c>
      <c r="G1641" s="14">
        <f>G1642</f>
        <v>44194</v>
      </c>
      <c r="M1641" s="13"/>
      <c r="N1641" s="13"/>
      <c r="O1641" s="13"/>
      <c r="P1641" s="13"/>
      <c r="Q1641" s="13"/>
      <c r="R1641" s="13"/>
    </row>
    <row r="1642" spans="2:18">
      <c r="C1642" s="2" t="s">
        <v>9</v>
      </c>
      <c r="D1642" s="2" t="s">
        <v>22</v>
      </c>
      <c r="E1642" s="3">
        <v>222</v>
      </c>
      <c r="F1642" s="3">
        <f>200/21</f>
        <v>9.5238095238095237</v>
      </c>
      <c r="G1642" s="4">
        <v>44194</v>
      </c>
      <c r="I1642" s="1">
        <v>2500</v>
      </c>
      <c r="J1642" s="1">
        <v>2500</v>
      </c>
    </row>
    <row r="1643" spans="2:18">
      <c r="C1643" s="2" t="s">
        <v>8</v>
      </c>
      <c r="D1643" s="2" t="s">
        <v>22</v>
      </c>
      <c r="E1643" s="3">
        <v>150</v>
      </c>
      <c r="F1643" s="3">
        <v>50</v>
      </c>
      <c r="G1643" s="4">
        <v>43885</v>
      </c>
      <c r="I1643" s="1">
        <v>1800</v>
      </c>
      <c r="J1643" s="1">
        <v>2500</v>
      </c>
    </row>
    <row r="1644" spans="2:18">
      <c r="G1644" s="4"/>
    </row>
    <row r="1645" spans="2:18" s="12" customFormat="1">
      <c r="B1645" s="12" t="s">
        <v>6804</v>
      </c>
      <c r="C1645" s="13" t="s">
        <v>969</v>
      </c>
      <c r="D1645" s="13" t="s">
        <v>968</v>
      </c>
      <c r="E1645" s="15"/>
      <c r="F1645" s="15">
        <f>SUM(F1646:F1648)</f>
        <v>59.383333333333333</v>
      </c>
      <c r="G1645" s="14">
        <f>G1646</f>
        <v>44600</v>
      </c>
    </row>
    <row r="1646" spans="2:18">
      <c r="B1646" s="254" t="s">
        <v>7631</v>
      </c>
      <c r="C1646" s="2" t="s">
        <v>7</v>
      </c>
      <c r="D1646" s="2" t="s">
        <v>456</v>
      </c>
      <c r="E1646" s="3">
        <v>26.8</v>
      </c>
      <c r="F1646" s="3">
        <v>6.8</v>
      </c>
      <c r="G1646" s="4">
        <v>44600</v>
      </c>
      <c r="M1646" s="1"/>
      <c r="N1646" s="1"/>
      <c r="O1646" s="1"/>
      <c r="P1646" s="1"/>
      <c r="Q1646" s="1"/>
      <c r="R1646" s="1"/>
    </row>
    <row r="1647" spans="2:18">
      <c r="C1647" s="2" t="s">
        <v>53</v>
      </c>
      <c r="D1647" s="2" t="s">
        <v>176</v>
      </c>
      <c r="E1647" s="3">
        <v>475</v>
      </c>
      <c r="F1647" s="3">
        <f>E1647/12</f>
        <v>39.583333333333336</v>
      </c>
      <c r="G1647" s="4">
        <v>44278</v>
      </c>
      <c r="M1647" s="1"/>
      <c r="N1647" s="1"/>
      <c r="O1647" s="1"/>
      <c r="P1647" s="1"/>
      <c r="Q1647" s="1"/>
      <c r="R1647" s="1"/>
    </row>
    <row r="1648" spans="2:18">
      <c r="C1648" s="2" t="s">
        <v>7</v>
      </c>
      <c r="D1648" s="2" t="s">
        <v>2129</v>
      </c>
      <c r="E1648" s="3">
        <v>176</v>
      </c>
      <c r="F1648" s="3">
        <v>13</v>
      </c>
      <c r="G1648" s="4">
        <v>44578</v>
      </c>
      <c r="M1648" s="1"/>
      <c r="N1648" s="1"/>
      <c r="O1648" s="1"/>
      <c r="P1648" s="1"/>
      <c r="Q1648" s="1"/>
      <c r="R1648" s="1"/>
    </row>
    <row r="1649" spans="2:18">
      <c r="G1649" s="4"/>
      <c r="M1649" s="1"/>
      <c r="N1649" s="1"/>
      <c r="O1649" s="1"/>
      <c r="P1649" s="1"/>
      <c r="Q1649" s="1"/>
      <c r="R1649" s="1"/>
    </row>
    <row r="1650" spans="2:18" s="12" customFormat="1">
      <c r="B1650" s="12" t="s">
        <v>156</v>
      </c>
      <c r="C1650" s="13" t="s">
        <v>969</v>
      </c>
      <c r="D1650" s="13" t="s">
        <v>968</v>
      </c>
      <c r="E1650" s="15"/>
      <c r="F1650" s="15">
        <f>SUM(F1651:F1655)</f>
        <v>58.214285714285715</v>
      </c>
      <c r="G1650" s="14">
        <f>G1651</f>
        <v>44067</v>
      </c>
      <c r="M1650" s="13"/>
      <c r="N1650" s="13"/>
      <c r="O1650" s="13"/>
      <c r="P1650" s="13"/>
      <c r="Q1650" s="13"/>
      <c r="R1650" s="13"/>
    </row>
    <row r="1651" spans="2:18">
      <c r="C1651" s="2" t="s">
        <v>18</v>
      </c>
      <c r="D1651" s="2" t="s">
        <v>154</v>
      </c>
      <c r="E1651" s="3">
        <v>101</v>
      </c>
      <c r="F1651" s="3">
        <v>25</v>
      </c>
      <c r="G1651" s="4">
        <v>44067</v>
      </c>
    </row>
    <row r="1652" spans="2:18">
      <c r="C1652" s="2" t="s">
        <v>4</v>
      </c>
      <c r="D1652" s="2" t="s">
        <v>154</v>
      </c>
      <c r="E1652" s="3">
        <v>4</v>
      </c>
      <c r="F1652" s="3">
        <v>1.5</v>
      </c>
      <c r="G1652" s="4">
        <v>42023</v>
      </c>
    </row>
    <row r="1653" spans="2:18">
      <c r="C1653" s="2" t="s">
        <v>18</v>
      </c>
      <c r="D1653" s="2" t="s">
        <v>32</v>
      </c>
      <c r="E1653" s="3">
        <v>230</v>
      </c>
      <c r="F1653" s="3">
        <f>110/7</f>
        <v>15.714285714285714</v>
      </c>
      <c r="G1653" s="4">
        <v>43634</v>
      </c>
    </row>
    <row r="1654" spans="2:18">
      <c r="C1654" s="2" t="s">
        <v>7</v>
      </c>
      <c r="D1654" s="2" t="s">
        <v>32</v>
      </c>
      <c r="E1654" s="3">
        <v>45</v>
      </c>
      <c r="F1654" s="3">
        <v>11</v>
      </c>
      <c r="G1654" s="4">
        <v>43263</v>
      </c>
    </row>
    <row r="1655" spans="2:18">
      <c r="C1655" s="2" t="s">
        <v>5</v>
      </c>
      <c r="D1655" s="2" t="s">
        <v>32</v>
      </c>
      <c r="E1655" s="3">
        <v>18</v>
      </c>
      <c r="F1655" s="3">
        <v>5</v>
      </c>
      <c r="G1655" s="4">
        <v>42983</v>
      </c>
    </row>
    <row r="1656" spans="2:18">
      <c r="G1656" s="4"/>
    </row>
    <row r="1657" spans="2:18">
      <c r="B1657" s="12" t="s">
        <v>4993</v>
      </c>
      <c r="C1657" s="13" t="s">
        <v>969</v>
      </c>
      <c r="D1657" s="13" t="s">
        <v>968</v>
      </c>
      <c r="E1657" s="15"/>
      <c r="F1657" s="15">
        <f>SUM(F1658:F1675)</f>
        <v>55.749999999999993</v>
      </c>
      <c r="G1657" s="14">
        <f>+G1675</f>
        <v>45147</v>
      </c>
    </row>
    <row r="1658" spans="2:18">
      <c r="B1658" s="254" t="s">
        <v>7631</v>
      </c>
      <c r="C1658" s="2" t="s">
        <v>7</v>
      </c>
      <c r="D1658" s="2" t="s">
        <v>962</v>
      </c>
      <c r="E1658" s="3">
        <v>45</v>
      </c>
      <c r="F1658" s="3">
        <v>10</v>
      </c>
      <c r="G1658" s="4">
        <v>44228</v>
      </c>
    </row>
    <row r="1659" spans="2:18">
      <c r="C1659" s="2" t="s">
        <v>5</v>
      </c>
      <c r="D1659" s="2" t="s">
        <v>962</v>
      </c>
      <c r="E1659" s="3">
        <v>5</v>
      </c>
      <c r="F1659" s="3">
        <v>1</v>
      </c>
      <c r="G1659" s="4">
        <v>43251</v>
      </c>
    </row>
    <row r="1660" spans="2:18">
      <c r="C1660" s="2" t="s">
        <v>5</v>
      </c>
      <c r="D1660" s="2" t="s">
        <v>891</v>
      </c>
      <c r="E1660" s="3">
        <v>14</v>
      </c>
      <c r="F1660" s="3">
        <v>2</v>
      </c>
      <c r="G1660" s="4">
        <v>44131</v>
      </c>
    </row>
    <row r="1661" spans="2:18">
      <c r="C1661" s="2" t="s">
        <v>7</v>
      </c>
      <c r="D1661" s="2" t="s">
        <v>907</v>
      </c>
      <c r="E1661" s="3">
        <v>97.4</v>
      </c>
      <c r="F1661" s="3">
        <f>47/6</f>
        <v>7.833333333333333</v>
      </c>
      <c r="G1661" s="4">
        <v>45041</v>
      </c>
    </row>
    <row r="1662" spans="2:18">
      <c r="C1662" s="2" t="s">
        <v>5</v>
      </c>
      <c r="D1662" s="2" t="s">
        <v>907</v>
      </c>
      <c r="E1662" s="3">
        <v>80</v>
      </c>
      <c r="F1662" s="3">
        <f>40/6</f>
        <v>6.666666666666667</v>
      </c>
      <c r="G1662" s="4">
        <v>44539</v>
      </c>
    </row>
    <row r="1663" spans="2:18">
      <c r="C1663" s="2" t="s">
        <v>4</v>
      </c>
      <c r="D1663" s="2" t="s">
        <v>652</v>
      </c>
      <c r="E1663" s="3">
        <v>12</v>
      </c>
      <c r="F1663" s="3">
        <v>2</v>
      </c>
      <c r="G1663" s="4">
        <v>44971</v>
      </c>
    </row>
    <row r="1664" spans="2:18">
      <c r="C1664" s="2" t="s">
        <v>4</v>
      </c>
      <c r="D1664" s="2" t="s">
        <v>652</v>
      </c>
      <c r="E1664" s="3">
        <v>5</v>
      </c>
      <c r="F1664" s="3">
        <v>1</v>
      </c>
      <c r="G1664" s="4">
        <v>44769</v>
      </c>
    </row>
    <row r="1665" spans="2:10">
      <c r="C1665" s="2" t="s">
        <v>7</v>
      </c>
      <c r="D1665" s="2" t="s">
        <v>525</v>
      </c>
      <c r="E1665" s="3">
        <v>32</v>
      </c>
      <c r="F1665" s="3">
        <v>3</v>
      </c>
      <c r="G1665" s="4">
        <v>44364</v>
      </c>
    </row>
    <row r="1666" spans="2:10">
      <c r="C1666" s="2" t="s">
        <v>5</v>
      </c>
      <c r="D1666" s="2" t="s">
        <v>525</v>
      </c>
      <c r="E1666" s="3">
        <v>10.199999999999999</v>
      </c>
      <c r="F1666" s="3">
        <v>2</v>
      </c>
      <c r="G1666" s="4">
        <v>43732</v>
      </c>
    </row>
    <row r="1667" spans="2:10">
      <c r="C1667" s="2" t="s">
        <v>4</v>
      </c>
      <c r="D1667" s="2" t="s">
        <v>525</v>
      </c>
      <c r="E1667" s="3">
        <v>3</v>
      </c>
      <c r="F1667" s="3">
        <v>0.75</v>
      </c>
      <c r="G1667" s="4">
        <v>43374</v>
      </c>
    </row>
    <row r="1668" spans="2:10">
      <c r="C1668" s="2" t="s">
        <v>7</v>
      </c>
      <c r="D1668" s="2" t="s">
        <v>310</v>
      </c>
      <c r="E1668" s="3">
        <v>40</v>
      </c>
      <c r="F1668" s="3">
        <v>4</v>
      </c>
      <c r="G1668" s="4">
        <v>43419</v>
      </c>
    </row>
    <row r="1669" spans="2:10">
      <c r="C1669" s="2" t="s">
        <v>5</v>
      </c>
      <c r="D1669" s="2" t="s">
        <v>3</v>
      </c>
      <c r="E1669" s="3">
        <v>10.5</v>
      </c>
      <c r="F1669" s="3">
        <v>2</v>
      </c>
      <c r="G1669" s="4">
        <v>42828</v>
      </c>
    </row>
    <row r="1670" spans="2:10">
      <c r="C1670" s="2" t="s">
        <v>4</v>
      </c>
      <c r="D1670" s="2" t="s">
        <v>3</v>
      </c>
      <c r="E1670" s="3">
        <v>2</v>
      </c>
      <c r="F1670" s="3">
        <f>+E1670/3</f>
        <v>0.66666666666666663</v>
      </c>
      <c r="G1670" s="4">
        <v>42521</v>
      </c>
    </row>
    <row r="1671" spans="2:10">
      <c r="C1671" s="55" t="s">
        <v>18</v>
      </c>
      <c r="D1671" s="55" t="s">
        <v>4996</v>
      </c>
      <c r="E1671" s="3">
        <v>27</v>
      </c>
      <c r="F1671" s="3">
        <f>17/3</f>
        <v>5.666666666666667</v>
      </c>
      <c r="G1671" s="4">
        <v>42851</v>
      </c>
      <c r="J1671" s="1">
        <v>210</v>
      </c>
    </row>
    <row r="1672" spans="2:10">
      <c r="C1672" s="55" t="s">
        <v>5</v>
      </c>
      <c r="D1672" s="55" t="s">
        <v>4996</v>
      </c>
      <c r="E1672" s="3">
        <v>3</v>
      </c>
      <c r="F1672" s="3">
        <f>2/3</f>
        <v>0.66666666666666663</v>
      </c>
      <c r="G1672" s="4">
        <v>42220</v>
      </c>
    </row>
    <row r="1673" spans="2:10">
      <c r="C1673" s="153" t="s">
        <v>5</v>
      </c>
      <c r="D1673" s="153" t="s">
        <v>6397</v>
      </c>
      <c r="E1673" s="3">
        <v>8</v>
      </c>
      <c r="F1673" s="3">
        <v>1</v>
      </c>
      <c r="G1673" s="4">
        <v>44179</v>
      </c>
    </row>
    <row r="1674" spans="2:10">
      <c r="C1674" s="153" t="s">
        <v>4</v>
      </c>
      <c r="D1674" s="153" t="s">
        <v>6397</v>
      </c>
      <c r="E1674" s="3">
        <v>2</v>
      </c>
      <c r="F1674" s="3">
        <f>E1674/4</f>
        <v>0.5</v>
      </c>
      <c r="G1674" s="4">
        <v>43430</v>
      </c>
    </row>
    <row r="1675" spans="2:10">
      <c r="C1675" s="265" t="s">
        <v>1040</v>
      </c>
      <c r="D1675" s="265" t="s">
        <v>962</v>
      </c>
      <c r="E1675" s="3">
        <v>50</v>
      </c>
      <c r="F1675" s="3">
        <v>5</v>
      </c>
      <c r="G1675" s="4">
        <v>45147</v>
      </c>
      <c r="I1675" s="1">
        <v>1200</v>
      </c>
      <c r="J1675" s="1">
        <v>1200</v>
      </c>
    </row>
    <row r="1676" spans="2:10">
      <c r="G1676" s="4"/>
    </row>
    <row r="1677" spans="2:10">
      <c r="B1677" s="12" t="s">
        <v>1066</v>
      </c>
      <c r="C1677" s="13" t="s">
        <v>969</v>
      </c>
      <c r="D1677" s="13" t="s">
        <v>968</v>
      </c>
      <c r="F1677" s="15">
        <f>SUM(F1678:F1682)</f>
        <v>56.133333333333333</v>
      </c>
      <c r="G1677" s="14">
        <f>G1679</f>
        <v>45070</v>
      </c>
    </row>
    <row r="1678" spans="2:10">
      <c r="C1678" s="2" t="s">
        <v>18</v>
      </c>
      <c r="D1678" s="2" t="s">
        <v>952</v>
      </c>
      <c r="E1678" s="3">
        <v>270</v>
      </c>
      <c r="F1678" s="3">
        <v>50</v>
      </c>
      <c r="G1678" s="4">
        <v>45048</v>
      </c>
    </row>
    <row r="1679" spans="2:10">
      <c r="C1679" s="2" t="s">
        <v>5</v>
      </c>
      <c r="D1679" s="2" t="s">
        <v>783</v>
      </c>
      <c r="E1679" s="3">
        <v>10.9</v>
      </c>
      <c r="F1679" s="3">
        <f>8/6</f>
        <v>1.3333333333333333</v>
      </c>
      <c r="G1679" s="4">
        <v>45070</v>
      </c>
    </row>
    <row r="1680" spans="2:10">
      <c r="C1680" s="2" t="s">
        <v>5</v>
      </c>
      <c r="D1680" s="2" t="s">
        <v>703</v>
      </c>
      <c r="E1680" s="3">
        <v>6</v>
      </c>
      <c r="F1680" s="3">
        <v>1</v>
      </c>
      <c r="G1680" s="4">
        <v>44917</v>
      </c>
    </row>
    <row r="1681" spans="2:18">
      <c r="C1681" s="2" t="s">
        <v>4</v>
      </c>
      <c r="D1681" s="2" t="s">
        <v>703</v>
      </c>
      <c r="E1681" s="3">
        <v>3.6</v>
      </c>
      <c r="F1681" s="3">
        <v>1.8</v>
      </c>
      <c r="G1681" s="4">
        <v>43361</v>
      </c>
    </row>
    <row r="1682" spans="2:18">
      <c r="C1682" s="2" t="s">
        <v>5</v>
      </c>
      <c r="D1682" s="2" t="s">
        <v>298</v>
      </c>
      <c r="E1682" s="3">
        <v>15</v>
      </c>
      <c r="F1682" s="3">
        <v>2</v>
      </c>
      <c r="G1682" s="4">
        <v>44314</v>
      </c>
    </row>
    <row r="1683" spans="2:18">
      <c r="G1683" s="4"/>
    </row>
    <row r="1684" spans="2:18" s="12" customFormat="1">
      <c r="B1684" s="12" t="s">
        <v>157</v>
      </c>
      <c r="C1684" s="13" t="s">
        <v>969</v>
      </c>
      <c r="D1684" s="13" t="s">
        <v>968</v>
      </c>
      <c r="E1684" s="15"/>
      <c r="F1684" s="15">
        <f>SUM(F1685:F1686)</f>
        <v>55</v>
      </c>
      <c r="G1684" s="14">
        <f>G1686</f>
        <v>44557</v>
      </c>
      <c r="M1684" s="13"/>
      <c r="N1684" s="13"/>
      <c r="O1684" s="13"/>
      <c r="P1684" s="13"/>
      <c r="Q1684" s="13"/>
      <c r="R1684" s="13"/>
    </row>
    <row r="1685" spans="2:18">
      <c r="C1685" s="2" t="s">
        <v>8</v>
      </c>
      <c r="D1685" s="2" t="s">
        <v>154</v>
      </c>
      <c r="E1685" s="3">
        <v>100</v>
      </c>
      <c r="F1685" s="3">
        <v>25</v>
      </c>
      <c r="G1685" s="4">
        <v>44067</v>
      </c>
    </row>
    <row r="1686" spans="2:18">
      <c r="C1686" s="2" t="s">
        <v>18</v>
      </c>
      <c r="D1686" s="2" t="s">
        <v>2127</v>
      </c>
      <c r="E1686" s="3">
        <v>200</v>
      </c>
      <c r="F1686" s="3">
        <v>30</v>
      </c>
      <c r="G1686" s="4">
        <v>44557</v>
      </c>
      <c r="I1686" s="1">
        <v>1300</v>
      </c>
      <c r="J1686" s="1">
        <v>1300</v>
      </c>
    </row>
    <row r="1687" spans="2:18">
      <c r="G1687" s="4"/>
    </row>
    <row r="1688" spans="2:18" s="12" customFormat="1">
      <c r="B1688" s="12" t="s">
        <v>667</v>
      </c>
      <c r="C1688" s="13" t="s">
        <v>969</v>
      </c>
      <c r="D1688" s="13" t="s">
        <v>968</v>
      </c>
      <c r="E1688" s="15"/>
      <c r="F1688" s="15">
        <f>SUM(F1689:F1690)</f>
        <v>52.5</v>
      </c>
      <c r="G1688" s="14">
        <f>G1690</f>
        <v>44663</v>
      </c>
    </row>
    <row r="1689" spans="2:18">
      <c r="C1689" s="2" t="s">
        <v>4</v>
      </c>
      <c r="D1689" s="2" t="s">
        <v>666</v>
      </c>
      <c r="E1689" s="3">
        <v>5</v>
      </c>
      <c r="F1689" s="3">
        <v>2.5</v>
      </c>
      <c r="G1689" s="4">
        <v>44277</v>
      </c>
      <c r="M1689" s="1"/>
      <c r="N1689" s="1"/>
      <c r="O1689" s="1"/>
      <c r="P1689" s="1"/>
      <c r="Q1689" s="1"/>
      <c r="R1689" s="1"/>
    </row>
    <row r="1690" spans="2:18">
      <c r="C1690" s="2" t="s">
        <v>4</v>
      </c>
      <c r="D1690" s="2" t="s">
        <v>665</v>
      </c>
      <c r="E1690" s="3">
        <v>100</v>
      </c>
      <c r="F1690" s="3">
        <v>50</v>
      </c>
      <c r="G1690" s="4">
        <v>44663</v>
      </c>
      <c r="M1690" s="1"/>
      <c r="N1690" s="1"/>
      <c r="O1690" s="1"/>
      <c r="P1690" s="1"/>
      <c r="Q1690" s="1"/>
      <c r="R1690" s="1"/>
    </row>
    <row r="1691" spans="2:18">
      <c r="G1691" s="4"/>
      <c r="M1691" s="1"/>
      <c r="N1691" s="1"/>
      <c r="O1691" s="1"/>
      <c r="P1691" s="1"/>
      <c r="Q1691" s="1"/>
      <c r="R1691" s="1"/>
    </row>
    <row r="1692" spans="2:18" s="12" customFormat="1">
      <c r="B1692" s="12" t="s">
        <v>61</v>
      </c>
      <c r="C1692" s="13" t="s">
        <v>969</v>
      </c>
      <c r="D1692" s="13" t="s">
        <v>968</v>
      </c>
      <c r="E1692" s="15"/>
      <c r="F1692" s="15">
        <f>SUM(F1693:F1694)</f>
        <v>52.5</v>
      </c>
      <c r="G1692" s="14">
        <f>G1693</f>
        <v>45069</v>
      </c>
      <c r="M1692" s="13"/>
      <c r="N1692" s="13"/>
      <c r="O1692" s="13"/>
      <c r="P1692" s="13"/>
      <c r="Q1692" s="13"/>
      <c r="R1692" s="13"/>
    </row>
    <row r="1693" spans="2:18">
      <c r="C1693" s="2" t="s">
        <v>8</v>
      </c>
      <c r="D1693" s="2" t="s">
        <v>57</v>
      </c>
      <c r="E1693" s="3">
        <v>250</v>
      </c>
      <c r="F1693" s="3">
        <f>150/4</f>
        <v>37.5</v>
      </c>
      <c r="G1693" s="4">
        <v>45069</v>
      </c>
    </row>
    <row r="1694" spans="2:18">
      <c r="C1694" s="2" t="s">
        <v>18</v>
      </c>
      <c r="D1694" s="2" t="s">
        <v>57</v>
      </c>
      <c r="E1694" s="3">
        <v>100</v>
      </c>
      <c r="F1694" s="3">
        <f>75/5</f>
        <v>15</v>
      </c>
      <c r="G1694" s="4">
        <v>44650</v>
      </c>
    </row>
    <row r="1695" spans="2:18">
      <c r="G1695" s="4"/>
    </row>
    <row r="1696" spans="2:18" s="12" customFormat="1">
      <c r="B1696" s="12" t="s">
        <v>939</v>
      </c>
      <c r="C1696" s="13" t="s">
        <v>969</v>
      </c>
      <c r="D1696" s="13" t="s">
        <v>968</v>
      </c>
      <c r="E1696" s="15"/>
      <c r="F1696" s="15">
        <f>SUM(F1697:F1698)</f>
        <v>52.583333333333336</v>
      </c>
      <c r="G1696" s="14">
        <f>G1697</f>
        <v>44860</v>
      </c>
      <c r="M1696" s="13"/>
      <c r="N1696" s="13"/>
      <c r="O1696" s="13"/>
      <c r="P1696" s="13"/>
      <c r="Q1696" s="13"/>
      <c r="R1696" s="13"/>
    </row>
    <row r="1697" spans="2:18">
      <c r="C1697" s="2" t="s">
        <v>7</v>
      </c>
      <c r="D1697" s="2" t="s">
        <v>398</v>
      </c>
      <c r="E1697" s="3">
        <v>37</v>
      </c>
      <c r="F1697" s="3">
        <v>13</v>
      </c>
      <c r="G1697" s="4">
        <v>44860</v>
      </c>
    </row>
    <row r="1698" spans="2:18">
      <c r="C1698" s="2" t="s">
        <v>53</v>
      </c>
      <c r="D1698" s="2" t="s">
        <v>176</v>
      </c>
      <c r="E1698" s="3">
        <v>475</v>
      </c>
      <c r="F1698" s="3">
        <f>E1698/12</f>
        <v>39.583333333333336</v>
      </c>
      <c r="G1698" s="4">
        <v>44278</v>
      </c>
    </row>
    <row r="1699" spans="2:18">
      <c r="G1699" s="4"/>
    </row>
    <row r="1700" spans="2:18" s="12" customFormat="1">
      <c r="B1700" s="12" t="s">
        <v>668</v>
      </c>
      <c r="C1700" s="13" t="s">
        <v>969</v>
      </c>
      <c r="D1700" s="13" t="s">
        <v>968</v>
      </c>
      <c r="E1700" s="15"/>
      <c r="F1700" s="15">
        <f>SUM(F1701:F1702)</f>
        <v>51.6</v>
      </c>
      <c r="G1700" s="14">
        <f>G1701</f>
        <v>44952</v>
      </c>
    </row>
    <row r="1701" spans="2:18">
      <c r="B1701" s="254" t="s">
        <v>7631</v>
      </c>
      <c r="C1701" s="2" t="s">
        <v>5</v>
      </c>
      <c r="D1701" s="2" t="s">
        <v>666</v>
      </c>
      <c r="E1701" s="3">
        <v>12.7</v>
      </c>
      <c r="F1701" s="3">
        <f>8/5</f>
        <v>1.6</v>
      </c>
      <c r="G1701" s="4">
        <v>44952</v>
      </c>
      <c r="M1701" s="1"/>
      <c r="N1701" s="1"/>
      <c r="O1701" s="1"/>
      <c r="P1701" s="1"/>
      <c r="Q1701" s="1"/>
      <c r="R1701" s="1"/>
    </row>
    <row r="1702" spans="2:18">
      <c r="C1702" s="2" t="s">
        <v>4</v>
      </c>
      <c r="D1702" s="2" t="s">
        <v>665</v>
      </c>
      <c r="E1702" s="3">
        <v>100</v>
      </c>
      <c r="F1702" s="3">
        <v>50</v>
      </c>
      <c r="G1702" s="4">
        <v>44663</v>
      </c>
      <c r="M1702" s="1"/>
      <c r="N1702" s="1"/>
      <c r="O1702" s="1"/>
      <c r="P1702" s="1"/>
      <c r="Q1702" s="1"/>
      <c r="R1702" s="1"/>
    </row>
    <row r="1703" spans="2:18">
      <c r="G1703" s="4"/>
      <c r="M1703" s="1"/>
      <c r="N1703" s="1"/>
      <c r="O1703" s="1"/>
      <c r="P1703" s="1"/>
      <c r="Q1703" s="1"/>
      <c r="R1703" s="1"/>
    </row>
    <row r="1704" spans="2:18" s="12" customFormat="1">
      <c r="B1704" s="12" t="s">
        <v>4458</v>
      </c>
      <c r="C1704" s="13" t="s">
        <v>969</v>
      </c>
      <c r="D1704" s="13" t="s">
        <v>968</v>
      </c>
      <c r="E1704" s="15"/>
      <c r="F1704" s="15">
        <f>SUM(F1705:F1706)</f>
        <v>52</v>
      </c>
      <c r="G1704" s="14">
        <f>G1705</f>
        <v>44557</v>
      </c>
      <c r="M1704" s="13"/>
      <c r="N1704" s="13"/>
      <c r="O1704" s="13"/>
      <c r="P1704" s="13"/>
      <c r="Q1704" s="13"/>
      <c r="R1704" s="13"/>
    </row>
    <row r="1705" spans="2:18">
      <c r="C1705" s="2" t="s">
        <v>18</v>
      </c>
      <c r="D1705" s="2" t="s">
        <v>2127</v>
      </c>
      <c r="E1705" s="3">
        <v>200</v>
      </c>
      <c r="F1705" s="3">
        <v>12</v>
      </c>
      <c r="G1705" s="4">
        <v>44557</v>
      </c>
      <c r="I1705" s="1">
        <v>1300</v>
      </c>
      <c r="J1705" s="1">
        <v>1300</v>
      </c>
    </row>
    <row r="1706" spans="2:18">
      <c r="C1706" s="2" t="s">
        <v>7</v>
      </c>
      <c r="D1706" s="2" t="s">
        <v>2127</v>
      </c>
      <c r="E1706" s="3">
        <v>40</v>
      </c>
      <c r="F1706" s="3">
        <v>40</v>
      </c>
      <c r="G1706" s="4">
        <v>43962</v>
      </c>
      <c r="J1706" s="1">
        <v>1300</v>
      </c>
    </row>
    <row r="1707" spans="2:18">
      <c r="G1707" s="4"/>
    </row>
    <row r="1708" spans="2:18" s="12" customFormat="1">
      <c r="B1708" s="12" t="s">
        <v>805</v>
      </c>
      <c r="C1708" s="13" t="s">
        <v>969</v>
      </c>
      <c r="D1708" s="13" t="s">
        <v>968</v>
      </c>
      <c r="E1708" s="15"/>
      <c r="F1708" s="15">
        <f>SUM(F1709:F1710)</f>
        <v>51.6</v>
      </c>
      <c r="G1708" s="14">
        <f>G1710</f>
        <v>45044</v>
      </c>
      <c r="M1708" s="13"/>
      <c r="N1708" s="13"/>
      <c r="O1708" s="13"/>
      <c r="P1708" s="13"/>
      <c r="Q1708" s="13"/>
      <c r="R1708" s="13"/>
    </row>
    <row r="1709" spans="2:18">
      <c r="C1709" s="2" t="s">
        <v>5</v>
      </c>
      <c r="D1709" s="2" t="s">
        <v>666</v>
      </c>
      <c r="E1709" s="3">
        <v>12.7</v>
      </c>
      <c r="F1709" s="3">
        <f>8/5</f>
        <v>1.6</v>
      </c>
      <c r="G1709" s="4">
        <v>44952</v>
      </c>
    </row>
    <row r="1710" spans="2:18">
      <c r="C1710" s="2" t="s">
        <v>1</v>
      </c>
      <c r="D1710" s="2" t="s">
        <v>0</v>
      </c>
      <c r="E1710" s="3">
        <v>300</v>
      </c>
      <c r="F1710" s="3">
        <f>E1710/6</f>
        <v>50</v>
      </c>
      <c r="G1710" s="4">
        <v>45044</v>
      </c>
      <c r="I1710" s="1">
        <v>2870</v>
      </c>
      <c r="J1710" s="1">
        <v>28700</v>
      </c>
    </row>
    <row r="1711" spans="2:18">
      <c r="G1711" s="4"/>
    </row>
    <row r="1712" spans="2:18" s="12" customFormat="1">
      <c r="B1712" s="12" t="s">
        <v>723</v>
      </c>
      <c r="C1712" s="13" t="s">
        <v>969</v>
      </c>
      <c r="D1712" s="13" t="s">
        <v>968</v>
      </c>
      <c r="E1712" s="15"/>
      <c r="F1712" s="15">
        <f>SUM(F1713:F1718)</f>
        <v>52.166666666666664</v>
      </c>
      <c r="G1712" s="14">
        <f>G1713</f>
        <v>44903</v>
      </c>
      <c r="M1712" s="13"/>
      <c r="N1712" s="13"/>
      <c r="O1712" s="13"/>
      <c r="P1712" s="13"/>
      <c r="Q1712" s="13"/>
      <c r="R1712" s="13"/>
    </row>
    <row r="1713" spans="2:18">
      <c r="C1713" s="2" t="s">
        <v>5</v>
      </c>
      <c r="D1713" s="2" t="s">
        <v>722</v>
      </c>
      <c r="E1713" s="3">
        <v>20</v>
      </c>
      <c r="F1713" s="3">
        <f>13/6</f>
        <v>2.1666666666666665</v>
      </c>
      <c r="G1713" s="4">
        <v>44903</v>
      </c>
    </row>
    <row r="1714" spans="2:18">
      <c r="C1714" s="2" t="s">
        <v>5</v>
      </c>
      <c r="D1714" s="2" t="s">
        <v>722</v>
      </c>
      <c r="E1714" s="3">
        <v>11</v>
      </c>
      <c r="F1714" s="3">
        <v>5</v>
      </c>
      <c r="G1714" s="4">
        <v>44313</v>
      </c>
    </row>
    <row r="1715" spans="2:18">
      <c r="C1715" s="2" t="s">
        <v>9</v>
      </c>
      <c r="D1715" s="2" t="s">
        <v>22</v>
      </c>
      <c r="E1715" s="3">
        <v>222</v>
      </c>
      <c r="F1715" s="3">
        <v>10</v>
      </c>
      <c r="G1715" s="4">
        <v>44194</v>
      </c>
      <c r="I1715" s="1">
        <v>2500</v>
      </c>
      <c r="J1715" s="1">
        <v>2500</v>
      </c>
    </row>
    <row r="1716" spans="2:18">
      <c r="C1716" s="2" t="s">
        <v>8</v>
      </c>
      <c r="D1716" s="2" t="s">
        <v>22</v>
      </c>
      <c r="E1716" s="3">
        <v>200</v>
      </c>
      <c r="F1716" s="3">
        <v>13</v>
      </c>
      <c r="G1716" s="4">
        <v>43452</v>
      </c>
      <c r="I1716" s="1">
        <v>1500</v>
      </c>
      <c r="J1716" s="1">
        <v>2500</v>
      </c>
    </row>
    <row r="1717" spans="2:18">
      <c r="C1717" s="2" t="s">
        <v>7</v>
      </c>
      <c r="D1717" s="2" t="s">
        <v>22</v>
      </c>
      <c r="E1717" s="3">
        <v>30</v>
      </c>
      <c r="F1717" s="3">
        <v>8</v>
      </c>
      <c r="G1717" s="4">
        <v>42936</v>
      </c>
    </row>
    <row r="1718" spans="2:18">
      <c r="C1718" s="92" t="s">
        <v>7</v>
      </c>
      <c r="D1718" s="92" t="s">
        <v>2076</v>
      </c>
      <c r="E1718" s="3">
        <v>100</v>
      </c>
      <c r="F1718" s="3">
        <f>70/5</f>
        <v>14</v>
      </c>
      <c r="G1718" s="4">
        <v>44937</v>
      </c>
      <c r="I1718" s="1">
        <v>900</v>
      </c>
      <c r="J1718" s="1">
        <v>900</v>
      </c>
    </row>
    <row r="1719" spans="2:18">
      <c r="G1719" s="4"/>
    </row>
    <row r="1720" spans="2:18" s="12" customFormat="1">
      <c r="B1720" s="12" t="s">
        <v>10</v>
      </c>
      <c r="C1720" s="13" t="s">
        <v>969</v>
      </c>
      <c r="D1720" s="13" t="s">
        <v>968</v>
      </c>
      <c r="E1720" s="15"/>
      <c r="F1720" s="15">
        <f>SUM(F1721:F1724)</f>
        <v>52.083333333333336</v>
      </c>
      <c r="G1720" s="14">
        <f>G1721</f>
        <v>44721</v>
      </c>
      <c r="M1720" s="13"/>
      <c r="N1720" s="13"/>
      <c r="O1720" s="13"/>
      <c r="P1720" s="13"/>
      <c r="Q1720" s="13"/>
      <c r="R1720" s="13"/>
    </row>
    <row r="1721" spans="2:18">
      <c r="C1721" s="2" t="s">
        <v>9</v>
      </c>
      <c r="D1721" s="2" t="s">
        <v>3</v>
      </c>
      <c r="E1721" s="3">
        <v>90</v>
      </c>
      <c r="F1721" s="3">
        <v>10</v>
      </c>
      <c r="G1721" s="4">
        <v>44721</v>
      </c>
      <c r="I1721" s="1">
        <v>2200</v>
      </c>
      <c r="J1721" s="1">
        <v>2200</v>
      </c>
    </row>
    <row r="1722" spans="2:18">
      <c r="C1722" s="2" t="s">
        <v>8</v>
      </c>
      <c r="D1722" s="2" t="s">
        <v>3</v>
      </c>
      <c r="E1722" s="3">
        <v>210</v>
      </c>
      <c r="F1722" s="3">
        <v>33.333333333333336</v>
      </c>
      <c r="G1722" s="4">
        <v>44432</v>
      </c>
      <c r="I1722" s="1">
        <v>1000</v>
      </c>
      <c r="J1722" s="1">
        <v>2200</v>
      </c>
    </row>
    <row r="1723" spans="2:18">
      <c r="C1723" s="2" t="s">
        <v>7</v>
      </c>
      <c r="D1723" s="2" t="s">
        <v>3</v>
      </c>
      <c r="E1723" s="3">
        <v>25</v>
      </c>
      <c r="F1723" s="3">
        <v>3.75</v>
      </c>
      <c r="G1723" s="4">
        <v>43697</v>
      </c>
      <c r="J1723" s="1">
        <v>2200</v>
      </c>
    </row>
    <row r="1724" spans="2:18">
      <c r="C1724" s="2" t="s">
        <v>5</v>
      </c>
      <c r="D1724" s="2" t="s">
        <v>3</v>
      </c>
      <c r="E1724" s="3">
        <v>10</v>
      </c>
      <c r="F1724" s="3">
        <v>5</v>
      </c>
      <c r="G1724" s="4">
        <v>43456</v>
      </c>
      <c r="J1724" s="1">
        <v>2200</v>
      </c>
    </row>
    <row r="1725" spans="2:18">
      <c r="G1725" s="4"/>
    </row>
    <row r="1726" spans="2:18" s="12" customFormat="1">
      <c r="B1726" s="12" t="s">
        <v>453</v>
      </c>
      <c r="C1726" s="13" t="s">
        <v>969</v>
      </c>
      <c r="D1726" s="13" t="s">
        <v>968</v>
      </c>
      <c r="E1726" s="15"/>
      <c r="F1726" s="15">
        <f>SUM(F1727:F1728)</f>
        <v>50</v>
      </c>
      <c r="G1726" s="14">
        <f>G1727</f>
        <v>44776</v>
      </c>
    </row>
    <row r="1727" spans="2:18">
      <c r="C1727" s="2" t="s">
        <v>8</v>
      </c>
      <c r="D1727" s="2" t="s">
        <v>448</v>
      </c>
      <c r="E1727" s="3">
        <v>90</v>
      </c>
      <c r="F1727" s="3">
        <v>20</v>
      </c>
      <c r="G1727" s="4">
        <v>44776</v>
      </c>
      <c r="M1727" s="1"/>
      <c r="N1727" s="1"/>
      <c r="O1727" s="1"/>
      <c r="P1727" s="1"/>
      <c r="Q1727" s="1"/>
      <c r="R1727" s="1"/>
    </row>
    <row r="1728" spans="2:18">
      <c r="C1728" s="2" t="s">
        <v>18</v>
      </c>
      <c r="D1728" s="2" t="s">
        <v>2127</v>
      </c>
      <c r="E1728" s="3">
        <v>200</v>
      </c>
      <c r="F1728" s="3">
        <v>30</v>
      </c>
      <c r="G1728" s="4">
        <v>44557</v>
      </c>
      <c r="I1728" s="1">
        <v>1300</v>
      </c>
      <c r="J1728" s="1">
        <v>1300</v>
      </c>
      <c r="M1728" s="1"/>
      <c r="N1728" s="1"/>
      <c r="O1728" s="1"/>
      <c r="P1728" s="1"/>
      <c r="Q1728" s="1"/>
      <c r="R1728" s="1"/>
    </row>
    <row r="1729" spans="2:18">
      <c r="G1729" s="4"/>
      <c r="M1729" s="1"/>
      <c r="N1729" s="1"/>
      <c r="O1729" s="1"/>
      <c r="P1729" s="1"/>
      <c r="Q1729" s="1"/>
      <c r="R1729" s="1"/>
    </row>
    <row r="1730" spans="2:18">
      <c r="B1730" s="12" t="s">
        <v>1037</v>
      </c>
      <c r="C1730" s="13" t="s">
        <v>969</v>
      </c>
      <c r="D1730" s="13" t="s">
        <v>968</v>
      </c>
      <c r="E1730" s="15"/>
      <c r="F1730" s="15">
        <f>SUM(F1731:F1739)</f>
        <v>49.333333333333336</v>
      </c>
      <c r="G1730" s="14">
        <f>G1735</f>
        <v>45007</v>
      </c>
    </row>
    <row r="1731" spans="2:18">
      <c r="C1731" s="2" t="s">
        <v>7</v>
      </c>
      <c r="D1731" s="2" t="s">
        <v>693</v>
      </c>
      <c r="E1731" s="3">
        <v>50</v>
      </c>
      <c r="F1731" s="3">
        <f>25/3</f>
        <v>8.3333333333333339</v>
      </c>
      <c r="G1731" s="4">
        <v>44643</v>
      </c>
    </row>
    <row r="1732" spans="2:18">
      <c r="C1732" s="2" t="s">
        <v>5</v>
      </c>
      <c r="D1732" s="2" t="s">
        <v>693</v>
      </c>
      <c r="E1732" s="3">
        <v>18.5</v>
      </c>
      <c r="F1732" s="3">
        <f>10/4</f>
        <v>2.5</v>
      </c>
      <c r="G1732" s="4">
        <v>44242</v>
      </c>
    </row>
    <row r="1733" spans="2:18">
      <c r="C1733" s="2" t="s">
        <v>4</v>
      </c>
      <c r="D1733" s="2" t="s">
        <v>693</v>
      </c>
      <c r="E1733" s="3">
        <v>3.5</v>
      </c>
      <c r="F1733" s="3">
        <v>1.5</v>
      </c>
      <c r="G1733" s="4">
        <v>43631</v>
      </c>
    </row>
    <row r="1734" spans="2:18">
      <c r="C1734" s="2" t="s">
        <v>5</v>
      </c>
      <c r="D1734" s="2" t="s">
        <v>986</v>
      </c>
      <c r="E1734" s="3">
        <v>25</v>
      </c>
      <c r="F1734" s="3">
        <v>4</v>
      </c>
      <c r="G1734" s="4">
        <v>44615</v>
      </c>
    </row>
    <row r="1735" spans="2:18">
      <c r="C1735" s="2" t="s">
        <v>4</v>
      </c>
      <c r="D1735" s="2" t="s">
        <v>635</v>
      </c>
      <c r="E1735" s="3">
        <v>10.6</v>
      </c>
      <c r="F1735" s="3">
        <v>5</v>
      </c>
      <c r="G1735" s="4">
        <v>45007</v>
      </c>
    </row>
    <row r="1736" spans="2:18">
      <c r="C1736" s="92" t="s">
        <v>18</v>
      </c>
      <c r="D1736" s="92" t="s">
        <v>5649</v>
      </c>
      <c r="E1736" s="3">
        <v>75</v>
      </c>
      <c r="F1736" s="3">
        <v>12.5</v>
      </c>
      <c r="G1736" s="4">
        <v>44627</v>
      </c>
    </row>
    <row r="1737" spans="2:18">
      <c r="C1737" s="92" t="s">
        <v>7</v>
      </c>
      <c r="D1737" s="92" t="s">
        <v>5649</v>
      </c>
      <c r="E1737" s="3">
        <v>30</v>
      </c>
      <c r="F1737" s="3">
        <v>7.5</v>
      </c>
      <c r="G1737" s="4">
        <v>44222</v>
      </c>
    </row>
    <row r="1738" spans="2:18">
      <c r="C1738" s="92" t="s">
        <v>5</v>
      </c>
      <c r="D1738" s="92" t="s">
        <v>5649</v>
      </c>
      <c r="E1738" s="3">
        <v>10</v>
      </c>
      <c r="F1738" s="3">
        <v>5</v>
      </c>
      <c r="G1738" s="4">
        <v>43559</v>
      </c>
    </row>
    <row r="1739" spans="2:18">
      <c r="C1739" s="92" t="s">
        <v>4</v>
      </c>
      <c r="D1739" s="92" t="s">
        <v>5649</v>
      </c>
      <c r="E1739" s="3">
        <v>3</v>
      </c>
      <c r="F1739" s="3">
        <v>3</v>
      </c>
      <c r="G1739" s="4">
        <v>43558</v>
      </c>
    </row>
    <row r="1740" spans="2:18">
      <c r="G1740" s="4"/>
    </row>
    <row r="1741" spans="2:18" s="12" customFormat="1">
      <c r="B1741" s="12" t="s">
        <v>923</v>
      </c>
      <c r="C1741" s="13" t="s">
        <v>969</v>
      </c>
      <c r="D1741" s="13" t="s">
        <v>968</v>
      </c>
      <c r="E1741" s="15"/>
      <c r="F1741" s="15">
        <f>SUM(F1742:F1745)</f>
        <v>46.917748917748916</v>
      </c>
      <c r="G1741" s="14">
        <f>G1742</f>
        <v>45090</v>
      </c>
      <c r="M1741" s="13"/>
      <c r="N1741" s="13"/>
      <c r="O1741" s="13"/>
      <c r="P1741" s="13"/>
      <c r="Q1741" s="13"/>
      <c r="R1741" s="13"/>
    </row>
    <row r="1742" spans="2:18">
      <c r="C1742" s="2" t="s">
        <v>4</v>
      </c>
      <c r="D1742" s="2" t="s">
        <v>705</v>
      </c>
      <c r="E1742" s="3">
        <v>113</v>
      </c>
      <c r="F1742" s="3">
        <v>8</v>
      </c>
      <c r="G1742" s="4">
        <v>45090</v>
      </c>
    </row>
    <row r="1743" spans="2:18">
      <c r="C1743" s="2" t="s">
        <v>9</v>
      </c>
      <c r="D1743" s="2" t="s">
        <v>22</v>
      </c>
      <c r="E1743" s="3">
        <v>222</v>
      </c>
      <c r="F1743" s="3">
        <f>200/21</f>
        <v>9.5238095238095237</v>
      </c>
      <c r="G1743" s="4">
        <v>44194</v>
      </c>
      <c r="I1743" s="1">
        <v>2500</v>
      </c>
      <c r="J1743" s="1">
        <v>2500</v>
      </c>
    </row>
    <row r="1744" spans="2:18">
      <c r="C1744" s="2" t="s">
        <v>8</v>
      </c>
      <c r="D1744" s="2" t="s">
        <v>22</v>
      </c>
      <c r="E1744" s="3">
        <v>150</v>
      </c>
      <c r="F1744" s="3">
        <f>100/6</f>
        <v>16.666666666666668</v>
      </c>
      <c r="G1744" s="4">
        <v>43885</v>
      </c>
      <c r="I1744" s="1">
        <v>1800</v>
      </c>
      <c r="J1744" s="1">
        <v>2500</v>
      </c>
    </row>
    <row r="1745" spans="2:18">
      <c r="C1745" s="2" t="s">
        <v>8</v>
      </c>
      <c r="D1745" s="2" t="s">
        <v>22</v>
      </c>
      <c r="E1745" s="3">
        <v>200</v>
      </c>
      <c r="F1745" s="3">
        <v>12.727272727272727</v>
      </c>
      <c r="G1745" s="4">
        <v>43452</v>
      </c>
      <c r="I1745" s="1">
        <v>1500</v>
      </c>
      <c r="J1745" s="1">
        <v>2500</v>
      </c>
    </row>
    <row r="1746" spans="2:18">
      <c r="G1746" s="4"/>
    </row>
    <row r="1747" spans="2:18" s="12" customFormat="1">
      <c r="B1747" s="12" t="s">
        <v>1027</v>
      </c>
      <c r="C1747" s="13" t="s">
        <v>969</v>
      </c>
      <c r="D1747" s="13" t="s">
        <v>968</v>
      </c>
      <c r="E1747" s="15"/>
      <c r="F1747" s="15">
        <f>SUM(F1748:F1752)</f>
        <v>47.238095238095241</v>
      </c>
      <c r="G1747" s="14">
        <f>G1749</f>
        <v>44851</v>
      </c>
      <c r="M1747" s="13"/>
      <c r="N1747" s="13"/>
      <c r="O1747" s="13"/>
      <c r="P1747" s="13"/>
      <c r="Q1747" s="13"/>
      <c r="R1747" s="13"/>
    </row>
    <row r="1748" spans="2:18">
      <c r="C1748" s="2" t="s">
        <v>5</v>
      </c>
      <c r="D1748" s="2" t="s">
        <v>730</v>
      </c>
      <c r="E1748" s="3">
        <v>25</v>
      </c>
      <c r="F1748" s="3">
        <f>18/7</f>
        <v>2.5714285714285716</v>
      </c>
      <c r="G1748" s="4">
        <v>44757</v>
      </c>
    </row>
    <row r="1749" spans="2:18">
      <c r="C1749" s="2" t="s">
        <v>5</v>
      </c>
      <c r="D1749" s="2" t="s">
        <v>281</v>
      </c>
      <c r="E1749" s="3">
        <v>32</v>
      </c>
      <c r="F1749" s="3">
        <v>5</v>
      </c>
      <c r="G1749" s="4">
        <v>44851</v>
      </c>
    </row>
    <row r="1750" spans="2:18">
      <c r="C1750" s="2" t="s">
        <v>9</v>
      </c>
      <c r="D1750" s="2" t="s">
        <v>22</v>
      </c>
      <c r="E1750" s="3">
        <v>222</v>
      </c>
      <c r="F1750" s="3">
        <v>10</v>
      </c>
      <c r="G1750" s="4">
        <v>44194</v>
      </c>
      <c r="I1750" s="1">
        <v>2500</v>
      </c>
      <c r="J1750" s="1">
        <v>2500</v>
      </c>
    </row>
    <row r="1751" spans="2:18">
      <c r="C1751" s="2" t="s">
        <v>8</v>
      </c>
      <c r="D1751" s="2" t="s">
        <v>22</v>
      </c>
      <c r="E1751" s="3">
        <v>150</v>
      </c>
      <c r="F1751" s="3">
        <v>16.666666666666668</v>
      </c>
      <c r="G1751" s="4">
        <v>43885</v>
      </c>
      <c r="I1751" s="1">
        <v>1800</v>
      </c>
      <c r="J1751" s="1">
        <v>2500</v>
      </c>
    </row>
    <row r="1752" spans="2:18">
      <c r="C1752" s="2" t="s">
        <v>8</v>
      </c>
      <c r="D1752" s="2" t="s">
        <v>22</v>
      </c>
      <c r="E1752" s="3">
        <v>200</v>
      </c>
      <c r="F1752" s="3">
        <v>13</v>
      </c>
      <c r="G1752" s="4">
        <v>43452</v>
      </c>
      <c r="I1752" s="1">
        <v>1500</v>
      </c>
      <c r="J1752" s="1">
        <v>2500</v>
      </c>
    </row>
    <row r="1753" spans="2:18">
      <c r="G1753" s="4"/>
    </row>
    <row r="1754" spans="2:18" s="12" customFormat="1">
      <c r="B1754" s="12" t="s">
        <v>1061</v>
      </c>
      <c r="C1754" s="13" t="s">
        <v>969</v>
      </c>
      <c r="D1754" s="13" t="s">
        <v>968</v>
      </c>
      <c r="E1754" s="15"/>
      <c r="F1754" s="15">
        <f>SUM(F1755:F1758)</f>
        <v>46.5</v>
      </c>
      <c r="G1754" s="14">
        <f>G1757</f>
        <v>44599</v>
      </c>
    </row>
    <row r="1755" spans="2:18">
      <c r="C1755" s="2" t="s">
        <v>7</v>
      </c>
      <c r="D1755" s="2" t="s">
        <v>454</v>
      </c>
      <c r="E1755" s="3">
        <v>25</v>
      </c>
      <c r="F1755" s="3">
        <v>10</v>
      </c>
      <c r="G1755" s="4">
        <v>43972</v>
      </c>
      <c r="M1755" s="1"/>
      <c r="N1755" s="1"/>
      <c r="O1755" s="1"/>
      <c r="P1755" s="1"/>
      <c r="Q1755" s="1"/>
      <c r="R1755" s="1"/>
    </row>
    <row r="1756" spans="2:18">
      <c r="C1756" s="2" t="s">
        <v>5</v>
      </c>
      <c r="D1756" s="2" t="s">
        <v>454</v>
      </c>
      <c r="E1756" s="3">
        <v>11.5</v>
      </c>
      <c r="F1756" s="3">
        <v>11.5</v>
      </c>
      <c r="G1756" s="4">
        <v>43104</v>
      </c>
      <c r="M1756" s="1"/>
      <c r="N1756" s="1"/>
      <c r="O1756" s="1"/>
      <c r="P1756" s="1"/>
      <c r="Q1756" s="1"/>
      <c r="R1756" s="1"/>
    </row>
    <row r="1757" spans="2:18">
      <c r="C1757" s="2" t="s">
        <v>18</v>
      </c>
      <c r="D1757" s="2" t="s">
        <v>1056</v>
      </c>
      <c r="E1757" s="3">
        <v>40</v>
      </c>
      <c r="F1757" s="3">
        <v>7</v>
      </c>
      <c r="G1757" s="4">
        <v>44599</v>
      </c>
      <c r="M1757" s="1"/>
      <c r="N1757" s="1"/>
      <c r="O1757" s="1"/>
      <c r="P1757" s="1"/>
      <c r="Q1757" s="1"/>
      <c r="R1757" s="1"/>
    </row>
    <row r="1758" spans="2:18">
      <c r="C1758" s="2" t="s">
        <v>7</v>
      </c>
      <c r="D1758" s="2" t="s">
        <v>1056</v>
      </c>
      <c r="E1758" s="3">
        <v>28</v>
      </c>
      <c r="F1758" s="3">
        <v>18</v>
      </c>
      <c r="G1758" s="4">
        <v>44377</v>
      </c>
      <c r="M1758" s="1"/>
      <c r="N1758" s="1"/>
      <c r="O1758" s="1"/>
      <c r="P1758" s="1"/>
      <c r="Q1758" s="1"/>
      <c r="R1758" s="1"/>
    </row>
    <row r="1759" spans="2:18">
      <c r="G1759" s="4"/>
      <c r="M1759" s="1"/>
      <c r="N1759" s="1"/>
      <c r="O1759" s="1"/>
      <c r="P1759" s="1"/>
      <c r="Q1759" s="1"/>
      <c r="R1759" s="1"/>
    </row>
    <row r="1760" spans="2:18" s="12" customFormat="1">
      <c r="B1760" s="12" t="s">
        <v>202</v>
      </c>
      <c r="C1760" s="13" t="s">
        <v>969</v>
      </c>
      <c r="D1760" s="13" t="s">
        <v>968</v>
      </c>
      <c r="E1760" s="15"/>
      <c r="F1760" s="15">
        <f>SUM(F1761:F1762)</f>
        <v>46</v>
      </c>
      <c r="G1760" s="14">
        <f>G1761</f>
        <v>43391</v>
      </c>
      <c r="M1760" s="13"/>
      <c r="N1760" s="13"/>
      <c r="O1760" s="13"/>
      <c r="P1760" s="13"/>
      <c r="Q1760" s="13"/>
      <c r="R1760" s="13"/>
    </row>
    <row r="1761" spans="2:18">
      <c r="C1761" s="2" t="s">
        <v>7</v>
      </c>
      <c r="D1761" s="2" t="s">
        <v>197</v>
      </c>
      <c r="E1761" s="3">
        <v>120</v>
      </c>
      <c r="F1761" s="3">
        <v>30</v>
      </c>
      <c r="G1761" s="4">
        <v>43391</v>
      </c>
    </row>
    <row r="1762" spans="2:18">
      <c r="C1762" s="2" t="s">
        <v>7</v>
      </c>
      <c r="D1762" s="2" t="s">
        <v>197</v>
      </c>
      <c r="E1762" s="3">
        <v>46</v>
      </c>
      <c r="F1762" s="3">
        <v>16</v>
      </c>
      <c r="G1762" s="4">
        <v>42941</v>
      </c>
    </row>
    <row r="1764" spans="2:18" s="12" customFormat="1">
      <c r="B1764" s="12" t="s">
        <v>296</v>
      </c>
      <c r="C1764" s="13" t="s">
        <v>969</v>
      </c>
      <c r="D1764" s="13" t="s">
        <v>968</v>
      </c>
      <c r="E1764" s="15"/>
      <c r="F1764" s="15">
        <f>SUM(F1765:F1766)</f>
        <v>46</v>
      </c>
      <c r="G1764" s="14">
        <f>G1766</f>
        <v>43634</v>
      </c>
      <c r="M1764" s="13"/>
      <c r="N1764" s="13"/>
      <c r="O1764" s="13"/>
      <c r="P1764" s="13"/>
      <c r="Q1764" s="13"/>
      <c r="R1764" s="13"/>
    </row>
    <row r="1765" spans="2:18">
      <c r="C1765" s="2" t="s">
        <v>18</v>
      </c>
      <c r="D1765" s="2" t="s">
        <v>292</v>
      </c>
      <c r="E1765" s="3">
        <v>38</v>
      </c>
      <c r="F1765" s="3">
        <v>6</v>
      </c>
      <c r="G1765" s="4">
        <v>43104</v>
      </c>
    </row>
    <row r="1766" spans="2:18">
      <c r="C1766" s="2" t="s">
        <v>18</v>
      </c>
      <c r="D1766" s="2" t="s">
        <v>32</v>
      </c>
      <c r="E1766" s="3">
        <v>230</v>
      </c>
      <c r="F1766" s="3">
        <v>40</v>
      </c>
      <c r="G1766" s="4">
        <v>43634</v>
      </c>
      <c r="I1766" s="1">
        <v>770</v>
      </c>
      <c r="J1766" s="1">
        <v>770</v>
      </c>
    </row>
    <row r="1767" spans="2:18">
      <c r="G1767" s="4"/>
    </row>
    <row r="1768" spans="2:18" s="12" customFormat="1">
      <c r="B1768" s="12" t="s">
        <v>4994</v>
      </c>
      <c r="C1768" s="13" t="s">
        <v>969</v>
      </c>
      <c r="D1768" s="13" t="s">
        <v>968</v>
      </c>
      <c r="E1768" s="15"/>
      <c r="F1768" s="15">
        <f>SUM(F1769:F1772)</f>
        <v>45.5</v>
      </c>
      <c r="G1768" s="14">
        <f>G1770</f>
        <v>44984</v>
      </c>
      <c r="M1768" s="13"/>
      <c r="N1768" s="13"/>
      <c r="O1768" s="13"/>
      <c r="P1768" s="13"/>
      <c r="Q1768" s="13"/>
      <c r="R1768" s="13"/>
    </row>
    <row r="1769" spans="2:18">
      <c r="C1769" s="2" t="s">
        <v>5</v>
      </c>
      <c r="D1769" s="2" t="s">
        <v>701</v>
      </c>
      <c r="E1769" s="3">
        <v>50</v>
      </c>
      <c r="F1769" s="3">
        <f>30/12</f>
        <v>2.5</v>
      </c>
      <c r="G1769" s="4">
        <v>44796</v>
      </c>
    </row>
    <row r="1770" spans="2:18">
      <c r="C1770" s="2" t="s">
        <v>9</v>
      </c>
      <c r="D1770" s="2" t="s">
        <v>39</v>
      </c>
      <c r="E1770" s="3">
        <v>230</v>
      </c>
      <c r="F1770" s="3">
        <v>24</v>
      </c>
      <c r="G1770" s="4">
        <v>44984</v>
      </c>
      <c r="I1770" s="1">
        <v>2000</v>
      </c>
      <c r="J1770" s="1">
        <v>2000</v>
      </c>
    </row>
    <row r="1771" spans="2:18">
      <c r="C1771" s="2" t="s">
        <v>18</v>
      </c>
      <c r="D1771" s="2" t="s">
        <v>39</v>
      </c>
      <c r="E1771" s="3">
        <v>100</v>
      </c>
      <c r="F1771" s="3">
        <v>15</v>
      </c>
      <c r="G1771" s="4">
        <v>44025</v>
      </c>
      <c r="J1771" s="1">
        <v>2000</v>
      </c>
    </row>
    <row r="1772" spans="2:18">
      <c r="C1772" s="153" t="s">
        <v>7</v>
      </c>
      <c r="D1772" s="153" t="s">
        <v>2046</v>
      </c>
      <c r="E1772" s="3">
        <v>50</v>
      </c>
      <c r="F1772" s="3">
        <v>4</v>
      </c>
      <c r="G1772" s="4">
        <v>44252</v>
      </c>
    </row>
    <row r="1773" spans="2:18">
      <c r="G1773" s="4"/>
    </row>
    <row r="1774" spans="2:18" s="12" customFormat="1">
      <c r="B1774" s="12" t="s">
        <v>45</v>
      </c>
      <c r="C1774" s="13" t="s">
        <v>969</v>
      </c>
      <c r="D1774" s="13" t="s">
        <v>968</v>
      </c>
      <c r="E1774" s="15"/>
      <c r="F1774" s="15">
        <f>SUM(F1775:F1776)</f>
        <v>46.285714285714285</v>
      </c>
      <c r="G1774" s="14">
        <f>G1775</f>
        <v>44984</v>
      </c>
      <c r="M1774" s="13"/>
      <c r="N1774" s="13"/>
      <c r="O1774" s="13"/>
      <c r="P1774" s="13"/>
      <c r="Q1774" s="13"/>
      <c r="R1774" s="13"/>
    </row>
    <row r="1775" spans="2:18">
      <c r="C1775" s="2" t="s">
        <v>9</v>
      </c>
      <c r="D1775" s="2" t="s">
        <v>39</v>
      </c>
      <c r="E1775" s="3">
        <v>230</v>
      </c>
      <c r="F1775" s="3">
        <f>170/7</f>
        <v>24.285714285714285</v>
      </c>
      <c r="G1775" s="4">
        <v>44984</v>
      </c>
      <c r="I1775" s="1">
        <v>2000</v>
      </c>
      <c r="J1775" s="1">
        <v>2000</v>
      </c>
    </row>
    <row r="1776" spans="2:18">
      <c r="C1776" s="2" t="s">
        <v>8</v>
      </c>
      <c r="D1776" s="2" t="s">
        <v>39</v>
      </c>
      <c r="E1776" s="3">
        <v>170</v>
      </c>
      <c r="F1776" s="3">
        <v>22</v>
      </c>
      <c r="G1776" s="4">
        <v>44255</v>
      </c>
      <c r="I1776" s="1">
        <v>830</v>
      </c>
      <c r="J1776" s="1">
        <v>2000</v>
      </c>
    </row>
    <row r="1777" spans="2:18">
      <c r="G1777" s="4"/>
    </row>
    <row r="1778" spans="2:18" s="12" customFormat="1">
      <c r="B1778" s="12" t="s">
        <v>696</v>
      </c>
      <c r="C1778" s="13" t="s">
        <v>969</v>
      </c>
      <c r="D1778" s="13" t="s">
        <v>968</v>
      </c>
      <c r="E1778" s="15"/>
      <c r="F1778" s="15">
        <f>SUM(F1779:F1788)</f>
        <v>44.391666666666673</v>
      </c>
      <c r="G1778" s="14">
        <f>G1780</f>
        <v>44663</v>
      </c>
      <c r="M1778" s="13"/>
      <c r="N1778" s="13"/>
      <c r="O1778" s="13"/>
      <c r="P1778" s="13"/>
      <c r="Q1778" s="13"/>
      <c r="R1778" s="13"/>
    </row>
    <row r="1779" spans="2:18">
      <c r="C1779" s="2" t="s">
        <v>5</v>
      </c>
      <c r="D1779" s="2" t="s">
        <v>695</v>
      </c>
      <c r="E1779" s="3">
        <v>20</v>
      </c>
      <c r="F1779" s="3">
        <v>2.5</v>
      </c>
      <c r="G1779" s="4">
        <v>44392</v>
      </c>
    </row>
    <row r="1780" spans="2:18">
      <c r="C1780" s="2" t="s">
        <v>18</v>
      </c>
      <c r="D1780" s="2" t="s">
        <v>599</v>
      </c>
      <c r="E1780" s="3">
        <v>125</v>
      </c>
      <c r="F1780" s="3">
        <f>75/8</f>
        <v>9.375</v>
      </c>
      <c r="G1780" s="4">
        <v>44663</v>
      </c>
    </row>
    <row r="1781" spans="2:18">
      <c r="C1781" s="2" t="s">
        <v>5</v>
      </c>
      <c r="D1781" s="2" t="s">
        <v>599</v>
      </c>
      <c r="E1781" s="3">
        <v>26</v>
      </c>
      <c r="F1781" s="3">
        <f>16/4</f>
        <v>4</v>
      </c>
      <c r="G1781" s="4">
        <v>43809</v>
      </c>
    </row>
    <row r="1782" spans="2:18">
      <c r="C1782" s="2" t="s">
        <v>5</v>
      </c>
      <c r="D1782" s="2" t="s">
        <v>599</v>
      </c>
      <c r="E1782" s="3">
        <v>8</v>
      </c>
      <c r="F1782" s="3">
        <v>2</v>
      </c>
      <c r="G1782" s="4">
        <v>43249</v>
      </c>
    </row>
    <row r="1783" spans="2:18">
      <c r="C1783" s="55" t="s">
        <v>8</v>
      </c>
      <c r="D1783" s="55" t="s">
        <v>2112</v>
      </c>
      <c r="E1783" s="3">
        <v>72.5</v>
      </c>
      <c r="F1783" s="3">
        <v>11</v>
      </c>
      <c r="G1783" s="4">
        <v>43697</v>
      </c>
      <c r="J1783" s="1">
        <v>1600</v>
      </c>
    </row>
    <row r="1784" spans="2:18">
      <c r="C1784" s="55" t="s">
        <v>18</v>
      </c>
      <c r="D1784" s="55" t="s">
        <v>2112</v>
      </c>
      <c r="E1784" s="3">
        <v>40</v>
      </c>
      <c r="F1784" s="3">
        <v>5</v>
      </c>
      <c r="G1784" s="4">
        <v>43069</v>
      </c>
      <c r="J1784" s="1">
        <v>1600</v>
      </c>
    </row>
    <row r="1785" spans="2:18">
      <c r="C1785" s="55" t="s">
        <v>7</v>
      </c>
      <c r="D1785" s="55" t="s">
        <v>2112</v>
      </c>
      <c r="E1785" s="3">
        <v>20</v>
      </c>
      <c r="F1785" s="3">
        <f>13/3</f>
        <v>4.333333333333333</v>
      </c>
      <c r="G1785" s="4">
        <v>42317</v>
      </c>
      <c r="J1785" s="1">
        <v>1600</v>
      </c>
    </row>
    <row r="1786" spans="2:18">
      <c r="C1786" s="55" t="s">
        <v>5</v>
      </c>
      <c r="D1786" s="55" t="s">
        <v>2112</v>
      </c>
      <c r="E1786" s="3">
        <v>8.9</v>
      </c>
      <c r="F1786" s="3">
        <f>E1786/6</f>
        <v>1.4833333333333334</v>
      </c>
      <c r="G1786" s="4">
        <v>41839</v>
      </c>
      <c r="J1786" s="1">
        <v>1600</v>
      </c>
    </row>
    <row r="1787" spans="2:18">
      <c r="C1787" s="55" t="s">
        <v>4</v>
      </c>
      <c r="D1787" s="55" t="s">
        <v>2112</v>
      </c>
      <c r="E1787" s="3">
        <v>3</v>
      </c>
      <c r="F1787" s="3">
        <v>3</v>
      </c>
      <c r="G1787" s="4">
        <v>41416</v>
      </c>
      <c r="J1787" s="1">
        <v>1600</v>
      </c>
    </row>
    <row r="1788" spans="2:18">
      <c r="C1788" s="55" t="s">
        <v>4</v>
      </c>
      <c r="D1788" s="55" t="s">
        <v>2112</v>
      </c>
      <c r="E1788" s="3">
        <v>1.7</v>
      </c>
      <c r="F1788" s="3">
        <v>1.7</v>
      </c>
      <c r="G1788" s="4">
        <v>41277</v>
      </c>
      <c r="J1788" s="1">
        <v>1600</v>
      </c>
    </row>
    <row r="1789" spans="2:18">
      <c r="G1789" s="4"/>
    </row>
    <row r="1790" spans="2:18" s="12" customFormat="1">
      <c r="B1790" s="12" t="s">
        <v>19</v>
      </c>
      <c r="C1790" s="13" t="s">
        <v>969</v>
      </c>
      <c r="D1790" s="13" t="s">
        <v>968</v>
      </c>
      <c r="E1790" s="15"/>
      <c r="F1790" s="15">
        <f>SUM(F1791:F1795)</f>
        <v>43.666666666666671</v>
      </c>
      <c r="G1790" s="14">
        <f>G1791</f>
        <v>44322</v>
      </c>
      <c r="M1790" s="13"/>
      <c r="N1790" s="13"/>
      <c r="O1790" s="13"/>
      <c r="P1790" s="13"/>
      <c r="Q1790" s="13"/>
      <c r="R1790" s="13"/>
    </row>
    <row r="1791" spans="2:18">
      <c r="C1791" s="2" t="s">
        <v>8</v>
      </c>
      <c r="D1791" s="2" t="s">
        <v>15</v>
      </c>
      <c r="E1791" s="3">
        <v>220</v>
      </c>
      <c r="F1791" s="3">
        <v>26.666666666666668</v>
      </c>
      <c r="G1791" s="4">
        <v>44322</v>
      </c>
      <c r="I1791" s="1">
        <v>780</v>
      </c>
      <c r="J1791" s="1">
        <v>780</v>
      </c>
    </row>
    <row r="1792" spans="2:18">
      <c r="C1792" s="2" t="s">
        <v>18</v>
      </c>
      <c r="D1792" s="2" t="s">
        <v>15</v>
      </c>
      <c r="E1792" s="3">
        <v>60</v>
      </c>
      <c r="F1792" s="3">
        <v>10</v>
      </c>
      <c r="G1792" s="4">
        <v>43528</v>
      </c>
    </row>
    <row r="1793" spans="2:18">
      <c r="C1793" s="2" t="s">
        <v>7</v>
      </c>
      <c r="D1793" s="2" t="s">
        <v>15</v>
      </c>
      <c r="E1793" s="3">
        <v>28</v>
      </c>
      <c r="F1793" s="3">
        <v>4</v>
      </c>
      <c r="G1793" s="4">
        <v>43031</v>
      </c>
    </row>
    <row r="1794" spans="2:18">
      <c r="C1794" s="2" t="s">
        <v>5</v>
      </c>
      <c r="D1794" s="2" t="s">
        <v>15</v>
      </c>
      <c r="E1794" s="3">
        <v>10</v>
      </c>
      <c r="F1794" s="3">
        <v>2</v>
      </c>
      <c r="G1794" s="4">
        <v>42508</v>
      </c>
    </row>
    <row r="1795" spans="2:18">
      <c r="C1795" s="2" t="s">
        <v>4</v>
      </c>
      <c r="D1795" s="2" t="s">
        <v>15</v>
      </c>
      <c r="E1795" s="3">
        <v>1.8</v>
      </c>
      <c r="F1795" s="3">
        <v>1</v>
      </c>
      <c r="G1795" s="4">
        <v>41976</v>
      </c>
    </row>
    <row r="1796" spans="2:18">
      <c r="G1796" s="4"/>
    </row>
    <row r="1797" spans="2:18" s="12" customFormat="1">
      <c r="B1797" s="12" t="s">
        <v>1053</v>
      </c>
      <c r="C1797" s="13" t="s">
        <v>969</v>
      </c>
      <c r="D1797" s="13" t="s">
        <v>968</v>
      </c>
      <c r="E1797" s="15"/>
      <c r="F1797" s="15">
        <f>SUM(F1798:F1808)</f>
        <v>43.916666666666664</v>
      </c>
      <c r="G1797" s="14">
        <f>G1798</f>
        <v>45048</v>
      </c>
      <c r="M1797" s="13"/>
      <c r="N1797" s="13"/>
      <c r="O1797" s="13"/>
      <c r="P1797" s="13"/>
      <c r="Q1797" s="13"/>
      <c r="R1797" s="13"/>
    </row>
    <row r="1798" spans="2:18">
      <c r="B1798" s="253" t="s">
        <v>7632</v>
      </c>
      <c r="C1798" s="2" t="s">
        <v>4</v>
      </c>
      <c r="D1798" s="2" t="s">
        <v>562</v>
      </c>
      <c r="E1798" s="3">
        <v>5.6</v>
      </c>
      <c r="F1798" s="3">
        <f>E1798/3</f>
        <v>1.8666666666666665</v>
      </c>
      <c r="G1798" s="4">
        <v>45048</v>
      </c>
    </row>
    <row r="1799" spans="2:18">
      <c r="C1799" s="2" t="s">
        <v>4</v>
      </c>
      <c r="D1799" s="2" t="s">
        <v>516</v>
      </c>
      <c r="E1799" s="3">
        <v>4</v>
      </c>
      <c r="F1799" s="3">
        <f>4/3</f>
        <v>1.3333333333333333</v>
      </c>
      <c r="G1799" s="4">
        <v>42647</v>
      </c>
    </row>
    <row r="1800" spans="2:18">
      <c r="C1800" s="2" t="s">
        <v>18</v>
      </c>
      <c r="D1800" s="2" t="s">
        <v>310</v>
      </c>
      <c r="E1800" s="3">
        <v>110</v>
      </c>
      <c r="F1800" s="3">
        <v>14</v>
      </c>
      <c r="G1800" s="4">
        <v>44369</v>
      </c>
    </row>
    <row r="1801" spans="2:18">
      <c r="C1801" s="2" t="s">
        <v>7</v>
      </c>
      <c r="D1801" s="2" t="s">
        <v>310</v>
      </c>
      <c r="E1801" s="3">
        <v>40</v>
      </c>
      <c r="F1801" s="3">
        <v>4</v>
      </c>
      <c r="G1801" s="4">
        <v>43419</v>
      </c>
    </row>
    <row r="1802" spans="2:18">
      <c r="C1802" s="2" t="s">
        <v>5</v>
      </c>
      <c r="D1802" s="2" t="s">
        <v>310</v>
      </c>
      <c r="E1802" s="3">
        <v>14.7</v>
      </c>
      <c r="F1802" s="3">
        <v>5.7</v>
      </c>
      <c r="G1802" s="4">
        <v>43032</v>
      </c>
    </row>
    <row r="1803" spans="2:18">
      <c r="C1803" s="2" t="s">
        <v>5</v>
      </c>
      <c r="D1803" s="2" t="s">
        <v>95</v>
      </c>
      <c r="E1803" s="3">
        <v>10</v>
      </c>
      <c r="F1803" s="3">
        <v>2.5</v>
      </c>
      <c r="G1803" s="4">
        <v>42304</v>
      </c>
    </row>
    <row r="1804" spans="2:18">
      <c r="C1804" s="2" t="s">
        <v>4</v>
      </c>
      <c r="D1804" s="2" t="s">
        <v>95</v>
      </c>
      <c r="E1804" s="3">
        <v>5</v>
      </c>
      <c r="F1804" s="3">
        <f>E1804/3</f>
        <v>1.6666666666666667</v>
      </c>
      <c r="G1804" s="4">
        <v>41940</v>
      </c>
    </row>
    <row r="1805" spans="2:18">
      <c r="C1805" s="92" t="s">
        <v>7</v>
      </c>
      <c r="D1805" s="92" t="s">
        <v>5990</v>
      </c>
      <c r="E1805" s="3">
        <v>50</v>
      </c>
      <c r="F1805" s="3">
        <v>7</v>
      </c>
      <c r="G1805" s="4">
        <v>44670</v>
      </c>
      <c r="J1805" s="1">
        <v>250</v>
      </c>
    </row>
    <row r="1806" spans="2:18">
      <c r="C1806" s="92" t="s">
        <v>5</v>
      </c>
      <c r="D1806" s="92" t="s">
        <v>5990</v>
      </c>
      <c r="E1806" s="3">
        <v>12</v>
      </c>
      <c r="F1806" s="3">
        <v>2</v>
      </c>
      <c r="G1806" s="4">
        <v>43941</v>
      </c>
      <c r="J1806" s="1">
        <v>250</v>
      </c>
    </row>
    <row r="1807" spans="2:18">
      <c r="C1807" s="92" t="s">
        <v>4</v>
      </c>
      <c r="D1807" s="92" t="s">
        <v>5990</v>
      </c>
      <c r="E1807" s="3">
        <v>4.2</v>
      </c>
      <c r="F1807" s="3">
        <v>3.2</v>
      </c>
      <c r="G1807" s="4">
        <v>43525</v>
      </c>
      <c r="J1807" s="1">
        <v>250</v>
      </c>
    </row>
    <row r="1808" spans="2:18">
      <c r="C1808" s="92" t="s">
        <v>278</v>
      </c>
      <c r="D1808" s="92" t="s">
        <v>5990</v>
      </c>
      <c r="E1808" s="3">
        <v>0.65</v>
      </c>
      <c r="F1808" s="94">
        <v>0.65</v>
      </c>
      <c r="G1808" s="4">
        <v>42978</v>
      </c>
      <c r="J1808" s="1">
        <v>250</v>
      </c>
    </row>
    <row r="1809" spans="2:18">
      <c r="G1809" s="4"/>
    </row>
    <row r="1810" spans="2:18" s="12" customFormat="1">
      <c r="B1810" s="12" t="s">
        <v>876</v>
      </c>
      <c r="C1810" s="13" t="s">
        <v>969</v>
      </c>
      <c r="D1810" s="13" t="s">
        <v>968</v>
      </c>
      <c r="E1810" s="15"/>
      <c r="F1810" s="15">
        <f>SUM(F1811:F1814)</f>
        <v>42.333333333333336</v>
      </c>
      <c r="G1810" s="14">
        <f>G1811</f>
        <v>44825</v>
      </c>
      <c r="M1810" s="13"/>
      <c r="N1810" s="13"/>
      <c r="O1810" s="13"/>
      <c r="P1810" s="13"/>
      <c r="Q1810" s="13"/>
      <c r="R1810" s="13"/>
    </row>
    <row r="1811" spans="2:18">
      <c r="C1811" s="2" t="s">
        <v>5</v>
      </c>
      <c r="D1811" s="2" t="s">
        <v>644</v>
      </c>
      <c r="E1811" s="3">
        <v>12.5</v>
      </c>
      <c r="F1811" s="3">
        <f>E1811/3</f>
        <v>4.166666666666667</v>
      </c>
      <c r="G1811" s="4">
        <v>44825</v>
      </c>
    </row>
    <row r="1812" spans="2:18">
      <c r="C1812" s="92" t="s">
        <v>7</v>
      </c>
      <c r="D1812" s="92" t="s">
        <v>2101</v>
      </c>
      <c r="E1812" s="3">
        <v>56</v>
      </c>
      <c r="F1812" s="3">
        <v>8</v>
      </c>
      <c r="G1812" s="4">
        <v>44319</v>
      </c>
    </row>
    <row r="1813" spans="2:18">
      <c r="C1813" s="92" t="s">
        <v>5</v>
      </c>
      <c r="D1813" s="92" t="s">
        <v>2101</v>
      </c>
      <c r="E1813" s="3">
        <v>12.5</v>
      </c>
      <c r="F1813" s="3">
        <v>7.5</v>
      </c>
      <c r="G1813" s="4">
        <v>43453</v>
      </c>
    </row>
    <row r="1814" spans="2:18">
      <c r="C1814" s="265" t="s">
        <v>9</v>
      </c>
      <c r="D1814" s="265" t="s">
        <v>4882</v>
      </c>
      <c r="E1814" s="3">
        <v>118</v>
      </c>
      <c r="F1814" s="3">
        <f>68/3</f>
        <v>22.666666666666668</v>
      </c>
      <c r="G1814" s="4">
        <v>45265</v>
      </c>
    </row>
    <row r="1815" spans="2:18">
      <c r="G1815" s="4"/>
    </row>
    <row r="1816" spans="2:18" s="12" customFormat="1">
      <c r="B1816" s="12" t="s">
        <v>1059</v>
      </c>
      <c r="C1816" s="13" t="s">
        <v>969</v>
      </c>
      <c r="D1816" s="13" t="s">
        <v>968</v>
      </c>
      <c r="E1816" s="15"/>
      <c r="F1816" s="15">
        <f>SUM(F1817:F1827)</f>
        <v>42.360606060606067</v>
      </c>
      <c r="G1816" s="14">
        <f>G1817</f>
        <v>44642</v>
      </c>
      <c r="M1816" s="13"/>
      <c r="N1816" s="13"/>
      <c r="O1816" s="13"/>
      <c r="P1816" s="13"/>
      <c r="Q1816" s="13"/>
      <c r="R1816" s="13"/>
    </row>
    <row r="1817" spans="2:18">
      <c r="B1817" s="253" t="s">
        <v>7632</v>
      </c>
      <c r="C1817" s="2" t="s">
        <v>7</v>
      </c>
      <c r="D1817" s="2" t="s">
        <v>87</v>
      </c>
      <c r="E1817" s="3">
        <v>25</v>
      </c>
      <c r="F1817" s="3">
        <f>15/6</f>
        <v>2.5</v>
      </c>
      <c r="G1817" s="4">
        <v>44642</v>
      </c>
    </row>
    <row r="1818" spans="2:18">
      <c r="C1818" s="2" t="s">
        <v>5</v>
      </c>
      <c r="D1818" s="2" t="s">
        <v>87</v>
      </c>
      <c r="E1818" s="3">
        <v>13.5</v>
      </c>
      <c r="F1818" s="3">
        <f>10/6</f>
        <v>1.6666666666666667</v>
      </c>
      <c r="G1818" s="4">
        <v>43978</v>
      </c>
    </row>
    <row r="1819" spans="2:18">
      <c r="C1819" s="2" t="s">
        <v>4</v>
      </c>
      <c r="D1819" s="2" t="s">
        <v>87</v>
      </c>
      <c r="E1819" s="3">
        <v>5.3</v>
      </c>
      <c r="F1819" s="3">
        <v>1.3</v>
      </c>
      <c r="G1819" s="4">
        <v>43398</v>
      </c>
    </row>
    <row r="1820" spans="2:18">
      <c r="C1820" s="2" t="s">
        <v>4</v>
      </c>
      <c r="D1820" s="2" t="s">
        <v>87</v>
      </c>
      <c r="E1820" s="3">
        <v>4</v>
      </c>
      <c r="F1820" s="3">
        <v>1.5</v>
      </c>
      <c r="G1820" s="4">
        <v>43122</v>
      </c>
    </row>
    <row r="1821" spans="2:18">
      <c r="C1821" s="2" t="s">
        <v>9</v>
      </c>
      <c r="D1821" s="2" t="s">
        <v>22</v>
      </c>
      <c r="E1821" s="3">
        <v>222</v>
      </c>
      <c r="F1821" s="3">
        <f>200/21</f>
        <v>9.5238095238095237</v>
      </c>
      <c r="G1821" s="4">
        <v>44194</v>
      </c>
      <c r="I1821" s="1">
        <v>2500</v>
      </c>
      <c r="J1821" s="1">
        <v>2500</v>
      </c>
    </row>
    <row r="1822" spans="2:18">
      <c r="C1822" s="2" t="s">
        <v>8</v>
      </c>
      <c r="D1822" s="2" t="s">
        <v>22</v>
      </c>
      <c r="E1822" s="3">
        <v>200</v>
      </c>
      <c r="F1822" s="3">
        <v>12.727272727272727</v>
      </c>
      <c r="G1822" s="4">
        <v>43452</v>
      </c>
      <c r="I1822" s="1">
        <v>1500</v>
      </c>
      <c r="J1822" s="1">
        <v>2500</v>
      </c>
    </row>
    <row r="1823" spans="2:18">
      <c r="C1823" s="2" t="s">
        <v>18</v>
      </c>
      <c r="D1823" s="2" t="s">
        <v>22</v>
      </c>
      <c r="E1823" s="3">
        <v>50</v>
      </c>
      <c r="F1823" s="3">
        <v>5</v>
      </c>
      <c r="G1823" s="4">
        <v>43051</v>
      </c>
      <c r="J1823" s="1">
        <v>2500</v>
      </c>
    </row>
    <row r="1824" spans="2:18">
      <c r="C1824" s="2" t="s">
        <v>7</v>
      </c>
      <c r="D1824" s="2" t="s">
        <v>22</v>
      </c>
      <c r="E1824" s="3">
        <v>30</v>
      </c>
      <c r="F1824" s="3">
        <v>3.1428571428571428</v>
      </c>
      <c r="G1824" s="4">
        <v>42936</v>
      </c>
      <c r="J1824" s="1">
        <v>2500</v>
      </c>
    </row>
    <row r="1825" spans="2:18">
      <c r="C1825" s="2" t="s">
        <v>5</v>
      </c>
      <c r="D1825" s="2" t="s">
        <v>22</v>
      </c>
      <c r="E1825" s="3">
        <v>30</v>
      </c>
      <c r="F1825" s="3">
        <v>3</v>
      </c>
      <c r="G1825" s="4">
        <v>42674</v>
      </c>
      <c r="J1825" s="1">
        <v>2500</v>
      </c>
    </row>
    <row r="1826" spans="2:18">
      <c r="C1826" s="2" t="s">
        <v>5</v>
      </c>
      <c r="D1826" s="2" t="s">
        <v>7295</v>
      </c>
      <c r="E1826" s="3">
        <v>3</v>
      </c>
      <c r="F1826" s="3">
        <v>1</v>
      </c>
      <c r="G1826" s="4">
        <v>43858</v>
      </c>
    </row>
    <row r="1827" spans="2:18">
      <c r="C1827" s="2" t="s">
        <v>4</v>
      </c>
      <c r="D1827" s="2" t="s">
        <v>7295</v>
      </c>
      <c r="E1827" s="3">
        <v>3</v>
      </c>
      <c r="F1827" s="3">
        <v>1</v>
      </c>
      <c r="G1827" s="4">
        <v>43361</v>
      </c>
    </row>
    <row r="1828" spans="2:18">
      <c r="G1828" s="4"/>
    </row>
    <row r="1829" spans="2:18" s="12" customFormat="1">
      <c r="B1829" s="12" t="s">
        <v>27</v>
      </c>
      <c r="C1829" s="13" t="s">
        <v>969</v>
      </c>
      <c r="D1829" s="13" t="s">
        <v>968</v>
      </c>
      <c r="E1829" s="15"/>
      <c r="F1829" s="15">
        <f>SUM(F1830:F1834)</f>
        <v>40.523809523809526</v>
      </c>
      <c r="G1829" s="14">
        <f>G1834</f>
        <v>44572</v>
      </c>
      <c r="M1829" s="13"/>
      <c r="N1829" s="13"/>
      <c r="O1829" s="13"/>
      <c r="P1829" s="13"/>
      <c r="Q1829" s="13"/>
      <c r="R1829" s="13"/>
    </row>
    <row r="1830" spans="2:18">
      <c r="C1830" s="2" t="s">
        <v>9</v>
      </c>
      <c r="D1830" s="2" t="s">
        <v>22</v>
      </c>
      <c r="E1830" s="3">
        <v>222</v>
      </c>
      <c r="F1830" s="3">
        <f>200/21</f>
        <v>9.5238095238095237</v>
      </c>
      <c r="G1830" s="4">
        <v>44194</v>
      </c>
      <c r="I1830" s="1">
        <v>2500</v>
      </c>
      <c r="J1830" s="1">
        <v>2500</v>
      </c>
    </row>
    <row r="1831" spans="2:18">
      <c r="C1831" s="2" t="s">
        <v>8</v>
      </c>
      <c r="D1831" s="2" t="s">
        <v>22</v>
      </c>
      <c r="E1831" s="3">
        <v>200</v>
      </c>
      <c r="F1831" s="3">
        <v>13</v>
      </c>
      <c r="G1831" s="4">
        <v>43452</v>
      </c>
      <c r="I1831" s="1">
        <v>1500</v>
      </c>
      <c r="J1831" s="1">
        <v>2500</v>
      </c>
    </row>
    <row r="1832" spans="2:18">
      <c r="C1832" s="2" t="s">
        <v>18</v>
      </c>
      <c r="D1832" s="2" t="s">
        <v>22</v>
      </c>
      <c r="E1832" s="3">
        <v>50</v>
      </c>
      <c r="F1832" s="3">
        <v>5</v>
      </c>
      <c r="G1832" s="4">
        <v>43051</v>
      </c>
      <c r="J1832" s="1">
        <v>2500</v>
      </c>
    </row>
    <row r="1833" spans="2:18">
      <c r="C1833" s="2" t="s">
        <v>7</v>
      </c>
      <c r="D1833" s="2" t="s">
        <v>22</v>
      </c>
      <c r="E1833" s="3">
        <v>30</v>
      </c>
      <c r="F1833" s="3">
        <v>3</v>
      </c>
      <c r="G1833" s="4">
        <v>42936</v>
      </c>
      <c r="J1833" s="1">
        <v>2500</v>
      </c>
    </row>
    <row r="1834" spans="2:18">
      <c r="C1834" s="153" t="s">
        <v>7</v>
      </c>
      <c r="D1834" s="153" t="s">
        <v>2034</v>
      </c>
      <c r="E1834" s="3">
        <v>25</v>
      </c>
      <c r="F1834" s="3">
        <v>10</v>
      </c>
      <c r="G1834" s="4">
        <v>44572</v>
      </c>
    </row>
    <row r="1835" spans="2:18">
      <c r="G1835" s="4"/>
    </row>
    <row r="1836" spans="2:18" s="12" customFormat="1">
      <c r="B1836" s="12" t="s">
        <v>4886</v>
      </c>
      <c r="C1836" s="13" t="s">
        <v>969</v>
      </c>
      <c r="D1836" s="13" t="s">
        <v>968</v>
      </c>
      <c r="E1836" s="15"/>
      <c r="F1836" s="15">
        <f>SUM(F1837:F1841)</f>
        <v>40.549999999999997</v>
      </c>
      <c r="G1836" s="14">
        <f>G1837</f>
        <v>44320</v>
      </c>
      <c r="M1836" s="13"/>
      <c r="N1836" s="13"/>
      <c r="O1836" s="13"/>
      <c r="P1836" s="13"/>
      <c r="Q1836" s="13"/>
      <c r="R1836" s="13"/>
    </row>
    <row r="1837" spans="2:18">
      <c r="B1837" s="51"/>
      <c r="C1837" s="52" t="s">
        <v>8</v>
      </c>
      <c r="D1837" s="52" t="s">
        <v>4882</v>
      </c>
      <c r="E1837" s="3">
        <v>83</v>
      </c>
      <c r="F1837" s="3">
        <f>68/10</f>
        <v>6.8</v>
      </c>
      <c r="G1837" s="4">
        <v>44320</v>
      </c>
      <c r="I1837" s="1">
        <v>3600</v>
      </c>
      <c r="J1837" s="1">
        <v>9000</v>
      </c>
    </row>
    <row r="1838" spans="2:18">
      <c r="C1838" s="52" t="s">
        <v>18</v>
      </c>
      <c r="D1838" s="52" t="s">
        <v>4882</v>
      </c>
      <c r="E1838" s="3">
        <v>100</v>
      </c>
      <c r="F1838" s="3">
        <f>80/8</f>
        <v>10</v>
      </c>
      <c r="G1838" s="4">
        <v>43937</v>
      </c>
      <c r="I1838" s="1">
        <v>1100</v>
      </c>
      <c r="J1838" s="1">
        <v>9000</v>
      </c>
    </row>
    <row r="1839" spans="2:18">
      <c r="C1839" s="52" t="s">
        <v>7</v>
      </c>
      <c r="D1839" s="52" t="s">
        <v>4882</v>
      </c>
      <c r="E1839" s="3">
        <v>40</v>
      </c>
      <c r="F1839" s="3">
        <v>10</v>
      </c>
      <c r="G1839" s="4">
        <v>43522</v>
      </c>
      <c r="J1839" s="1">
        <v>9000</v>
      </c>
    </row>
    <row r="1840" spans="2:18">
      <c r="C1840" s="52" t="s">
        <v>5</v>
      </c>
      <c r="D1840" s="52" t="s">
        <v>4882</v>
      </c>
      <c r="E1840" s="3">
        <v>25</v>
      </c>
      <c r="F1840" s="3">
        <f>E1840/4</f>
        <v>6.25</v>
      </c>
      <c r="G1840" s="4">
        <v>43172</v>
      </c>
      <c r="J1840" s="1">
        <v>9000</v>
      </c>
    </row>
    <row r="1841" spans="2:18">
      <c r="C1841" s="52" t="s">
        <v>5</v>
      </c>
      <c r="D1841" s="52" t="s">
        <v>4882</v>
      </c>
      <c r="E1841" s="3">
        <v>15</v>
      </c>
      <c r="F1841" s="3">
        <f>E1841/2</f>
        <v>7.5</v>
      </c>
      <c r="G1841" s="4">
        <v>42371</v>
      </c>
      <c r="J1841" s="1">
        <v>9000</v>
      </c>
    </row>
    <row r="1843" spans="2:18" s="12" customFormat="1">
      <c r="B1843" s="12" t="s">
        <v>1060</v>
      </c>
      <c r="C1843" s="13" t="s">
        <v>969</v>
      </c>
      <c r="D1843" s="13" t="s">
        <v>968</v>
      </c>
      <c r="E1843" s="15"/>
      <c r="F1843" s="15">
        <f>SUM(F1844:F1846)</f>
        <v>39.625</v>
      </c>
      <c r="G1843" s="14">
        <f>G1844</f>
        <v>44999</v>
      </c>
      <c r="M1843" s="13"/>
      <c r="N1843" s="13"/>
      <c r="O1843" s="13"/>
      <c r="P1843" s="13"/>
      <c r="Q1843" s="13"/>
      <c r="R1843" s="13"/>
    </row>
    <row r="1844" spans="2:18">
      <c r="C1844" s="2" t="s">
        <v>7</v>
      </c>
      <c r="D1844" s="2" t="s">
        <v>949</v>
      </c>
      <c r="E1844" s="3">
        <v>350</v>
      </c>
      <c r="F1844" s="3">
        <v>20</v>
      </c>
      <c r="G1844" s="4">
        <v>44999</v>
      </c>
    </row>
    <row r="1845" spans="2:18">
      <c r="C1845" s="2" t="s">
        <v>8</v>
      </c>
      <c r="D1845" s="2" t="s">
        <v>258</v>
      </c>
      <c r="E1845" s="3">
        <v>111</v>
      </c>
      <c r="F1845" s="3">
        <v>14</v>
      </c>
      <c r="G1845" s="4">
        <v>44622</v>
      </c>
    </row>
    <row r="1846" spans="2:18">
      <c r="C1846" s="2" t="s">
        <v>18</v>
      </c>
      <c r="D1846" s="2" t="s">
        <v>258</v>
      </c>
      <c r="E1846" s="3">
        <v>55</v>
      </c>
      <c r="F1846" s="3">
        <v>5.625</v>
      </c>
      <c r="G1846" s="4">
        <v>44314</v>
      </c>
    </row>
    <row r="1847" spans="2:18">
      <c r="G1847" s="4"/>
    </row>
    <row r="1848" spans="2:18" s="12" customFormat="1">
      <c r="B1848" s="12" t="s">
        <v>6693</v>
      </c>
      <c r="C1848" s="13" t="s">
        <v>969</v>
      </c>
      <c r="D1848" s="13" t="s">
        <v>968</v>
      </c>
      <c r="E1848" s="15"/>
      <c r="F1848" s="15">
        <f>SUM(F1849:F1850)</f>
        <v>39.523809523809526</v>
      </c>
      <c r="G1848" s="14">
        <f>G1849</f>
        <v>44194</v>
      </c>
      <c r="M1848" s="13"/>
      <c r="N1848" s="13"/>
      <c r="O1848" s="13"/>
      <c r="P1848" s="13"/>
      <c r="Q1848" s="13"/>
      <c r="R1848" s="13"/>
    </row>
    <row r="1849" spans="2:18">
      <c r="B1849" s="176"/>
      <c r="C1849" s="2" t="s">
        <v>9</v>
      </c>
      <c r="D1849" s="2" t="s">
        <v>22</v>
      </c>
      <c r="E1849" s="3">
        <v>222</v>
      </c>
      <c r="F1849" s="3">
        <f>200/21</f>
        <v>9.5238095238095237</v>
      </c>
      <c r="G1849" s="4">
        <v>44194</v>
      </c>
      <c r="I1849" s="1">
        <v>2500</v>
      </c>
      <c r="J1849" s="1">
        <v>2500</v>
      </c>
    </row>
    <row r="1850" spans="2:18">
      <c r="C1850" s="2" t="s">
        <v>8</v>
      </c>
      <c r="D1850" s="2" t="s">
        <v>22</v>
      </c>
      <c r="E1850" s="3">
        <v>200</v>
      </c>
      <c r="F1850" s="3">
        <v>30</v>
      </c>
      <c r="G1850" s="4">
        <v>43452</v>
      </c>
      <c r="I1850" s="1">
        <v>1500</v>
      </c>
      <c r="J1850" s="1">
        <v>2500</v>
      </c>
    </row>
    <row r="1852" spans="2:18" s="12" customFormat="1">
      <c r="B1852" s="12" t="s">
        <v>866</v>
      </c>
      <c r="C1852" s="13" t="s">
        <v>969</v>
      </c>
      <c r="D1852" s="13" t="s">
        <v>968</v>
      </c>
      <c r="E1852" s="15"/>
      <c r="F1852" s="15">
        <f>SUM(F1853:F1859)</f>
        <v>39.952380952380956</v>
      </c>
      <c r="G1852" s="14">
        <f>G1853</f>
        <v>44378</v>
      </c>
      <c r="M1852" s="13"/>
      <c r="N1852" s="13"/>
      <c r="O1852" s="13"/>
      <c r="P1852" s="13"/>
      <c r="Q1852" s="13"/>
      <c r="R1852" s="13"/>
    </row>
    <row r="1853" spans="2:18">
      <c r="C1853" s="2" t="s">
        <v>5</v>
      </c>
      <c r="D1853" s="2" t="s">
        <v>864</v>
      </c>
      <c r="E1853" s="3">
        <v>10</v>
      </c>
      <c r="F1853" s="3">
        <v>3</v>
      </c>
      <c r="G1853" s="4">
        <v>44378</v>
      </c>
    </row>
    <row r="1854" spans="2:18">
      <c r="C1854" s="2" t="s">
        <v>5</v>
      </c>
      <c r="D1854" s="2" t="s">
        <v>197</v>
      </c>
      <c r="E1854" s="3">
        <v>5</v>
      </c>
      <c r="F1854" s="3">
        <f>E1854/3</f>
        <v>1.6666666666666667</v>
      </c>
      <c r="G1854" s="4">
        <v>42688</v>
      </c>
    </row>
    <row r="1855" spans="2:18">
      <c r="C1855" s="2" t="s">
        <v>7</v>
      </c>
      <c r="D1855" s="2" t="s">
        <v>80</v>
      </c>
      <c r="E1855" s="3">
        <v>100</v>
      </c>
      <c r="F1855" s="3">
        <v>20</v>
      </c>
      <c r="G1855" s="4">
        <v>43958</v>
      </c>
    </row>
    <row r="1856" spans="2:18">
      <c r="C1856" s="2" t="s">
        <v>4</v>
      </c>
      <c r="D1856" s="2" t="s">
        <v>80</v>
      </c>
      <c r="E1856" s="3">
        <v>49</v>
      </c>
      <c r="F1856" s="3">
        <v>7.5</v>
      </c>
      <c r="G1856" s="4">
        <v>43319</v>
      </c>
    </row>
    <row r="1857" spans="2:19">
      <c r="C1857" s="2" t="s">
        <v>278</v>
      </c>
      <c r="D1857" s="2" t="s">
        <v>80</v>
      </c>
      <c r="E1857" s="3">
        <f>9.5/7</f>
        <v>1.3571428571428572</v>
      </c>
      <c r="F1857" s="3">
        <f>+E1857</f>
        <v>1.3571428571428572</v>
      </c>
      <c r="G1857" s="4">
        <v>43185</v>
      </c>
    </row>
    <row r="1858" spans="2:19">
      <c r="C1858" s="2" t="s">
        <v>5</v>
      </c>
      <c r="D1858" s="2" t="s">
        <v>64</v>
      </c>
      <c r="E1858" s="3">
        <v>50</v>
      </c>
      <c r="F1858" s="3">
        <f>20/4</f>
        <v>5</v>
      </c>
      <c r="G1858" s="4">
        <v>44165</v>
      </c>
    </row>
    <row r="1859" spans="2:19">
      <c r="C1859" s="153" t="s">
        <v>5</v>
      </c>
      <c r="D1859" s="153" t="s">
        <v>2039</v>
      </c>
      <c r="E1859" s="3">
        <v>18</v>
      </c>
      <c r="F1859" s="3">
        <f>10/7</f>
        <v>1.4285714285714286</v>
      </c>
      <c r="G1859" s="4">
        <v>43445</v>
      </c>
    </row>
    <row r="1860" spans="2:19">
      <c r="G1860" s="4"/>
    </row>
    <row r="1861" spans="2:19" s="12" customFormat="1">
      <c r="B1861" s="12" t="s">
        <v>4852</v>
      </c>
      <c r="C1861" s="13" t="s">
        <v>969</v>
      </c>
      <c r="D1861" s="13" t="s">
        <v>968</v>
      </c>
      <c r="E1861" s="15"/>
      <c r="F1861" s="15">
        <f>SUM(F1862:F1863)</f>
        <v>39</v>
      </c>
      <c r="G1861" s="14">
        <f>G1862</f>
        <v>43348</v>
      </c>
      <c r="M1861" s="13"/>
      <c r="N1861" s="13"/>
      <c r="O1861" s="13"/>
      <c r="P1861" s="13"/>
      <c r="Q1861" s="13"/>
      <c r="R1861" s="13"/>
      <c r="S1861" s="12" t="s">
        <v>4868</v>
      </c>
    </row>
    <row r="1862" spans="2:19">
      <c r="B1862" s="51"/>
      <c r="C1862" s="52" t="s">
        <v>5</v>
      </c>
      <c r="D1862" s="52" t="s">
        <v>2118</v>
      </c>
      <c r="E1862" s="3">
        <v>52.3</v>
      </c>
      <c r="F1862" s="3">
        <v>30</v>
      </c>
      <c r="G1862" s="4">
        <v>43348</v>
      </c>
      <c r="J1862" s="1">
        <v>700</v>
      </c>
    </row>
    <row r="1863" spans="2:19">
      <c r="B1863" s="51"/>
      <c r="C1863" s="52" t="s">
        <v>4</v>
      </c>
      <c r="D1863" s="52" t="s">
        <v>2118</v>
      </c>
      <c r="E1863" s="3">
        <v>10.3</v>
      </c>
      <c r="F1863" s="3">
        <v>9</v>
      </c>
      <c r="G1863" s="4">
        <v>42846</v>
      </c>
      <c r="J1863" s="1">
        <v>700</v>
      </c>
    </row>
    <row r="1864" spans="2:19">
      <c r="B1864" s="51"/>
      <c r="C1864" s="52"/>
      <c r="D1864" s="52"/>
      <c r="G1864" s="4"/>
    </row>
    <row r="1865" spans="2:19" s="12" customFormat="1">
      <c r="B1865" s="12" t="s">
        <v>1058</v>
      </c>
      <c r="C1865" s="13" t="s">
        <v>969</v>
      </c>
      <c r="D1865" s="13" t="s">
        <v>968</v>
      </c>
      <c r="E1865" s="15"/>
      <c r="F1865" s="15">
        <f>SUM(F1866:F1870)</f>
        <v>38.4</v>
      </c>
      <c r="G1865" s="14">
        <f>G1866</f>
        <v>44698</v>
      </c>
      <c r="M1865" s="13"/>
      <c r="N1865" s="13"/>
      <c r="O1865" s="13"/>
      <c r="P1865" s="13"/>
      <c r="Q1865" s="13"/>
      <c r="R1865" s="13"/>
    </row>
    <row r="1866" spans="2:19">
      <c r="C1866" s="2" t="s">
        <v>5</v>
      </c>
      <c r="D1866" s="2" t="s">
        <v>773</v>
      </c>
      <c r="E1866" s="3">
        <v>12.8</v>
      </c>
      <c r="F1866" s="3">
        <v>6.8</v>
      </c>
      <c r="G1866" s="4">
        <v>44698</v>
      </c>
    </row>
    <row r="1867" spans="2:19">
      <c r="C1867" s="2" t="s">
        <v>5</v>
      </c>
      <c r="D1867" s="2" t="s">
        <v>542</v>
      </c>
      <c r="E1867" s="3">
        <v>14</v>
      </c>
      <c r="F1867" s="3">
        <f>8/5</f>
        <v>1.6</v>
      </c>
      <c r="G1867" s="4">
        <v>44447</v>
      </c>
    </row>
    <row r="1868" spans="2:19">
      <c r="C1868" s="2" t="s">
        <v>5</v>
      </c>
      <c r="D1868" s="2" t="s">
        <v>542</v>
      </c>
      <c r="E1868" s="3">
        <v>12</v>
      </c>
      <c r="F1868" s="3">
        <f>8/4</f>
        <v>2</v>
      </c>
      <c r="G1868" s="4">
        <v>43532</v>
      </c>
    </row>
    <row r="1869" spans="2:19">
      <c r="C1869" s="2" t="s">
        <v>9</v>
      </c>
      <c r="D1869" s="2" t="s">
        <v>489</v>
      </c>
      <c r="E1869" s="3">
        <v>206</v>
      </c>
      <c r="F1869" s="3">
        <v>14</v>
      </c>
      <c r="G1869" s="4">
        <v>43725</v>
      </c>
    </row>
    <row r="1870" spans="2:19">
      <c r="C1870" s="2" t="s">
        <v>18</v>
      </c>
      <c r="D1870" s="2" t="s">
        <v>310</v>
      </c>
      <c r="E1870" s="3">
        <v>110</v>
      </c>
      <c r="F1870" s="3">
        <v>14</v>
      </c>
      <c r="G1870" s="4">
        <v>44369</v>
      </c>
    </row>
    <row r="1871" spans="2:19">
      <c r="G1871" s="4"/>
    </row>
    <row r="1872" spans="2:19" s="12" customFormat="1">
      <c r="B1872" s="12" t="s">
        <v>1057</v>
      </c>
      <c r="C1872" s="13" t="s">
        <v>969</v>
      </c>
      <c r="D1872" s="13" t="s">
        <v>968</v>
      </c>
      <c r="E1872" s="15"/>
      <c r="F1872" s="15">
        <f>SUM(F1873:F1874)</f>
        <v>38</v>
      </c>
      <c r="G1872" s="14">
        <f>G1873</f>
        <v>44812</v>
      </c>
      <c r="M1872" s="13"/>
      <c r="N1872" s="13"/>
      <c r="O1872" s="13"/>
      <c r="P1872" s="13"/>
      <c r="Q1872" s="13"/>
      <c r="R1872" s="13"/>
    </row>
    <row r="1873" spans="2:18">
      <c r="C1873" s="2" t="s">
        <v>7</v>
      </c>
      <c r="D1873" s="2" t="s">
        <v>984</v>
      </c>
      <c r="E1873" s="3">
        <v>38</v>
      </c>
      <c r="F1873" s="3">
        <v>18</v>
      </c>
      <c r="G1873" s="4">
        <v>44812</v>
      </c>
    </row>
    <row r="1874" spans="2:18">
      <c r="C1874" s="2" t="s">
        <v>18</v>
      </c>
      <c r="D1874" s="2" t="s">
        <v>1056</v>
      </c>
      <c r="E1874" s="3">
        <v>40</v>
      </c>
      <c r="F1874" s="3">
        <v>20</v>
      </c>
      <c r="G1874" s="4">
        <v>44599</v>
      </c>
    </row>
    <row r="1875" spans="2:18">
      <c r="G1875" s="4"/>
    </row>
    <row r="1876" spans="2:18" s="12" customFormat="1">
      <c r="B1876" s="12" t="s">
        <v>200</v>
      </c>
      <c r="C1876" s="13" t="s">
        <v>969</v>
      </c>
      <c r="D1876" s="13" t="s">
        <v>968</v>
      </c>
      <c r="E1876" s="15"/>
      <c r="F1876" s="15">
        <f>SUM(F1877:F1878)</f>
        <v>38</v>
      </c>
      <c r="G1876" s="14">
        <f>G1877</f>
        <v>43391</v>
      </c>
      <c r="M1876" s="13"/>
      <c r="N1876" s="13"/>
      <c r="O1876" s="13"/>
      <c r="P1876" s="13"/>
      <c r="Q1876" s="13"/>
      <c r="R1876" s="13"/>
    </row>
    <row r="1877" spans="2:18">
      <c r="C1877" s="2" t="s">
        <v>7</v>
      </c>
      <c r="D1877" s="2" t="s">
        <v>197</v>
      </c>
      <c r="E1877" s="3">
        <v>120</v>
      </c>
      <c r="F1877" s="3">
        <v>30</v>
      </c>
      <c r="G1877" s="4">
        <v>43391</v>
      </c>
    </row>
    <row r="1878" spans="2:18">
      <c r="C1878" s="2" t="s">
        <v>5</v>
      </c>
      <c r="D1878" s="2" t="s">
        <v>161</v>
      </c>
      <c r="E1878" s="3">
        <v>102</v>
      </c>
      <c r="F1878" s="3">
        <v>8</v>
      </c>
      <c r="G1878" s="4">
        <v>43292</v>
      </c>
      <c r="J1878" s="1">
        <v>8400</v>
      </c>
    </row>
    <row r="1879" spans="2:18">
      <c r="G1879" s="4"/>
    </row>
    <row r="1880" spans="2:18" s="12" customFormat="1">
      <c r="B1880" s="12" t="s">
        <v>7892</v>
      </c>
      <c r="C1880" s="13" t="s">
        <v>969</v>
      </c>
      <c r="D1880" s="13" t="s">
        <v>968</v>
      </c>
      <c r="E1880" s="15"/>
      <c r="F1880" s="15">
        <f>SUM(F1881:F1882)</f>
        <v>37.838095238095235</v>
      </c>
      <c r="G1880" s="14">
        <f>G1882</f>
        <v>45183</v>
      </c>
      <c r="M1880" s="13"/>
      <c r="N1880" s="13"/>
      <c r="O1880" s="13"/>
      <c r="P1880" s="13"/>
      <c r="Q1880" s="13"/>
      <c r="R1880" s="13"/>
    </row>
    <row r="1881" spans="2:18">
      <c r="C1881" s="2" t="s">
        <v>8</v>
      </c>
      <c r="D1881" s="2" t="s">
        <v>386</v>
      </c>
      <c r="E1881" s="3">
        <v>140</v>
      </c>
      <c r="F1881" s="3">
        <v>10</v>
      </c>
      <c r="G1881" s="4">
        <v>44286</v>
      </c>
      <c r="M1881" s="1"/>
      <c r="N1881" s="1"/>
      <c r="O1881" s="1"/>
      <c r="P1881" s="1"/>
      <c r="Q1881" s="1"/>
      <c r="R1881" s="1"/>
    </row>
    <row r="1882" spans="2:18">
      <c r="C1882" s="265" t="s">
        <v>7890</v>
      </c>
      <c r="D1882" s="265" t="s">
        <v>1006</v>
      </c>
      <c r="E1882" s="3">
        <v>684.6</v>
      </c>
      <c r="F1882" s="3">
        <f>584.6/21</f>
        <v>27.838095238095239</v>
      </c>
      <c r="G1882" s="4">
        <v>45183</v>
      </c>
      <c r="M1882" s="1"/>
      <c r="N1882" s="1"/>
      <c r="O1882" s="1"/>
      <c r="P1882" s="1"/>
      <c r="Q1882" s="1"/>
      <c r="R1882" s="1"/>
    </row>
    <row r="1883" spans="2:18">
      <c r="C1883" s="265"/>
      <c r="D1883" s="265"/>
      <c r="G1883" s="4"/>
      <c r="M1883" s="1"/>
      <c r="N1883" s="1"/>
      <c r="O1883" s="1"/>
      <c r="P1883" s="1"/>
      <c r="Q1883" s="1"/>
      <c r="R1883" s="1"/>
    </row>
    <row r="1884" spans="2:18" s="12" customFormat="1">
      <c r="B1884" s="12" t="s">
        <v>1055</v>
      </c>
      <c r="C1884" s="13" t="s">
        <v>969</v>
      </c>
      <c r="D1884" s="13" t="s">
        <v>968</v>
      </c>
      <c r="E1884" s="15"/>
      <c r="F1884" s="15">
        <f>SUM(F1885:F1894)</f>
        <v>38.314285714285717</v>
      </c>
      <c r="G1884" s="14">
        <f>G1888</f>
        <v>44860</v>
      </c>
    </row>
    <row r="1885" spans="2:18">
      <c r="C1885" s="2" t="s">
        <v>5</v>
      </c>
      <c r="D1885" s="2" t="s">
        <v>656</v>
      </c>
      <c r="E1885" s="3">
        <v>12.6</v>
      </c>
      <c r="F1885" s="3">
        <f>6.6/3</f>
        <v>2.1999999999999997</v>
      </c>
      <c r="G1885" s="4">
        <v>44579</v>
      </c>
      <c r="M1885" s="1"/>
      <c r="N1885" s="1"/>
      <c r="O1885" s="1"/>
      <c r="P1885" s="1"/>
      <c r="Q1885" s="1"/>
      <c r="R1885" s="1"/>
    </row>
    <row r="1886" spans="2:18">
      <c r="C1886" s="2" t="s">
        <v>4</v>
      </c>
      <c r="D1886" s="2" t="s">
        <v>656</v>
      </c>
      <c r="E1886" s="3">
        <v>3</v>
      </c>
      <c r="F1886" s="3">
        <v>1</v>
      </c>
      <c r="G1886" s="4">
        <v>43999</v>
      </c>
      <c r="M1886" s="1"/>
      <c r="N1886" s="1"/>
      <c r="O1886" s="1"/>
      <c r="P1886" s="1"/>
      <c r="Q1886" s="1"/>
      <c r="R1886" s="1"/>
    </row>
    <row r="1887" spans="2:18">
      <c r="C1887" s="2" t="s">
        <v>4</v>
      </c>
      <c r="D1887" s="2" t="s">
        <v>651</v>
      </c>
      <c r="E1887" s="3">
        <v>12.3</v>
      </c>
      <c r="F1887" s="3">
        <v>3</v>
      </c>
      <c r="G1887" s="4">
        <v>44622</v>
      </c>
      <c r="M1887" s="1"/>
      <c r="N1887" s="1"/>
      <c r="O1887" s="1"/>
      <c r="P1887" s="1"/>
      <c r="Q1887" s="1"/>
      <c r="R1887" s="1"/>
    </row>
    <row r="1888" spans="2:18">
      <c r="C1888" s="2" t="s">
        <v>5</v>
      </c>
      <c r="D1888" s="2" t="s">
        <v>642</v>
      </c>
      <c r="E1888" s="3">
        <v>12</v>
      </c>
      <c r="F1888" s="3">
        <v>2</v>
      </c>
      <c r="G1888" s="4">
        <v>44860</v>
      </c>
      <c r="M1888" s="1"/>
      <c r="N1888" s="1"/>
      <c r="O1888" s="1"/>
      <c r="P1888" s="1"/>
      <c r="Q1888" s="1"/>
      <c r="R1888" s="1"/>
    </row>
    <row r="1889" spans="2:18">
      <c r="C1889" s="2" t="s">
        <v>4</v>
      </c>
      <c r="D1889" s="2" t="s">
        <v>642</v>
      </c>
      <c r="E1889" s="3">
        <v>2.8</v>
      </c>
      <c r="F1889" s="3">
        <v>1.4</v>
      </c>
      <c r="G1889" s="4">
        <v>44215</v>
      </c>
      <c r="M1889" s="1"/>
      <c r="N1889" s="1"/>
      <c r="O1889" s="1"/>
      <c r="P1889" s="1"/>
      <c r="Q1889" s="1"/>
      <c r="R1889" s="1"/>
    </row>
    <row r="1890" spans="2:18">
      <c r="C1890" s="2" t="s">
        <v>278</v>
      </c>
      <c r="D1890" s="2" t="s">
        <v>582</v>
      </c>
      <c r="E1890" s="3">
        <v>2</v>
      </c>
      <c r="F1890" s="3">
        <v>1</v>
      </c>
      <c r="G1890" s="4">
        <v>44223</v>
      </c>
      <c r="M1890" s="1"/>
      <c r="N1890" s="1"/>
      <c r="O1890" s="1"/>
      <c r="P1890" s="1"/>
      <c r="Q1890" s="1"/>
      <c r="R1890" s="1"/>
    </row>
    <row r="1891" spans="2:18">
      <c r="C1891" s="2" t="s">
        <v>18</v>
      </c>
      <c r="D1891" s="2" t="s">
        <v>32</v>
      </c>
      <c r="E1891" s="3">
        <v>230</v>
      </c>
      <c r="F1891" s="3">
        <f>110/7</f>
        <v>15.714285714285714</v>
      </c>
      <c r="G1891" s="4">
        <v>43634</v>
      </c>
      <c r="M1891" s="1"/>
      <c r="N1891" s="1"/>
      <c r="O1891" s="1"/>
      <c r="P1891" s="1"/>
      <c r="Q1891" s="1"/>
      <c r="R1891" s="1"/>
    </row>
    <row r="1892" spans="2:18">
      <c r="C1892" s="2" t="s">
        <v>7</v>
      </c>
      <c r="D1892" s="2" t="s">
        <v>32</v>
      </c>
      <c r="E1892" s="3">
        <v>45</v>
      </c>
      <c r="F1892" s="3">
        <v>6</v>
      </c>
      <c r="G1892" s="4">
        <v>43293</v>
      </c>
      <c r="M1892" s="1"/>
      <c r="N1892" s="1"/>
      <c r="O1892" s="1"/>
      <c r="P1892" s="1"/>
      <c r="Q1892" s="1"/>
      <c r="R1892" s="1"/>
    </row>
    <row r="1893" spans="2:18">
      <c r="C1893" s="2" t="s">
        <v>5</v>
      </c>
      <c r="D1893" s="2" t="s">
        <v>32</v>
      </c>
      <c r="E1893" s="3">
        <v>18</v>
      </c>
      <c r="F1893" s="3">
        <v>5</v>
      </c>
      <c r="G1893" s="4">
        <v>42983</v>
      </c>
      <c r="M1893" s="1"/>
      <c r="N1893" s="1"/>
      <c r="O1893" s="1"/>
      <c r="P1893" s="1"/>
      <c r="Q1893" s="1"/>
      <c r="R1893" s="1"/>
    </row>
    <row r="1894" spans="2:18">
      <c r="B1894" s="396"/>
      <c r="C1894" s="398" t="s">
        <v>278</v>
      </c>
      <c r="D1894" s="398" t="s">
        <v>9780</v>
      </c>
      <c r="E1894" s="3">
        <v>6</v>
      </c>
      <c r="F1894" s="3">
        <v>1</v>
      </c>
      <c r="G1894" s="4">
        <v>44348</v>
      </c>
      <c r="M1894" s="1"/>
      <c r="N1894" s="1"/>
      <c r="O1894" s="1"/>
      <c r="P1894" s="1"/>
      <c r="Q1894" s="1"/>
      <c r="R1894" s="1"/>
    </row>
    <row r="1895" spans="2:18">
      <c r="B1895" s="396"/>
      <c r="C1895" s="398"/>
      <c r="D1895" s="398"/>
      <c r="G1895" s="4"/>
      <c r="M1895" s="1"/>
      <c r="N1895" s="1"/>
      <c r="O1895" s="1"/>
      <c r="P1895" s="1"/>
      <c r="Q1895" s="1"/>
      <c r="R1895" s="1"/>
    </row>
    <row r="1896" spans="2:18" s="12" customFormat="1">
      <c r="B1896" s="12" t="s">
        <v>14</v>
      </c>
      <c r="C1896" s="13" t="s">
        <v>969</v>
      </c>
      <c r="D1896" s="13" t="s">
        <v>968</v>
      </c>
      <c r="E1896" s="15"/>
      <c r="F1896" s="15">
        <f>SUM(F1897:F1898)</f>
        <v>37.5</v>
      </c>
      <c r="G1896" s="14">
        <f>G1897</f>
        <v>44721</v>
      </c>
      <c r="M1896" s="13"/>
      <c r="N1896" s="13"/>
      <c r="O1896" s="13"/>
      <c r="P1896" s="13"/>
      <c r="Q1896" s="13"/>
      <c r="R1896" s="13"/>
    </row>
    <row r="1897" spans="2:18">
      <c r="C1897" s="2" t="s">
        <v>9</v>
      </c>
      <c r="D1897" s="2" t="s">
        <v>3</v>
      </c>
      <c r="E1897" s="3">
        <v>90</v>
      </c>
      <c r="F1897" s="3">
        <v>20</v>
      </c>
      <c r="G1897" s="4">
        <v>44721</v>
      </c>
      <c r="I1897" s="1">
        <v>2200</v>
      </c>
      <c r="J1897" s="1">
        <v>2500</v>
      </c>
    </row>
    <row r="1898" spans="2:18">
      <c r="C1898" s="55" t="s">
        <v>8</v>
      </c>
      <c r="D1898" s="55" t="s">
        <v>2109</v>
      </c>
      <c r="E1898" s="3">
        <v>110</v>
      </c>
      <c r="F1898" s="3">
        <f>70/4</f>
        <v>17.5</v>
      </c>
      <c r="G1898" s="4">
        <v>44567</v>
      </c>
      <c r="I1898" s="1">
        <v>790</v>
      </c>
      <c r="J1898" s="1">
        <v>790</v>
      </c>
    </row>
    <row r="1899" spans="2:18">
      <c r="C1899" s="265" t="s">
        <v>53</v>
      </c>
      <c r="D1899" s="265" t="s">
        <v>3</v>
      </c>
      <c r="E1899" s="3">
        <v>200</v>
      </c>
      <c r="F1899" s="3">
        <v>33</v>
      </c>
      <c r="G1899" s="4">
        <v>45230</v>
      </c>
      <c r="I1899" s="1">
        <v>2500</v>
      </c>
      <c r="J1899" s="1">
        <v>2500</v>
      </c>
    </row>
    <row r="1900" spans="2:18">
      <c r="G1900" s="4"/>
    </row>
    <row r="1901" spans="2:18" s="12" customFormat="1">
      <c r="B1901" s="12" t="s">
        <v>0</v>
      </c>
      <c r="C1901" s="13" t="s">
        <v>969</v>
      </c>
      <c r="D1901" s="13" t="s">
        <v>968</v>
      </c>
      <c r="E1901" s="15"/>
      <c r="F1901" s="15">
        <f>SUM(F1902:F1905)</f>
        <v>36.666666666666664</v>
      </c>
      <c r="G1901" s="14">
        <f>G1902</f>
        <v>45027</v>
      </c>
      <c r="M1901" s="13"/>
      <c r="N1901" s="13"/>
      <c r="O1901" s="13"/>
      <c r="P1901" s="13"/>
      <c r="Q1901" s="13"/>
      <c r="R1901" s="13"/>
    </row>
    <row r="1902" spans="2:18">
      <c r="C1902" s="2" t="s">
        <v>5</v>
      </c>
      <c r="D1902" s="2" t="s">
        <v>684</v>
      </c>
      <c r="E1902" s="3">
        <v>21</v>
      </c>
      <c r="F1902" s="3">
        <f>11/3</f>
        <v>3.6666666666666665</v>
      </c>
      <c r="G1902" s="4">
        <v>45027</v>
      </c>
    </row>
    <row r="1903" spans="2:18">
      <c r="C1903" s="2" t="s">
        <v>4</v>
      </c>
      <c r="D1903" s="2" t="s">
        <v>684</v>
      </c>
      <c r="E1903" s="3">
        <v>5</v>
      </c>
      <c r="F1903" s="3">
        <v>3</v>
      </c>
      <c r="G1903" s="4">
        <v>44888</v>
      </c>
    </row>
    <row r="1904" spans="2:18">
      <c r="C1904" s="2" t="s">
        <v>5</v>
      </c>
      <c r="D1904" s="2" t="s">
        <v>697</v>
      </c>
      <c r="E1904" s="3">
        <v>23.5</v>
      </c>
      <c r="F1904" s="3">
        <v>15</v>
      </c>
      <c r="G1904" s="4">
        <v>44875</v>
      </c>
    </row>
    <row r="1905" spans="2:18">
      <c r="C1905" s="2" t="s">
        <v>7</v>
      </c>
      <c r="D1905" s="2" t="s">
        <v>810</v>
      </c>
      <c r="E1905" s="3">
        <v>27</v>
      </c>
      <c r="F1905" s="3">
        <v>15</v>
      </c>
      <c r="G1905" s="4">
        <v>44882</v>
      </c>
    </row>
    <row r="1906" spans="2:18">
      <c r="G1906" s="4"/>
    </row>
    <row r="1907" spans="2:18" s="12" customFormat="1">
      <c r="B1907" s="12" t="s">
        <v>1039</v>
      </c>
      <c r="C1907" s="13" t="s">
        <v>969</v>
      </c>
      <c r="D1907" s="13" t="s">
        <v>968</v>
      </c>
      <c r="E1907" s="15"/>
      <c r="F1907" s="15">
        <f>SUM(F1908:F1915)</f>
        <v>36.83</v>
      </c>
      <c r="G1907" s="14">
        <f>+G1915</f>
        <v>45209</v>
      </c>
      <c r="M1907" s="13"/>
      <c r="N1907" s="13"/>
      <c r="O1907" s="13"/>
      <c r="P1907" s="13"/>
      <c r="Q1907" s="13"/>
      <c r="R1907" s="13"/>
    </row>
    <row r="1908" spans="2:18">
      <c r="C1908" s="2" t="s">
        <v>5</v>
      </c>
      <c r="D1908" s="2" t="s">
        <v>962</v>
      </c>
      <c r="E1908" s="3">
        <v>5</v>
      </c>
      <c r="F1908" s="3">
        <v>1</v>
      </c>
      <c r="G1908" s="4">
        <v>43251</v>
      </c>
    </row>
    <row r="1909" spans="2:18">
      <c r="C1909" s="2" t="s">
        <v>8</v>
      </c>
      <c r="D1909" s="2" t="s">
        <v>520</v>
      </c>
      <c r="E1909" s="3">
        <v>100</v>
      </c>
      <c r="F1909" s="3">
        <f>50/4</f>
        <v>12.5</v>
      </c>
      <c r="G1909" s="4">
        <v>44419</v>
      </c>
    </row>
    <row r="1910" spans="2:18">
      <c r="C1910" s="2" t="s">
        <v>7</v>
      </c>
      <c r="D1910" s="2" t="s">
        <v>475</v>
      </c>
      <c r="E1910" s="3">
        <v>90</v>
      </c>
      <c r="F1910" s="3">
        <v>6</v>
      </c>
      <c r="G1910" s="4">
        <v>44398</v>
      </c>
    </row>
    <row r="1911" spans="2:18">
      <c r="C1911" s="2" t="s">
        <v>5</v>
      </c>
      <c r="D1911" s="2" t="s">
        <v>475</v>
      </c>
      <c r="E1911" s="3">
        <v>22.8</v>
      </c>
      <c r="F1911" s="3">
        <v>3.33</v>
      </c>
      <c r="G1911" s="4">
        <v>43160</v>
      </c>
    </row>
    <row r="1912" spans="2:18">
      <c r="C1912" s="140" t="s">
        <v>5</v>
      </c>
      <c r="D1912" s="140" t="s">
        <v>6293</v>
      </c>
      <c r="E1912" s="3">
        <v>25</v>
      </c>
      <c r="F1912" s="3">
        <v>3</v>
      </c>
      <c r="G1912" s="4">
        <v>44594</v>
      </c>
    </row>
    <row r="1913" spans="2:18">
      <c r="C1913" s="265" t="s">
        <v>7890</v>
      </c>
      <c r="D1913" s="265" t="s">
        <v>1006</v>
      </c>
      <c r="E1913" s="3">
        <v>684.6</v>
      </c>
      <c r="F1913" s="3">
        <v>5</v>
      </c>
      <c r="G1913" s="4">
        <v>45183</v>
      </c>
      <c r="I1913" s="1">
        <v>42500</v>
      </c>
      <c r="J1913" s="1">
        <v>42500</v>
      </c>
    </row>
    <row r="1914" spans="2:18">
      <c r="C1914" s="265" t="s">
        <v>2486</v>
      </c>
      <c r="D1914" s="265" t="s">
        <v>1006</v>
      </c>
      <c r="E1914" s="3">
        <v>1600</v>
      </c>
      <c r="F1914" s="3">
        <v>5</v>
      </c>
      <c r="G1914" s="4">
        <v>44439</v>
      </c>
      <c r="I1914" s="1">
        <v>36400</v>
      </c>
      <c r="J1914" s="1">
        <v>42500</v>
      </c>
    </row>
    <row r="1915" spans="2:18">
      <c r="C1915" s="398" t="s">
        <v>5</v>
      </c>
      <c r="D1915" s="398" t="s">
        <v>9716</v>
      </c>
      <c r="E1915" s="3">
        <v>16</v>
      </c>
      <c r="F1915" s="3">
        <v>1</v>
      </c>
      <c r="G1915" s="4">
        <v>45209</v>
      </c>
    </row>
    <row r="1916" spans="2:18">
      <c r="G1916" s="4"/>
    </row>
    <row r="1917" spans="2:18" s="12" customFormat="1">
      <c r="B1917" s="12" t="s">
        <v>961</v>
      </c>
      <c r="C1917" s="13" t="s">
        <v>969</v>
      </c>
      <c r="D1917" s="13" t="s">
        <v>968</v>
      </c>
      <c r="E1917" s="15"/>
      <c r="F1917" s="15">
        <f>SUM(F1918:F1919)</f>
        <v>37</v>
      </c>
      <c r="G1917" s="14">
        <f>G1918</f>
        <v>45035</v>
      </c>
      <c r="M1917" s="13"/>
      <c r="N1917" s="13"/>
      <c r="O1917" s="13"/>
      <c r="P1917" s="13"/>
      <c r="Q1917" s="13"/>
      <c r="R1917" s="13"/>
    </row>
    <row r="1918" spans="2:18">
      <c r="C1918" s="2" t="s">
        <v>5</v>
      </c>
      <c r="D1918" s="2" t="s">
        <v>901</v>
      </c>
      <c r="E1918" s="3">
        <v>70</v>
      </c>
      <c r="F1918" s="3">
        <v>30</v>
      </c>
      <c r="G1918" s="4">
        <v>45035</v>
      </c>
    </row>
    <row r="1919" spans="2:18">
      <c r="C1919" s="92" t="s">
        <v>7</v>
      </c>
      <c r="D1919" s="92" t="s">
        <v>5990</v>
      </c>
      <c r="E1919" s="3">
        <v>50</v>
      </c>
      <c r="F1919" s="3">
        <f>35/5</f>
        <v>7</v>
      </c>
      <c r="G1919" s="4">
        <v>44670</v>
      </c>
    </row>
    <row r="1920" spans="2:18">
      <c r="G1920" s="4"/>
    </row>
    <row r="1921" spans="2:18" s="12" customFormat="1">
      <c r="B1921" s="12" t="s">
        <v>657</v>
      </c>
      <c r="C1921" s="13" t="s">
        <v>969</v>
      </c>
      <c r="D1921" s="13" t="s">
        <v>968</v>
      </c>
      <c r="E1921" s="15"/>
      <c r="F1921" s="15">
        <f>SUM(F1922:F1926)</f>
        <v>36.74545454545455</v>
      </c>
      <c r="G1921" s="14">
        <f>G1923</f>
        <v>44776</v>
      </c>
      <c r="M1921" s="13"/>
      <c r="N1921" s="13"/>
      <c r="O1921" s="13"/>
      <c r="P1921" s="13"/>
      <c r="Q1921" s="13"/>
      <c r="R1921" s="13"/>
    </row>
    <row r="1922" spans="2:18">
      <c r="B1922" s="238" t="s">
        <v>7637</v>
      </c>
      <c r="C1922" s="2" t="s">
        <v>5</v>
      </c>
      <c r="D1922" s="2" t="s">
        <v>656</v>
      </c>
      <c r="E1922" s="3">
        <v>12.6</v>
      </c>
      <c r="F1922" s="3">
        <f>6.6/3</f>
        <v>2.1999999999999997</v>
      </c>
      <c r="G1922" s="4">
        <v>44579</v>
      </c>
      <c r="M1922" s="1"/>
      <c r="N1922" s="1"/>
      <c r="O1922" s="1"/>
      <c r="P1922" s="1"/>
      <c r="Q1922" s="1"/>
      <c r="R1922" s="1"/>
    </row>
    <row r="1923" spans="2:18">
      <c r="B1923" s="254" t="s">
        <v>7631</v>
      </c>
      <c r="C1923" s="2" t="s">
        <v>8</v>
      </c>
      <c r="D1923" s="2" t="s">
        <v>448</v>
      </c>
      <c r="E1923" s="3">
        <v>90</v>
      </c>
      <c r="F1923" s="3">
        <f>50/11</f>
        <v>4.5454545454545459</v>
      </c>
      <c r="G1923" s="4">
        <v>44776</v>
      </c>
      <c r="M1923" s="1"/>
      <c r="N1923" s="1"/>
      <c r="O1923" s="1"/>
      <c r="P1923" s="1"/>
      <c r="Q1923" s="1"/>
      <c r="R1923" s="1"/>
    </row>
    <row r="1924" spans="2:18">
      <c r="C1924" s="2" t="s">
        <v>9</v>
      </c>
      <c r="D1924" s="2" t="s">
        <v>3</v>
      </c>
      <c r="E1924" s="3">
        <v>90</v>
      </c>
      <c r="F1924" s="3">
        <v>10</v>
      </c>
      <c r="G1924" s="4">
        <v>44721</v>
      </c>
      <c r="I1924" s="1">
        <v>2200</v>
      </c>
      <c r="J1924" s="1">
        <v>2500</v>
      </c>
      <c r="M1924" s="1"/>
      <c r="N1924" s="1"/>
      <c r="O1924" s="1"/>
      <c r="P1924" s="1"/>
      <c r="Q1924" s="1"/>
      <c r="R1924" s="1"/>
    </row>
    <row r="1925" spans="2:18">
      <c r="C1925" s="2" t="s">
        <v>7</v>
      </c>
      <c r="D1925" s="2" t="s">
        <v>3</v>
      </c>
      <c r="E1925" s="3">
        <v>25</v>
      </c>
      <c r="F1925" s="3">
        <v>10</v>
      </c>
      <c r="G1925" s="4">
        <v>43697</v>
      </c>
      <c r="J1925" s="1">
        <v>2500</v>
      </c>
      <c r="M1925" s="1"/>
      <c r="N1925" s="1"/>
      <c r="O1925" s="1"/>
      <c r="P1925" s="1"/>
      <c r="Q1925" s="1"/>
      <c r="R1925" s="1"/>
    </row>
    <row r="1926" spans="2:18">
      <c r="C1926" s="92" t="s">
        <v>18</v>
      </c>
      <c r="D1926" s="92" t="s">
        <v>2101</v>
      </c>
      <c r="E1926" s="3">
        <v>100</v>
      </c>
      <c r="F1926" s="3">
        <v>10</v>
      </c>
      <c r="G1926" s="4">
        <v>44397</v>
      </c>
      <c r="M1926" s="1"/>
      <c r="N1926" s="1"/>
      <c r="O1926" s="1"/>
      <c r="P1926" s="1"/>
      <c r="Q1926" s="1"/>
      <c r="R1926" s="1"/>
    </row>
    <row r="1927" spans="2:18">
      <c r="G1927" s="4"/>
      <c r="M1927" s="1"/>
      <c r="N1927" s="1"/>
      <c r="O1927" s="1"/>
      <c r="P1927" s="1"/>
      <c r="Q1927" s="1"/>
      <c r="R1927" s="1"/>
    </row>
    <row r="1928" spans="2:18" s="12" customFormat="1">
      <c r="B1928" s="12" t="s">
        <v>234</v>
      </c>
      <c r="C1928" s="13" t="s">
        <v>969</v>
      </c>
      <c r="D1928" s="13" t="s">
        <v>968</v>
      </c>
      <c r="E1928" s="15"/>
      <c r="F1928" s="15">
        <f>SUM(F1929:F1932)</f>
        <v>35.666666666666664</v>
      </c>
      <c r="G1928" s="14">
        <f>G1931</f>
        <v>42941</v>
      </c>
      <c r="M1928" s="13"/>
      <c r="N1928" s="13"/>
      <c r="O1928" s="13"/>
      <c r="P1928" s="13"/>
      <c r="Q1928" s="13"/>
      <c r="R1928" s="13"/>
    </row>
    <row r="1929" spans="2:18">
      <c r="C1929" s="2" t="s">
        <v>18</v>
      </c>
      <c r="D1929" s="2" t="s">
        <v>232</v>
      </c>
      <c r="E1929" s="3">
        <v>100</v>
      </c>
      <c r="F1929" s="3">
        <v>20</v>
      </c>
      <c r="G1929" s="4">
        <v>42735</v>
      </c>
    </row>
    <row r="1930" spans="2:18">
      <c r="C1930" s="2" t="s">
        <v>7</v>
      </c>
      <c r="D1930" s="2" t="s">
        <v>232</v>
      </c>
      <c r="E1930" s="3">
        <v>22</v>
      </c>
      <c r="F1930" s="3">
        <v>8</v>
      </c>
      <c r="G1930" s="4">
        <v>41821</v>
      </c>
    </row>
    <row r="1931" spans="2:18">
      <c r="C1931" s="2" t="s">
        <v>7</v>
      </c>
      <c r="D1931" s="2" t="s">
        <v>197</v>
      </c>
      <c r="E1931" s="3">
        <v>46</v>
      </c>
      <c r="F1931" s="3">
        <v>6</v>
      </c>
      <c r="G1931" s="4">
        <v>42941</v>
      </c>
    </row>
    <row r="1932" spans="2:18">
      <c r="C1932" s="2" t="s">
        <v>5</v>
      </c>
      <c r="D1932" s="2" t="s">
        <v>197</v>
      </c>
      <c r="E1932" s="3">
        <v>5</v>
      </c>
      <c r="F1932" s="3">
        <f>E1932/3</f>
        <v>1.6666666666666667</v>
      </c>
      <c r="G1932" s="4">
        <v>42688</v>
      </c>
    </row>
    <row r="1933" spans="2:18">
      <c r="G1933" s="4"/>
    </row>
    <row r="1934" spans="2:18" s="12" customFormat="1">
      <c r="B1934" s="12" t="s">
        <v>503</v>
      </c>
      <c r="C1934" s="13" t="s">
        <v>969</v>
      </c>
      <c r="D1934" s="13" t="s">
        <v>968</v>
      </c>
      <c r="E1934" s="15"/>
      <c r="F1934" s="15">
        <f>SUM(F1935:F1936)</f>
        <v>36</v>
      </c>
      <c r="G1934" s="14">
        <f>G1935</f>
        <v>44152</v>
      </c>
    </row>
    <row r="1935" spans="2:18">
      <c r="C1935" s="2" t="s">
        <v>53</v>
      </c>
      <c r="D1935" s="2" t="s">
        <v>489</v>
      </c>
      <c r="E1935" s="3">
        <v>270</v>
      </c>
      <c r="F1935" s="3">
        <v>22</v>
      </c>
      <c r="G1935" s="4">
        <v>44152</v>
      </c>
      <c r="M1935" s="1"/>
      <c r="N1935" s="1"/>
      <c r="O1935" s="1"/>
      <c r="P1935" s="1"/>
      <c r="Q1935" s="1"/>
      <c r="R1935" s="1"/>
    </row>
    <row r="1936" spans="2:18">
      <c r="C1936" s="2" t="s">
        <v>9</v>
      </c>
      <c r="D1936" s="2" t="s">
        <v>489</v>
      </c>
      <c r="E1936" s="3">
        <v>206</v>
      </c>
      <c r="F1936" s="3">
        <v>14</v>
      </c>
      <c r="G1936" s="4">
        <v>43725</v>
      </c>
      <c r="M1936" s="1"/>
      <c r="N1936" s="1"/>
      <c r="O1936" s="1"/>
      <c r="P1936" s="1"/>
      <c r="Q1936" s="1"/>
      <c r="R1936" s="1"/>
    </row>
    <row r="1937" spans="2:18">
      <c r="G1937" s="4"/>
      <c r="M1937" s="1"/>
      <c r="N1937" s="1"/>
      <c r="O1937" s="1"/>
      <c r="P1937" s="1"/>
      <c r="Q1937" s="1"/>
      <c r="R1937" s="1"/>
    </row>
    <row r="1938" spans="2:18" s="12" customFormat="1">
      <c r="B1938" s="12" t="s">
        <v>369</v>
      </c>
      <c r="C1938" s="13" t="s">
        <v>969</v>
      </c>
      <c r="D1938" s="13" t="s">
        <v>968</v>
      </c>
      <c r="E1938" s="15"/>
      <c r="F1938" s="15">
        <f>SUM(F1939:F1940)</f>
        <v>36.25</v>
      </c>
      <c r="G1938" s="14">
        <f>G1939</f>
        <v>44602</v>
      </c>
    </row>
    <row r="1939" spans="2:18">
      <c r="C1939" s="2" t="s">
        <v>7</v>
      </c>
      <c r="D1939" s="2" t="s">
        <v>363</v>
      </c>
      <c r="E1939" s="3">
        <v>120</v>
      </c>
      <c r="F1939" s="3">
        <f>90/8</f>
        <v>11.25</v>
      </c>
      <c r="G1939" s="4">
        <v>44602</v>
      </c>
      <c r="M1939" s="1"/>
      <c r="N1939" s="1"/>
      <c r="O1939" s="1"/>
      <c r="P1939" s="1"/>
      <c r="Q1939" s="1"/>
      <c r="R1939" s="1"/>
    </row>
    <row r="1940" spans="2:18">
      <c r="C1940" s="2" t="s">
        <v>5</v>
      </c>
      <c r="D1940" s="2" t="s">
        <v>363</v>
      </c>
      <c r="E1940" s="3">
        <v>50</v>
      </c>
      <c r="F1940" s="3">
        <v>25</v>
      </c>
      <c r="G1940" s="4">
        <v>43039</v>
      </c>
      <c r="M1940" s="1"/>
      <c r="N1940" s="1"/>
      <c r="O1940" s="1"/>
      <c r="P1940" s="1"/>
      <c r="Q1940" s="1"/>
      <c r="R1940" s="1"/>
    </row>
    <row r="1941" spans="2:18">
      <c r="G1941" s="4"/>
      <c r="M1941" s="1"/>
      <c r="N1941" s="1"/>
      <c r="O1941" s="1"/>
      <c r="P1941" s="1"/>
      <c r="Q1941" s="1"/>
      <c r="R1941" s="1"/>
    </row>
    <row r="1942" spans="2:18" s="12" customFormat="1">
      <c r="B1942" s="12" t="s">
        <v>498</v>
      </c>
      <c r="C1942" s="13" t="s">
        <v>969</v>
      </c>
      <c r="D1942" s="13" t="s">
        <v>968</v>
      </c>
      <c r="E1942" s="15"/>
      <c r="F1942" s="15">
        <f>SUM(F1943:F1946)</f>
        <v>36.295454545454547</v>
      </c>
      <c r="G1942" s="14">
        <f>G1944</f>
        <v>44776</v>
      </c>
    </row>
    <row r="1943" spans="2:18">
      <c r="C1943" s="2" t="s">
        <v>9</v>
      </c>
      <c r="D1943" s="2" t="s">
        <v>489</v>
      </c>
      <c r="E1943" s="3">
        <v>206</v>
      </c>
      <c r="F1943" s="3">
        <v>14</v>
      </c>
      <c r="G1943" s="4">
        <v>43725</v>
      </c>
      <c r="M1943" s="1"/>
      <c r="N1943" s="1"/>
      <c r="O1943" s="1"/>
      <c r="P1943" s="1"/>
      <c r="Q1943" s="1"/>
      <c r="R1943" s="1"/>
    </row>
    <row r="1944" spans="2:18">
      <c r="C1944" s="2" t="s">
        <v>8</v>
      </c>
      <c r="D1944" s="2" t="s">
        <v>448</v>
      </c>
      <c r="E1944" s="3">
        <v>90</v>
      </c>
      <c r="F1944" s="3">
        <f>50/11</f>
        <v>4.5454545454545459</v>
      </c>
      <c r="G1944" s="4">
        <v>44776</v>
      </c>
      <c r="M1944" s="1"/>
      <c r="N1944" s="1"/>
      <c r="O1944" s="1"/>
      <c r="P1944" s="1"/>
      <c r="Q1944" s="1"/>
      <c r="R1944" s="1"/>
    </row>
    <row r="1945" spans="2:18">
      <c r="C1945" s="2" t="s">
        <v>18</v>
      </c>
      <c r="D1945" s="2" t="s">
        <v>448</v>
      </c>
      <c r="E1945" s="3">
        <v>40</v>
      </c>
      <c r="F1945" s="3">
        <v>3.75</v>
      </c>
      <c r="G1945" s="4">
        <v>44176</v>
      </c>
      <c r="M1945" s="1"/>
      <c r="N1945" s="1"/>
      <c r="O1945" s="1"/>
      <c r="P1945" s="1"/>
      <c r="Q1945" s="1"/>
      <c r="R1945" s="1"/>
    </row>
    <row r="1946" spans="2:18">
      <c r="C1946" s="92" t="s">
        <v>7</v>
      </c>
      <c r="D1946" s="92" t="s">
        <v>2076</v>
      </c>
      <c r="E1946" s="3">
        <v>100</v>
      </c>
      <c r="F1946" s="3">
        <f>70/5</f>
        <v>14</v>
      </c>
      <c r="G1946" s="4">
        <v>44937</v>
      </c>
      <c r="I1946" s="1">
        <v>900</v>
      </c>
      <c r="J1946" s="1">
        <v>900</v>
      </c>
      <c r="M1946" s="1"/>
      <c r="N1946" s="1"/>
      <c r="O1946" s="1"/>
      <c r="P1946" s="1"/>
      <c r="Q1946" s="1"/>
      <c r="R1946" s="1"/>
    </row>
    <row r="1947" spans="2:18">
      <c r="G1947" s="4"/>
      <c r="M1947" s="1"/>
      <c r="N1947" s="1"/>
      <c r="O1947" s="1"/>
      <c r="P1947" s="1"/>
      <c r="Q1947" s="1"/>
      <c r="R1947" s="1"/>
    </row>
    <row r="1948" spans="2:18">
      <c r="B1948" s="12" t="s">
        <v>5907</v>
      </c>
      <c r="C1948" s="13" t="s">
        <v>969</v>
      </c>
      <c r="D1948" s="13" t="s">
        <v>968</v>
      </c>
      <c r="E1948" s="15"/>
      <c r="F1948" s="15">
        <f>SUM(F1949:F1958)</f>
        <v>36.308333333333337</v>
      </c>
      <c r="G1948" s="14">
        <f>G1952</f>
        <v>44881</v>
      </c>
      <c r="I1948" s="176" t="s">
        <v>6709</v>
      </c>
    </row>
    <row r="1949" spans="2:18">
      <c r="B1949" s="91"/>
      <c r="C1949" s="92" t="s">
        <v>7</v>
      </c>
      <c r="D1949" s="92" t="s">
        <v>2069</v>
      </c>
      <c r="E1949" s="3">
        <v>60</v>
      </c>
      <c r="F1949" s="3">
        <v>10</v>
      </c>
      <c r="G1949" s="4">
        <v>44278</v>
      </c>
    </row>
    <row r="1950" spans="2:18">
      <c r="C1950" s="92" t="s">
        <v>5</v>
      </c>
      <c r="D1950" s="92" t="s">
        <v>2069</v>
      </c>
      <c r="E1950" s="3">
        <v>20</v>
      </c>
      <c r="F1950" s="3">
        <v>5</v>
      </c>
      <c r="G1950" s="4">
        <v>43992</v>
      </c>
    </row>
    <row r="1951" spans="2:18">
      <c r="C1951" s="92" t="s">
        <v>4</v>
      </c>
      <c r="D1951" s="92" t="s">
        <v>2069</v>
      </c>
      <c r="E1951" s="3">
        <v>5</v>
      </c>
      <c r="F1951" s="3">
        <v>1</v>
      </c>
      <c r="G1951" s="4">
        <v>43466</v>
      </c>
    </row>
    <row r="1952" spans="2:18">
      <c r="C1952" s="153" t="s">
        <v>7</v>
      </c>
      <c r="D1952" s="153" t="s">
        <v>2037</v>
      </c>
      <c r="E1952" s="3">
        <v>30</v>
      </c>
      <c r="F1952" s="3">
        <v>5</v>
      </c>
      <c r="G1952" s="4">
        <v>44881</v>
      </c>
    </row>
    <row r="1953" spans="2:18">
      <c r="C1953" s="153" t="s">
        <v>5</v>
      </c>
      <c r="D1953" s="153" t="s">
        <v>2037</v>
      </c>
      <c r="E1953" s="3">
        <v>11</v>
      </c>
      <c r="F1953" s="3">
        <f>7/4</f>
        <v>1.75</v>
      </c>
      <c r="G1953" s="4">
        <v>44174</v>
      </c>
    </row>
    <row r="1954" spans="2:18">
      <c r="C1954" s="153" t="s">
        <v>4</v>
      </c>
      <c r="D1954" s="153" t="s">
        <v>2037</v>
      </c>
      <c r="E1954" s="3">
        <v>2.9</v>
      </c>
      <c r="F1954" s="3">
        <v>1</v>
      </c>
      <c r="G1954" s="4">
        <v>43221</v>
      </c>
    </row>
    <row r="1955" spans="2:18">
      <c r="C1955" s="177" t="s">
        <v>5</v>
      </c>
      <c r="D1955" s="177" t="s">
        <v>2028</v>
      </c>
      <c r="E1955" s="3">
        <v>18.5</v>
      </c>
      <c r="F1955" s="3">
        <f>E1955/4</f>
        <v>4.625</v>
      </c>
      <c r="G1955" s="4">
        <v>44561</v>
      </c>
    </row>
    <row r="1956" spans="2:18">
      <c r="C1956" s="177" t="s">
        <v>4</v>
      </c>
      <c r="D1956" s="177" t="s">
        <v>2028</v>
      </c>
      <c r="E1956" s="3">
        <v>5.8</v>
      </c>
      <c r="F1956" s="3">
        <f>E1956/3</f>
        <v>1.9333333333333333</v>
      </c>
      <c r="G1956" s="4">
        <v>44348</v>
      </c>
    </row>
    <row r="1957" spans="2:18">
      <c r="C1957" s="177" t="s">
        <v>5</v>
      </c>
      <c r="D1957" s="177" t="s">
        <v>2027</v>
      </c>
      <c r="E1957" s="3">
        <v>21</v>
      </c>
      <c r="F1957" s="3">
        <v>3</v>
      </c>
      <c r="G1957" s="4">
        <v>44334</v>
      </c>
    </row>
    <row r="1958" spans="2:18">
      <c r="C1958" s="177" t="s">
        <v>4</v>
      </c>
      <c r="D1958" s="177" t="s">
        <v>2027</v>
      </c>
      <c r="E1958" s="3">
        <v>5</v>
      </c>
      <c r="F1958" s="3">
        <v>3</v>
      </c>
      <c r="G1958" s="4">
        <v>44105</v>
      </c>
    </row>
    <row r="1959" spans="2:18">
      <c r="C1959" s="92"/>
      <c r="D1959" s="92"/>
      <c r="G1959" s="4"/>
    </row>
    <row r="1960" spans="2:18" s="12" customFormat="1">
      <c r="B1960" s="12" t="s">
        <v>858</v>
      </c>
      <c r="C1960" s="13" t="s">
        <v>969</v>
      </c>
      <c r="D1960" s="13" t="s">
        <v>968</v>
      </c>
      <c r="E1960" s="15"/>
      <c r="F1960" s="15">
        <f>SUM(F1961:F1963)</f>
        <v>36</v>
      </c>
      <c r="G1960" s="14">
        <f>G1961</f>
        <v>44860</v>
      </c>
      <c r="M1960" s="13"/>
      <c r="N1960" s="13"/>
      <c r="O1960" s="13"/>
      <c r="P1960" s="13"/>
      <c r="Q1960" s="13"/>
      <c r="R1960" s="13"/>
    </row>
    <row r="1961" spans="2:18">
      <c r="C1961" s="2" t="s">
        <v>5</v>
      </c>
      <c r="D1961" s="2" t="s">
        <v>642</v>
      </c>
      <c r="E1961" s="3">
        <v>12</v>
      </c>
      <c r="F1961" s="3">
        <v>3</v>
      </c>
      <c r="G1961" s="4">
        <v>44860</v>
      </c>
    </row>
    <row r="1962" spans="2:18">
      <c r="C1962" s="2" t="s">
        <v>7</v>
      </c>
      <c r="D1962" s="2" t="s">
        <v>208</v>
      </c>
      <c r="E1962" s="3">
        <v>150</v>
      </c>
      <c r="F1962" s="3">
        <v>20</v>
      </c>
      <c r="G1962" s="4">
        <v>43556</v>
      </c>
    </row>
    <row r="1963" spans="2:18">
      <c r="C1963" s="2" t="s">
        <v>5</v>
      </c>
      <c r="D1963" s="2" t="s">
        <v>208</v>
      </c>
      <c r="E1963" s="3">
        <v>56</v>
      </c>
      <c r="F1963" s="3">
        <v>13</v>
      </c>
      <c r="G1963" s="4">
        <v>43174</v>
      </c>
    </row>
    <row r="1964" spans="2:18">
      <c r="G1964" s="4"/>
    </row>
    <row r="1965" spans="2:18" s="12" customFormat="1">
      <c r="B1965" s="12" t="s">
        <v>611</v>
      </c>
      <c r="C1965" s="13" t="s">
        <v>969</v>
      </c>
      <c r="D1965" s="13" t="s">
        <v>968</v>
      </c>
      <c r="E1965" s="15"/>
      <c r="F1965" s="15">
        <f>SUM(F1966:F1972)</f>
        <v>36.244444444444447</v>
      </c>
      <c r="G1965" s="14">
        <f>+G1969</f>
        <v>45124</v>
      </c>
    </row>
    <row r="1966" spans="2:18">
      <c r="C1966" s="2" t="s">
        <v>9</v>
      </c>
      <c r="D1966" s="2" t="s">
        <v>606</v>
      </c>
      <c r="E1966" s="3">
        <v>132</v>
      </c>
      <c r="F1966" s="3">
        <f>72/10</f>
        <v>7.2</v>
      </c>
      <c r="G1966" s="4">
        <v>44215</v>
      </c>
      <c r="I1966" s="1">
        <v>1400</v>
      </c>
      <c r="J1966" s="1">
        <v>1200</v>
      </c>
      <c r="M1966" s="1"/>
      <c r="N1966" s="1"/>
      <c r="O1966" s="1"/>
      <c r="P1966" s="1"/>
      <c r="Q1966" s="1"/>
      <c r="R1966" s="1"/>
    </row>
    <row r="1967" spans="2:18">
      <c r="C1967" s="2" t="s">
        <v>18</v>
      </c>
      <c r="D1967" s="2" t="s">
        <v>606</v>
      </c>
      <c r="E1967" s="3">
        <v>48</v>
      </c>
      <c r="F1967" s="3">
        <v>4</v>
      </c>
      <c r="G1967" s="4">
        <v>43888</v>
      </c>
      <c r="J1967" s="1">
        <v>1200</v>
      </c>
      <c r="M1967" s="1"/>
      <c r="N1967" s="1"/>
      <c r="O1967" s="1"/>
      <c r="P1967" s="1"/>
      <c r="Q1967" s="1"/>
      <c r="R1967" s="1"/>
    </row>
    <row r="1968" spans="2:18">
      <c r="C1968" s="2" t="s">
        <v>7</v>
      </c>
      <c r="D1968" s="2" t="s">
        <v>606</v>
      </c>
      <c r="E1968" s="3">
        <v>25</v>
      </c>
      <c r="F1968" s="3">
        <v>5</v>
      </c>
      <c r="G1968" s="4">
        <v>43440</v>
      </c>
      <c r="J1968" s="1">
        <v>1200</v>
      </c>
      <c r="M1968" s="1"/>
      <c r="N1968" s="1"/>
      <c r="O1968" s="1"/>
      <c r="P1968" s="1"/>
      <c r="Q1968" s="1"/>
      <c r="R1968" s="1"/>
    </row>
    <row r="1969" spans="2:18">
      <c r="C1969" s="265" t="s">
        <v>7934</v>
      </c>
      <c r="D1969" s="2" t="s">
        <v>606</v>
      </c>
      <c r="E1969" s="3">
        <v>59</v>
      </c>
      <c r="F1969" s="3">
        <f>59/9</f>
        <v>6.5555555555555554</v>
      </c>
      <c r="G1969" s="4">
        <v>45124</v>
      </c>
      <c r="I1969" s="1">
        <v>1200</v>
      </c>
      <c r="J1969" s="1">
        <v>1200</v>
      </c>
      <c r="M1969" s="1"/>
      <c r="N1969" s="1"/>
      <c r="O1969" s="1"/>
      <c r="P1969" s="1"/>
      <c r="Q1969" s="1"/>
      <c r="R1969" s="1"/>
    </row>
    <row r="1970" spans="2:18">
      <c r="C1970" s="2" t="s">
        <v>5</v>
      </c>
      <c r="D1970" s="2" t="s">
        <v>258</v>
      </c>
      <c r="E1970" s="3">
        <v>3.5</v>
      </c>
      <c r="F1970" s="3">
        <f>+E1970/9</f>
        <v>0.3888888888888889</v>
      </c>
      <c r="G1970" s="4">
        <v>42979</v>
      </c>
      <c r="M1970" s="1"/>
      <c r="N1970" s="1"/>
      <c r="O1970" s="1"/>
      <c r="P1970" s="1"/>
      <c r="Q1970" s="1"/>
      <c r="R1970" s="1"/>
    </row>
    <row r="1971" spans="2:18">
      <c r="C1971" s="2" t="s">
        <v>8</v>
      </c>
      <c r="D1971" s="2" t="s">
        <v>176</v>
      </c>
      <c r="E1971" s="3">
        <v>130</v>
      </c>
      <c r="F1971" s="3">
        <v>12</v>
      </c>
      <c r="G1971" s="4">
        <v>42080</v>
      </c>
      <c r="M1971" s="1"/>
      <c r="N1971" s="1"/>
      <c r="O1971" s="1"/>
      <c r="P1971" s="1"/>
      <c r="Q1971" s="1"/>
      <c r="R1971" s="1"/>
    </row>
    <row r="1972" spans="2:18">
      <c r="C1972" s="2" t="s">
        <v>5</v>
      </c>
      <c r="D1972" s="2" t="s">
        <v>176</v>
      </c>
      <c r="E1972" s="3">
        <v>1.1000000000000001</v>
      </c>
      <c r="F1972" s="3">
        <v>1.1000000000000001</v>
      </c>
      <c r="G1972" s="4">
        <v>40750</v>
      </c>
      <c r="M1972" s="1"/>
      <c r="N1972" s="1"/>
      <c r="O1972" s="1"/>
      <c r="P1972" s="1"/>
      <c r="Q1972" s="1"/>
      <c r="R1972" s="1"/>
    </row>
    <row r="1973" spans="2:18">
      <c r="G1973" s="4"/>
      <c r="M1973" s="1"/>
      <c r="N1973" s="1"/>
      <c r="O1973" s="1"/>
      <c r="P1973" s="1"/>
      <c r="Q1973" s="1"/>
      <c r="R1973" s="1"/>
    </row>
    <row r="1974" spans="2:18" s="12" customFormat="1">
      <c r="B1974" s="12" t="s">
        <v>934</v>
      </c>
      <c r="C1974" s="13" t="s">
        <v>969</v>
      </c>
      <c r="D1974" s="13" t="s">
        <v>968</v>
      </c>
      <c r="E1974" s="15"/>
      <c r="F1974" s="15">
        <f>SUM(F1975:F1977)</f>
        <v>35</v>
      </c>
      <c r="G1974" s="14">
        <f>G1975</f>
        <v>44671</v>
      </c>
      <c r="M1974" s="13"/>
      <c r="N1974" s="13"/>
      <c r="O1974" s="13"/>
      <c r="P1974" s="13"/>
      <c r="Q1974" s="13"/>
      <c r="R1974" s="13"/>
    </row>
    <row r="1975" spans="2:18">
      <c r="C1975" s="2" t="s">
        <v>5</v>
      </c>
      <c r="D1975" s="2" t="s">
        <v>843</v>
      </c>
      <c r="E1975" s="3">
        <v>44</v>
      </c>
      <c r="F1975" s="3">
        <v>10</v>
      </c>
      <c r="G1975" s="4">
        <v>44671</v>
      </c>
    </row>
    <row r="1976" spans="2:18">
      <c r="C1976" s="2" t="s">
        <v>18</v>
      </c>
      <c r="D1976" s="2" t="s">
        <v>39</v>
      </c>
      <c r="E1976" s="3">
        <v>100</v>
      </c>
      <c r="F1976" s="3">
        <f>60/4</f>
        <v>15</v>
      </c>
      <c r="G1976" s="4">
        <v>44025</v>
      </c>
    </row>
    <row r="1977" spans="2:18">
      <c r="C1977" s="2" t="s">
        <v>7</v>
      </c>
      <c r="D1977" s="2" t="s">
        <v>39</v>
      </c>
      <c r="E1977" s="3">
        <f>42</f>
        <v>42</v>
      </c>
      <c r="F1977" s="3">
        <v>10</v>
      </c>
      <c r="G1977" s="4">
        <v>43144</v>
      </c>
    </row>
    <row r="1979" spans="2:18">
      <c r="B1979" s="12" t="s">
        <v>5006</v>
      </c>
      <c r="C1979" s="13" t="s">
        <v>969</v>
      </c>
      <c r="D1979" s="13" t="s">
        <v>968</v>
      </c>
      <c r="F1979" s="15">
        <f>SUM(F1980:F1988)</f>
        <v>35.43333333333333</v>
      </c>
      <c r="G1979" s="14">
        <f>G1983</f>
        <v>45062</v>
      </c>
      <c r="M1979" s="92" t="s">
        <v>5413</v>
      </c>
    </row>
    <row r="1980" spans="2:18">
      <c r="C1980" s="2" t="s">
        <v>7</v>
      </c>
      <c r="D1980" s="2" t="s">
        <v>1011</v>
      </c>
      <c r="E1980" s="3">
        <v>43</v>
      </c>
      <c r="F1980" s="3">
        <v>6</v>
      </c>
      <c r="G1980" s="4">
        <v>44978</v>
      </c>
    </row>
    <row r="1981" spans="2:18">
      <c r="C1981" s="2" t="s">
        <v>4</v>
      </c>
      <c r="D1981" s="2" t="s">
        <v>771</v>
      </c>
      <c r="E1981" s="3">
        <v>10</v>
      </c>
      <c r="F1981" s="3">
        <v>1</v>
      </c>
      <c r="G1981" s="4">
        <v>44858</v>
      </c>
      <c r="I1981" s="91" t="s">
        <v>5988</v>
      </c>
    </row>
    <row r="1982" spans="2:18">
      <c r="C1982" s="2" t="s">
        <v>4</v>
      </c>
      <c r="D1982" s="2" t="s">
        <v>771</v>
      </c>
      <c r="E1982" s="3">
        <v>4.5999999999999996</v>
      </c>
      <c r="F1982" s="3">
        <v>2</v>
      </c>
      <c r="G1982" s="4">
        <v>44530</v>
      </c>
    </row>
    <row r="1983" spans="2:18">
      <c r="C1983" s="2" t="s">
        <v>4</v>
      </c>
      <c r="D1983" s="2" t="s">
        <v>807</v>
      </c>
      <c r="E1983" s="3">
        <v>5</v>
      </c>
      <c r="F1983" s="3">
        <f>5/3</f>
        <v>1.6666666666666667</v>
      </c>
      <c r="G1983" s="4">
        <v>45062</v>
      </c>
    </row>
    <row r="1984" spans="2:18">
      <c r="C1984" s="2" t="s">
        <v>5</v>
      </c>
      <c r="D1984" s="2" t="s">
        <v>1017</v>
      </c>
      <c r="E1984" s="3">
        <v>10.6</v>
      </c>
      <c r="F1984" s="3">
        <v>3</v>
      </c>
      <c r="G1984" s="4">
        <v>44819</v>
      </c>
    </row>
    <row r="1985" spans="2:18">
      <c r="C1985" s="92" t="s">
        <v>7</v>
      </c>
      <c r="D1985" s="92" t="s">
        <v>5407</v>
      </c>
      <c r="E1985" s="3">
        <v>13.5</v>
      </c>
      <c r="F1985" s="3">
        <f>8/3</f>
        <v>2.6666666666666665</v>
      </c>
      <c r="G1985" s="4">
        <v>43320</v>
      </c>
      <c r="J1985" s="1">
        <v>2000</v>
      </c>
    </row>
    <row r="1986" spans="2:18">
      <c r="C1986" s="92" t="s">
        <v>5</v>
      </c>
      <c r="D1986" s="92" t="s">
        <v>5407</v>
      </c>
      <c r="E1986" s="3">
        <v>18.100000000000001</v>
      </c>
      <c r="F1986" s="3">
        <v>8.1</v>
      </c>
      <c r="G1986" s="4">
        <v>42719</v>
      </c>
      <c r="J1986" s="1">
        <v>2000</v>
      </c>
    </row>
    <row r="1987" spans="2:18">
      <c r="C1987" s="92" t="s">
        <v>7</v>
      </c>
      <c r="D1987" s="92" t="s">
        <v>5990</v>
      </c>
      <c r="E1987" s="3">
        <v>50</v>
      </c>
      <c r="F1987" s="3">
        <v>7</v>
      </c>
      <c r="G1987" s="4">
        <v>44670</v>
      </c>
      <c r="J1987" s="1">
        <v>250</v>
      </c>
    </row>
    <row r="1988" spans="2:18">
      <c r="C1988" s="92" t="s">
        <v>5</v>
      </c>
      <c r="D1988" s="92" t="s">
        <v>5990</v>
      </c>
      <c r="E1988" s="3">
        <v>12</v>
      </c>
      <c r="F1988" s="3">
        <v>4</v>
      </c>
      <c r="G1988" s="4">
        <v>43941</v>
      </c>
      <c r="J1988" s="1">
        <v>250</v>
      </c>
    </row>
    <row r="1989" spans="2:18">
      <c r="G1989" s="4"/>
    </row>
    <row r="1990" spans="2:18" s="12" customFormat="1">
      <c r="B1990" s="12" t="s">
        <v>69</v>
      </c>
      <c r="C1990" s="13" t="s">
        <v>969</v>
      </c>
      <c r="D1990" s="13" t="s">
        <v>968</v>
      </c>
      <c r="E1990" s="15"/>
      <c r="F1990" s="15">
        <f>SUM(F1991:F1992)</f>
        <v>35</v>
      </c>
      <c r="G1990" s="14">
        <f>G1991</f>
        <v>44550</v>
      </c>
      <c r="M1990" s="13"/>
      <c r="N1990" s="13"/>
      <c r="O1990" s="13"/>
      <c r="P1990" s="13"/>
      <c r="Q1990" s="13"/>
      <c r="R1990" s="13"/>
    </row>
    <row r="1991" spans="2:18">
      <c r="C1991" s="2" t="s">
        <v>7</v>
      </c>
      <c r="D1991" s="2" t="s">
        <v>64</v>
      </c>
      <c r="E1991" s="3">
        <f>1600/7</f>
        <v>228.57142857142858</v>
      </c>
      <c r="F1991" s="3">
        <v>30</v>
      </c>
      <c r="G1991" s="4">
        <v>44550</v>
      </c>
    </row>
    <row r="1992" spans="2:18">
      <c r="D1992" s="2" t="s">
        <v>64</v>
      </c>
      <c r="E1992" s="3">
        <v>50</v>
      </c>
      <c r="F1992" s="3">
        <f>20/4</f>
        <v>5</v>
      </c>
      <c r="G1992" s="4">
        <v>44165</v>
      </c>
    </row>
    <row r="1993" spans="2:18">
      <c r="G1993" s="4"/>
    </row>
    <row r="1994" spans="2:18" s="12" customFormat="1">
      <c r="B1994" s="12" t="s">
        <v>129</v>
      </c>
      <c r="C1994" s="13" t="s">
        <v>969</v>
      </c>
      <c r="D1994" s="13" t="s">
        <v>968</v>
      </c>
      <c r="E1994" s="15"/>
      <c r="F1994" s="15">
        <f>SUM(F1995:F1997)</f>
        <v>34.5</v>
      </c>
      <c r="G1994" s="14">
        <f>G1995</f>
        <v>45008</v>
      </c>
      <c r="M1994" s="13"/>
      <c r="N1994" s="13"/>
      <c r="O1994" s="13"/>
      <c r="P1994" s="13"/>
      <c r="Q1994" s="13"/>
      <c r="R1994" s="13"/>
    </row>
    <row r="1995" spans="2:18">
      <c r="C1995" s="2" t="s">
        <v>7</v>
      </c>
      <c r="D1995" s="2" t="s">
        <v>128</v>
      </c>
      <c r="E1995" s="3">
        <v>23.5</v>
      </c>
      <c r="F1995" s="3">
        <f>14/4</f>
        <v>3.5</v>
      </c>
      <c r="G1995" s="4">
        <v>45008</v>
      </c>
    </row>
    <row r="1996" spans="2:18">
      <c r="C1996" s="2" t="s">
        <v>504</v>
      </c>
      <c r="D1996" s="2" t="s">
        <v>3935</v>
      </c>
      <c r="E1996" s="3">
        <v>56</v>
      </c>
      <c r="F1996" s="3">
        <f>E1996/2</f>
        <v>28</v>
      </c>
      <c r="G1996" s="4">
        <v>41183</v>
      </c>
    </row>
    <row r="1997" spans="2:18">
      <c r="C1997" s="52" t="s">
        <v>7</v>
      </c>
      <c r="D1997" s="52" t="s">
        <v>2116</v>
      </c>
      <c r="E1997" s="3">
        <v>40</v>
      </c>
      <c r="F1997" s="3">
        <v>3</v>
      </c>
      <c r="G1997" s="4">
        <v>43720</v>
      </c>
      <c r="J1997" s="1">
        <v>3400</v>
      </c>
    </row>
    <row r="1998" spans="2:18">
      <c r="G1998" s="4"/>
    </row>
    <row r="1999" spans="2:18" s="12" customFormat="1">
      <c r="B1999" s="12" t="s">
        <v>497</v>
      </c>
      <c r="C1999" s="13" t="s">
        <v>969</v>
      </c>
      <c r="D1999" s="13" t="s">
        <v>968</v>
      </c>
      <c r="E1999" s="15"/>
      <c r="F1999" s="15">
        <f>SUM(F2000:F2001)</f>
        <v>34</v>
      </c>
      <c r="G1999" s="14">
        <f>G2000</f>
        <v>43725</v>
      </c>
    </row>
    <row r="2000" spans="2:18">
      <c r="C2000" s="2" t="s">
        <v>9</v>
      </c>
      <c r="D2000" s="2" t="s">
        <v>489</v>
      </c>
      <c r="E2000" s="3">
        <v>206</v>
      </c>
      <c r="F2000" s="3">
        <v>14</v>
      </c>
      <c r="G2000" s="4">
        <v>43725</v>
      </c>
      <c r="M2000" s="1"/>
      <c r="N2000" s="1"/>
      <c r="O2000" s="1"/>
      <c r="P2000" s="1"/>
      <c r="Q2000" s="1"/>
      <c r="R2000" s="1"/>
    </row>
    <row r="2001" spans="2:18">
      <c r="C2001" s="2" t="s">
        <v>8</v>
      </c>
      <c r="D2001" s="2" t="s">
        <v>489</v>
      </c>
      <c r="E2001" s="3">
        <v>100</v>
      </c>
      <c r="F2001" s="3">
        <v>20</v>
      </c>
      <c r="G2001" s="4">
        <v>43397</v>
      </c>
      <c r="M2001" s="1"/>
      <c r="N2001" s="1"/>
      <c r="O2001" s="1"/>
      <c r="P2001" s="1"/>
      <c r="Q2001" s="1"/>
      <c r="R2001" s="1"/>
    </row>
    <row r="2002" spans="2:18">
      <c r="G2002" s="4"/>
      <c r="M2002" s="1"/>
      <c r="N2002" s="1"/>
      <c r="O2002" s="1"/>
      <c r="P2002" s="1"/>
      <c r="Q2002" s="1"/>
      <c r="R2002" s="1"/>
    </row>
    <row r="2003" spans="2:18" s="12" customFormat="1">
      <c r="B2003" s="12" t="s">
        <v>5001</v>
      </c>
      <c r="C2003" s="13" t="s">
        <v>969</v>
      </c>
      <c r="D2003" s="13" t="s">
        <v>968</v>
      </c>
      <c r="E2003" s="15"/>
      <c r="F2003" s="15">
        <f>SUM(F2004:F2005)</f>
        <v>34</v>
      </c>
      <c r="G2003" s="14">
        <f>G2004</f>
        <v>44474</v>
      </c>
      <c r="M2003" s="13"/>
      <c r="N2003" s="13"/>
      <c r="O2003" s="13"/>
      <c r="P2003" s="13"/>
      <c r="Q2003" s="13"/>
      <c r="R2003" s="13"/>
    </row>
    <row r="2004" spans="2:18">
      <c r="B2004" s="54"/>
      <c r="C2004" s="55" t="s">
        <v>53</v>
      </c>
      <c r="D2004" s="55" t="s">
        <v>4996</v>
      </c>
      <c r="E2004" s="3">
        <v>100</v>
      </c>
      <c r="F2004" s="3">
        <v>14</v>
      </c>
      <c r="G2004" s="4">
        <v>44474</v>
      </c>
    </row>
    <row r="2005" spans="2:18">
      <c r="C2005" s="55" t="s">
        <v>9</v>
      </c>
      <c r="D2005" s="55" t="s">
        <v>4996</v>
      </c>
      <c r="E2005" s="3">
        <v>43</v>
      </c>
      <c r="F2005" s="3">
        <v>20</v>
      </c>
      <c r="G2005" s="4">
        <v>43992</v>
      </c>
    </row>
    <row r="2006" spans="2:18">
      <c r="C2006" s="55"/>
      <c r="D2006" s="55"/>
      <c r="G2006" s="4"/>
    </row>
    <row r="2007" spans="2:18" s="12" customFormat="1">
      <c r="B2007" s="12" t="s">
        <v>322</v>
      </c>
      <c r="C2007" s="13" t="s">
        <v>969</v>
      </c>
      <c r="D2007" s="13" t="s">
        <v>968</v>
      </c>
      <c r="E2007" s="15"/>
      <c r="F2007" s="15">
        <f>SUM(F2008:F2009)</f>
        <v>33.75</v>
      </c>
      <c r="G2007" s="14">
        <f>G2009</f>
        <v>44867</v>
      </c>
    </row>
    <row r="2008" spans="2:18">
      <c r="C2008" s="2" t="s">
        <v>7</v>
      </c>
      <c r="D2008" s="2" t="s">
        <v>318</v>
      </c>
      <c r="E2008" s="3">
        <v>55</v>
      </c>
      <c r="F2008" s="3">
        <v>25</v>
      </c>
      <c r="G2008" s="4">
        <v>44200</v>
      </c>
      <c r="L2008" s="1">
        <f>+F2008*5</f>
        <v>125</v>
      </c>
      <c r="M2008" s="1"/>
      <c r="N2008" s="1"/>
      <c r="O2008" s="1"/>
      <c r="P2008" s="1"/>
      <c r="Q2008" s="1"/>
      <c r="R2008" s="1"/>
    </row>
    <row r="2009" spans="2:18">
      <c r="C2009" s="2" t="s">
        <v>18</v>
      </c>
      <c r="D2009" s="2" t="s">
        <v>318</v>
      </c>
      <c r="E2009" s="3">
        <v>91</v>
      </c>
      <c r="F2009" s="3">
        <f>70/8</f>
        <v>8.75</v>
      </c>
      <c r="G2009" s="4">
        <v>44867</v>
      </c>
      <c r="M2009" s="1"/>
      <c r="N2009" s="1"/>
      <c r="O2009" s="1"/>
      <c r="P2009" s="1"/>
      <c r="Q2009" s="1"/>
      <c r="R2009" s="1"/>
    </row>
    <row r="2010" spans="2:18">
      <c r="C2010" s="52" t="s">
        <v>18</v>
      </c>
      <c r="D2010" s="52" t="s">
        <v>2118</v>
      </c>
      <c r="E2010" s="3">
        <v>300</v>
      </c>
      <c r="F2010" s="3">
        <f>200/14</f>
        <v>14.285714285714286</v>
      </c>
      <c r="G2010" s="4">
        <v>44300</v>
      </c>
      <c r="M2010" s="1"/>
      <c r="N2010" s="1"/>
      <c r="O2010" s="1"/>
      <c r="P2010" s="1"/>
      <c r="Q2010" s="1"/>
      <c r="R2010" s="1"/>
    </row>
    <row r="2011" spans="2:18">
      <c r="G2011" s="4"/>
      <c r="M2011" s="1"/>
      <c r="N2011" s="1"/>
      <c r="O2011" s="1"/>
      <c r="P2011" s="1"/>
      <c r="Q2011" s="1"/>
      <c r="R2011" s="1"/>
    </row>
    <row r="2012" spans="2:18" s="12" customFormat="1">
      <c r="B2012" s="12" t="s">
        <v>955</v>
      </c>
      <c r="C2012" s="13" t="s">
        <v>969</v>
      </c>
      <c r="D2012" s="13" t="s">
        <v>968</v>
      </c>
      <c r="E2012" s="15"/>
      <c r="F2012" s="15">
        <f>SUM(F2013:F2014)</f>
        <v>33.523809523809526</v>
      </c>
      <c r="G2012" s="14">
        <f>G2013</f>
        <v>45048</v>
      </c>
      <c r="M2012" s="13"/>
      <c r="N2012" s="13"/>
      <c r="O2012" s="13"/>
      <c r="P2012" s="13"/>
      <c r="Q2012" s="13"/>
      <c r="R2012" s="13"/>
    </row>
    <row r="2013" spans="2:18">
      <c r="C2013" s="2" t="s">
        <v>18</v>
      </c>
      <c r="D2013" s="2" t="s">
        <v>952</v>
      </c>
      <c r="E2013" s="3">
        <v>270</v>
      </c>
      <c r="F2013" s="3">
        <v>24</v>
      </c>
      <c r="G2013" s="4">
        <v>45048</v>
      </c>
    </row>
    <row r="2014" spans="2:18">
      <c r="C2014" s="2" t="s">
        <v>9</v>
      </c>
      <c r="D2014" s="2" t="s">
        <v>22</v>
      </c>
      <c r="E2014" s="3">
        <v>222</v>
      </c>
      <c r="F2014" s="3">
        <f>200/21</f>
        <v>9.5238095238095237</v>
      </c>
      <c r="G2014" s="4">
        <v>44194</v>
      </c>
      <c r="I2014" s="1">
        <v>2500</v>
      </c>
      <c r="J2014" s="1">
        <v>2500</v>
      </c>
    </row>
    <row r="2015" spans="2:18">
      <c r="G2015" s="4"/>
    </row>
    <row r="2016" spans="2:18" s="12" customFormat="1">
      <c r="B2016" s="12" t="s">
        <v>56</v>
      </c>
      <c r="C2016" s="13" t="s">
        <v>969</v>
      </c>
      <c r="D2016" s="13" t="s">
        <v>968</v>
      </c>
      <c r="E2016" s="15"/>
      <c r="F2016" s="15">
        <f>SUM(F2017:F2020)</f>
        <v>33.75</v>
      </c>
      <c r="G2016" s="14">
        <f>G2017</f>
        <v>44055</v>
      </c>
      <c r="M2016" s="13"/>
      <c r="N2016" s="13"/>
      <c r="O2016" s="13"/>
      <c r="P2016" s="13"/>
      <c r="Q2016" s="13"/>
      <c r="R2016" s="13"/>
    </row>
    <row r="2017" spans="2:18">
      <c r="C2017" s="2" t="s">
        <v>8</v>
      </c>
      <c r="D2017" s="2" t="s">
        <v>55</v>
      </c>
      <c r="E2017" s="3">
        <v>200</v>
      </c>
      <c r="F2017" s="3">
        <v>18.75</v>
      </c>
      <c r="G2017" s="4">
        <v>44055</v>
      </c>
      <c r="I2017" s="1">
        <v>2000</v>
      </c>
      <c r="J2017" s="1">
        <v>7000</v>
      </c>
    </row>
    <row r="2018" spans="2:18">
      <c r="C2018" s="2" t="s">
        <v>18</v>
      </c>
      <c r="D2018" s="2" t="s">
        <v>55</v>
      </c>
      <c r="E2018" s="3">
        <v>65</v>
      </c>
      <c r="F2018" s="3">
        <v>8</v>
      </c>
      <c r="G2018" s="4">
        <v>43802</v>
      </c>
      <c r="I2018" s="1">
        <v>685</v>
      </c>
      <c r="J2018" s="1">
        <v>7000</v>
      </c>
    </row>
    <row r="2019" spans="2:18">
      <c r="C2019" s="2" t="s">
        <v>7</v>
      </c>
      <c r="D2019" s="2" t="s">
        <v>55</v>
      </c>
      <c r="E2019" s="3">
        <v>20</v>
      </c>
      <c r="F2019" s="3">
        <v>5</v>
      </c>
      <c r="G2019" s="4">
        <v>42898</v>
      </c>
      <c r="J2019" s="1">
        <v>7000</v>
      </c>
    </row>
    <row r="2020" spans="2:18">
      <c r="C2020" s="241" t="s">
        <v>4</v>
      </c>
      <c r="D2020" s="241" t="s">
        <v>2014</v>
      </c>
      <c r="E2020" s="3">
        <v>12</v>
      </c>
      <c r="F2020" s="3">
        <v>2</v>
      </c>
      <c r="G2020" s="4">
        <v>43872</v>
      </c>
    </row>
    <row r="2021" spans="2:18">
      <c r="G2021" s="4"/>
    </row>
    <row r="2022" spans="2:18" s="12" customFormat="1">
      <c r="B2022" s="12" t="s">
        <v>931</v>
      </c>
      <c r="C2022" s="13" t="s">
        <v>969</v>
      </c>
      <c r="D2022" s="13" t="s">
        <v>968</v>
      </c>
      <c r="E2022" s="15"/>
      <c r="F2022" s="15">
        <f>SUM(F2023:F2025)</f>
        <v>34</v>
      </c>
      <c r="G2022" s="14">
        <f>G2023</f>
        <v>44392</v>
      </c>
      <c r="M2022" s="13"/>
      <c r="N2022" s="13"/>
      <c r="O2022" s="13"/>
      <c r="P2022" s="13"/>
      <c r="Q2022" s="13"/>
      <c r="R2022" s="13"/>
    </row>
    <row r="2023" spans="2:18">
      <c r="C2023" s="2" t="s">
        <v>5</v>
      </c>
      <c r="D2023" s="2" t="s">
        <v>695</v>
      </c>
      <c r="E2023" s="3">
        <v>20</v>
      </c>
      <c r="F2023" s="3">
        <v>10</v>
      </c>
      <c r="G2023" s="4">
        <v>44392</v>
      </c>
    </row>
    <row r="2024" spans="2:18">
      <c r="C2024" s="2" t="s">
        <v>8</v>
      </c>
      <c r="D2024" s="2" t="s">
        <v>176</v>
      </c>
      <c r="E2024" s="3">
        <v>130</v>
      </c>
      <c r="F2024" s="3">
        <v>12</v>
      </c>
      <c r="G2024" s="4">
        <v>42080</v>
      </c>
    </row>
    <row r="2025" spans="2:18">
      <c r="C2025" s="2" t="s">
        <v>18</v>
      </c>
      <c r="D2025" s="2" t="s">
        <v>102</v>
      </c>
      <c r="E2025" s="3">
        <v>24</v>
      </c>
      <c r="F2025" s="3">
        <v>12</v>
      </c>
      <c r="G2025" s="4">
        <v>41921</v>
      </c>
    </row>
    <row r="2026" spans="2:18">
      <c r="G2026" s="4"/>
    </row>
    <row r="2027" spans="2:18" s="12" customFormat="1">
      <c r="B2027" s="12" t="s">
        <v>618</v>
      </c>
      <c r="C2027" s="13" t="s">
        <v>969</v>
      </c>
      <c r="D2027" s="13" t="s">
        <v>968</v>
      </c>
      <c r="E2027" s="15"/>
      <c r="F2027" s="15">
        <f>SUM(F2028:F2030)</f>
        <v>32.555555555555557</v>
      </c>
      <c r="G2027" s="14">
        <f>G2029</f>
        <v>45124</v>
      </c>
    </row>
    <row r="2028" spans="2:18">
      <c r="C2028" s="2" t="s">
        <v>9</v>
      </c>
      <c r="D2028" s="2" t="s">
        <v>606</v>
      </c>
      <c r="E2028" s="3">
        <v>132</v>
      </c>
      <c r="F2028" s="3">
        <v>20</v>
      </c>
      <c r="G2028" s="4">
        <v>44215</v>
      </c>
      <c r="I2028" s="1">
        <v>1400</v>
      </c>
      <c r="J2028" s="1">
        <v>1200</v>
      </c>
      <c r="M2028" s="1"/>
      <c r="N2028" s="1"/>
      <c r="O2028" s="1"/>
      <c r="P2028" s="1"/>
      <c r="Q2028" s="1"/>
      <c r="R2028" s="1"/>
    </row>
    <row r="2029" spans="2:18">
      <c r="C2029" s="265" t="s">
        <v>7934</v>
      </c>
      <c r="D2029" s="2" t="s">
        <v>606</v>
      </c>
      <c r="E2029" s="3">
        <v>59</v>
      </c>
      <c r="F2029" s="3">
        <f>59/9</f>
        <v>6.5555555555555554</v>
      </c>
      <c r="G2029" s="4">
        <v>45124</v>
      </c>
      <c r="I2029" s="1">
        <v>1200</v>
      </c>
      <c r="J2029" s="1">
        <v>1200</v>
      </c>
      <c r="M2029" s="1"/>
      <c r="N2029" s="1"/>
      <c r="O2029" s="1"/>
      <c r="P2029" s="1"/>
      <c r="Q2029" s="1"/>
      <c r="R2029" s="1"/>
    </row>
    <row r="2030" spans="2:18">
      <c r="C2030" s="2" t="s">
        <v>8</v>
      </c>
      <c r="D2030" s="2" t="s">
        <v>606</v>
      </c>
      <c r="E2030" s="3">
        <v>42</v>
      </c>
      <c r="F2030" s="3">
        <f>30/5</f>
        <v>6</v>
      </c>
      <c r="G2030" s="4">
        <v>44153</v>
      </c>
      <c r="J2030" s="1">
        <v>1200</v>
      </c>
      <c r="M2030" s="1"/>
      <c r="N2030" s="1"/>
      <c r="O2030" s="1"/>
      <c r="P2030" s="1"/>
      <c r="Q2030" s="1"/>
      <c r="R2030" s="1"/>
    </row>
    <row r="2031" spans="2:18">
      <c r="G2031" s="4"/>
      <c r="M2031" s="1"/>
      <c r="N2031" s="1"/>
      <c r="O2031" s="1"/>
      <c r="P2031" s="1"/>
      <c r="Q2031" s="1"/>
      <c r="R2031" s="1"/>
    </row>
    <row r="2032" spans="2:18">
      <c r="B2032" s="12" t="s">
        <v>1020</v>
      </c>
      <c r="C2032" s="13" t="s">
        <v>969</v>
      </c>
      <c r="D2032" s="13" t="s">
        <v>968</v>
      </c>
      <c r="F2032" s="15">
        <f>SUM(F2033:F2037)</f>
        <v>33.142857142857139</v>
      </c>
      <c r="G2032" s="14">
        <f>G2034</f>
        <v>44650</v>
      </c>
    </row>
    <row r="2033" spans="2:18">
      <c r="C2033" s="2" t="s">
        <v>7</v>
      </c>
      <c r="D2033" s="2" t="s">
        <v>864</v>
      </c>
      <c r="E2033" s="3">
        <v>50</v>
      </c>
      <c r="F2033" s="3">
        <f>E2033/7</f>
        <v>7.1428571428571432</v>
      </c>
      <c r="G2033" s="4">
        <v>44628</v>
      </c>
    </row>
    <row r="2034" spans="2:18">
      <c r="C2034" s="2" t="s">
        <v>7</v>
      </c>
      <c r="D2034" s="2" t="s">
        <v>891</v>
      </c>
      <c r="E2034" s="3">
        <v>40</v>
      </c>
      <c r="F2034" s="3">
        <v>5</v>
      </c>
      <c r="G2034" s="4">
        <v>44650</v>
      </c>
    </row>
    <row r="2035" spans="2:18">
      <c r="C2035" s="2" t="s">
        <v>5</v>
      </c>
      <c r="D2035" s="2" t="s">
        <v>891</v>
      </c>
      <c r="E2035" s="3">
        <v>14</v>
      </c>
      <c r="F2035" s="3">
        <v>5</v>
      </c>
      <c r="G2035" s="4">
        <v>44131</v>
      </c>
    </row>
    <row r="2036" spans="2:18">
      <c r="C2036" s="2" t="s">
        <v>7</v>
      </c>
      <c r="D2036" s="2" t="s">
        <v>286</v>
      </c>
      <c r="E2036" s="3">
        <v>35</v>
      </c>
      <c r="F2036" s="3">
        <v>10</v>
      </c>
      <c r="G2036" s="4">
        <v>44309</v>
      </c>
    </row>
    <row r="2037" spans="2:18">
      <c r="C2037" s="2" t="s">
        <v>7</v>
      </c>
      <c r="D2037" s="2" t="s">
        <v>197</v>
      </c>
      <c r="E2037" s="3">
        <v>46</v>
      </c>
      <c r="F2037" s="3">
        <v>6</v>
      </c>
      <c r="G2037" s="4">
        <v>42941</v>
      </c>
    </row>
    <row r="2039" spans="2:18" s="12" customFormat="1">
      <c r="B2039" s="12" t="s">
        <v>1050</v>
      </c>
      <c r="C2039" s="13" t="s">
        <v>969</v>
      </c>
      <c r="D2039" s="13" t="s">
        <v>968</v>
      </c>
      <c r="E2039" s="15"/>
      <c r="F2039" s="15">
        <f>SUM(F2040:F2048)</f>
        <v>31.774999999999999</v>
      </c>
      <c r="G2039" s="14">
        <f>+G2046</f>
        <v>45008</v>
      </c>
      <c r="M2039" s="13"/>
      <c r="N2039" s="13"/>
      <c r="O2039" s="13"/>
      <c r="P2039" s="13"/>
      <c r="Q2039" s="13"/>
      <c r="R2039" s="13"/>
    </row>
    <row r="2040" spans="2:18">
      <c r="C2040" s="2" t="s">
        <v>5</v>
      </c>
      <c r="D2040" s="2" t="s">
        <v>773</v>
      </c>
      <c r="E2040" s="3">
        <v>12.8</v>
      </c>
      <c r="F2040" s="3">
        <v>3</v>
      </c>
      <c r="G2040" s="4">
        <v>44698</v>
      </c>
    </row>
    <row r="2041" spans="2:18">
      <c r="C2041" s="2" t="s">
        <v>4</v>
      </c>
      <c r="D2041" s="2" t="s">
        <v>773</v>
      </c>
      <c r="E2041" s="3">
        <v>5.5</v>
      </c>
      <c r="F2041" s="3">
        <v>1</v>
      </c>
      <c r="G2041" s="4">
        <v>44488</v>
      </c>
    </row>
    <row r="2042" spans="2:18">
      <c r="C2042" s="2" t="s">
        <v>4</v>
      </c>
      <c r="D2042" s="2" t="s">
        <v>649</v>
      </c>
      <c r="E2042" s="3">
        <v>8</v>
      </c>
      <c r="F2042" s="3">
        <v>1</v>
      </c>
      <c r="G2042" s="4">
        <v>44677</v>
      </c>
    </row>
    <row r="2043" spans="2:18">
      <c r="C2043" s="2" t="s">
        <v>7</v>
      </c>
      <c r="D2043" s="2" t="s">
        <v>475</v>
      </c>
      <c r="E2043" s="3">
        <v>90</v>
      </c>
      <c r="F2043" s="3">
        <v>6</v>
      </c>
      <c r="G2043" s="4">
        <v>44398</v>
      </c>
    </row>
    <row r="2044" spans="2:18">
      <c r="C2044" s="2" t="s">
        <v>5</v>
      </c>
      <c r="D2044" s="2" t="s">
        <v>475</v>
      </c>
      <c r="E2044" s="3">
        <v>22.8</v>
      </c>
      <c r="F2044" s="3">
        <v>6.4</v>
      </c>
      <c r="G2044" s="4">
        <v>43160</v>
      </c>
    </row>
    <row r="2045" spans="2:18">
      <c r="C2045" s="2" t="s">
        <v>5</v>
      </c>
      <c r="D2045" s="2" t="s">
        <v>313</v>
      </c>
      <c r="E2045" s="3">
        <v>57</v>
      </c>
      <c r="F2045" s="3">
        <v>6</v>
      </c>
      <c r="G2045" s="4">
        <v>44508</v>
      </c>
    </row>
    <row r="2046" spans="2:18">
      <c r="C2046" s="2" t="s">
        <v>7</v>
      </c>
      <c r="D2046" s="2" t="s">
        <v>128</v>
      </c>
      <c r="E2046" s="3">
        <v>23.5</v>
      </c>
      <c r="F2046" s="3">
        <f>13.5/4</f>
        <v>3.375</v>
      </c>
      <c r="G2046" s="4">
        <v>45008</v>
      </c>
    </row>
    <row r="2047" spans="2:18">
      <c r="C2047" s="2" t="s">
        <v>4</v>
      </c>
      <c r="D2047" s="2" t="s">
        <v>128</v>
      </c>
      <c r="E2047" s="3">
        <v>5</v>
      </c>
      <c r="F2047" s="3">
        <v>2</v>
      </c>
      <c r="G2047" s="4">
        <v>44176</v>
      </c>
    </row>
    <row r="2048" spans="2:18">
      <c r="C2048" s="2" t="s">
        <v>5</v>
      </c>
      <c r="D2048" s="2" t="s">
        <v>2017</v>
      </c>
      <c r="E2048" s="3">
        <v>10</v>
      </c>
      <c r="F2048" s="3">
        <v>3</v>
      </c>
      <c r="G2048" s="4">
        <v>44504</v>
      </c>
    </row>
    <row r="2049" spans="2:18">
      <c r="G2049" s="4"/>
    </row>
    <row r="2050" spans="2:18" s="12" customFormat="1">
      <c r="B2050" s="12" t="s">
        <v>4990</v>
      </c>
      <c r="C2050" s="13" t="s">
        <v>969</v>
      </c>
      <c r="D2050" s="13" t="s">
        <v>968</v>
      </c>
      <c r="E2050" s="15"/>
      <c r="F2050" s="15">
        <f>SUM(F2051:F2053)</f>
        <v>31.964285714285715</v>
      </c>
      <c r="G2050" s="14">
        <f>G2051</f>
        <v>44507</v>
      </c>
      <c r="M2050" s="13"/>
      <c r="N2050" s="13"/>
      <c r="O2050" s="13"/>
      <c r="P2050" s="13"/>
      <c r="Q2050" s="13"/>
      <c r="R2050" s="13"/>
    </row>
    <row r="2051" spans="2:18" s="54" customFormat="1">
      <c r="B2051" s="254" t="s">
        <v>7631</v>
      </c>
      <c r="C2051" s="55" t="s">
        <v>9</v>
      </c>
      <c r="D2051" s="55" t="s">
        <v>2112</v>
      </c>
      <c r="E2051" s="57">
        <v>100</v>
      </c>
      <c r="F2051" s="57">
        <v>10.714285714285714</v>
      </c>
      <c r="G2051" s="56">
        <v>44507</v>
      </c>
      <c r="I2051" s="54">
        <v>1600</v>
      </c>
      <c r="J2051" s="54">
        <v>1600</v>
      </c>
      <c r="M2051" s="55"/>
      <c r="N2051" s="55"/>
      <c r="O2051" s="55"/>
      <c r="P2051" s="55"/>
      <c r="Q2051" s="55"/>
      <c r="R2051" s="55"/>
    </row>
    <row r="2052" spans="2:18">
      <c r="C2052" s="55" t="s">
        <v>8</v>
      </c>
      <c r="D2052" s="55" t="s">
        <v>2112</v>
      </c>
      <c r="E2052" s="3">
        <v>72.5</v>
      </c>
      <c r="F2052" s="3">
        <f>22.5/2</f>
        <v>11.25</v>
      </c>
      <c r="G2052" s="4">
        <v>43697</v>
      </c>
      <c r="J2052" s="1">
        <v>1600</v>
      </c>
    </row>
    <row r="2053" spans="2:18">
      <c r="C2053" s="55" t="s">
        <v>18</v>
      </c>
      <c r="D2053" s="55" t="s">
        <v>2112</v>
      </c>
      <c r="E2053" s="3">
        <v>40</v>
      </c>
      <c r="F2053" s="3">
        <v>10</v>
      </c>
      <c r="G2053" s="4">
        <v>43069</v>
      </c>
      <c r="J2053" s="1">
        <v>1600</v>
      </c>
    </row>
    <row r="2054" spans="2:18">
      <c r="C2054" s="55"/>
      <c r="D2054" s="55"/>
      <c r="G2054" s="4"/>
    </row>
    <row r="2055" spans="2:18" s="12" customFormat="1">
      <c r="B2055" s="12" t="s">
        <v>1010</v>
      </c>
      <c r="C2055" s="13" t="s">
        <v>969</v>
      </c>
      <c r="D2055" s="13" t="s">
        <v>968</v>
      </c>
      <c r="E2055" s="15"/>
      <c r="F2055" s="15">
        <f>SUM(F2056:F2065)</f>
        <v>32.299999999999997</v>
      </c>
      <c r="G2055" s="14">
        <f>G2057</f>
        <v>44705</v>
      </c>
      <c r="M2055" s="13"/>
      <c r="N2055" s="13"/>
      <c r="O2055" s="13"/>
      <c r="P2055" s="13"/>
      <c r="Q2055" s="13"/>
      <c r="R2055" s="13"/>
    </row>
    <row r="2056" spans="2:18">
      <c r="C2056" s="2" t="s">
        <v>5</v>
      </c>
      <c r="D2056" s="2" t="s">
        <v>871</v>
      </c>
      <c r="E2056" s="3">
        <v>21.4</v>
      </c>
      <c r="F2056" s="3">
        <f>11.4/3</f>
        <v>3.8000000000000003</v>
      </c>
      <c r="G2056" s="4">
        <v>44232</v>
      </c>
    </row>
    <row r="2057" spans="2:18">
      <c r="C2057" s="2" t="s">
        <v>5</v>
      </c>
      <c r="D2057" s="2" t="s">
        <v>669</v>
      </c>
      <c r="E2057" s="3">
        <v>14</v>
      </c>
      <c r="F2057" s="3">
        <v>3</v>
      </c>
      <c r="G2057" s="4">
        <v>44705</v>
      </c>
    </row>
    <row r="2058" spans="2:18">
      <c r="C2058" s="2" t="s">
        <v>4</v>
      </c>
      <c r="D2058" s="2" t="s">
        <v>669</v>
      </c>
      <c r="E2058" s="3">
        <v>5</v>
      </c>
      <c r="F2058" s="3">
        <v>2</v>
      </c>
      <c r="G2058" s="4">
        <v>44578</v>
      </c>
    </row>
    <row r="2059" spans="2:18">
      <c r="C2059" s="2" t="s">
        <v>5</v>
      </c>
      <c r="D2059" s="2" t="s">
        <v>110</v>
      </c>
      <c r="E2059" s="3">
        <v>25</v>
      </c>
      <c r="F2059" s="3">
        <v>3</v>
      </c>
      <c r="G2059" s="4">
        <v>44510</v>
      </c>
    </row>
    <row r="2060" spans="2:18">
      <c r="C2060" s="2" t="s">
        <v>4</v>
      </c>
      <c r="D2060" s="2" t="s">
        <v>110</v>
      </c>
      <c r="E2060" s="3">
        <v>8</v>
      </c>
      <c r="F2060" s="3">
        <v>1.5</v>
      </c>
      <c r="G2060" s="4">
        <v>44063</v>
      </c>
    </row>
    <row r="2061" spans="2:18">
      <c r="C2061" s="55" t="s">
        <v>18</v>
      </c>
      <c r="D2061" s="55" t="s">
        <v>2109</v>
      </c>
      <c r="E2061" s="3">
        <v>40</v>
      </c>
      <c r="F2061" s="3">
        <v>5</v>
      </c>
      <c r="G2061" s="4">
        <v>44238</v>
      </c>
      <c r="J2061" s="1">
        <v>790</v>
      </c>
    </row>
    <row r="2062" spans="2:18">
      <c r="C2062" s="55" t="s">
        <v>7</v>
      </c>
      <c r="D2062" s="55" t="s">
        <v>2109</v>
      </c>
      <c r="E2062" s="3">
        <v>25</v>
      </c>
      <c r="F2062" s="3">
        <v>5</v>
      </c>
      <c r="G2062" s="4">
        <v>43865</v>
      </c>
      <c r="J2062" s="1">
        <v>790</v>
      </c>
    </row>
    <row r="2063" spans="2:18">
      <c r="C2063" s="55" t="s">
        <v>5</v>
      </c>
      <c r="D2063" s="55" t="s">
        <v>2109</v>
      </c>
      <c r="E2063" s="3">
        <v>10</v>
      </c>
      <c r="F2063" s="3">
        <v>5</v>
      </c>
      <c r="G2063" s="4">
        <v>43564</v>
      </c>
      <c r="J2063" s="1">
        <v>790</v>
      </c>
    </row>
    <row r="2064" spans="2:18">
      <c r="C2064" s="55" t="s">
        <v>4</v>
      </c>
      <c r="D2064" s="55" t="s">
        <v>2109</v>
      </c>
      <c r="E2064" s="3">
        <v>3.9</v>
      </c>
      <c r="F2064" s="3">
        <v>1</v>
      </c>
      <c r="G2064" s="4">
        <v>43311</v>
      </c>
      <c r="J2064" s="1">
        <v>790</v>
      </c>
    </row>
    <row r="2065" spans="2:7">
      <c r="C2065" s="177" t="s">
        <v>5</v>
      </c>
      <c r="D2065" s="177" t="s">
        <v>6681</v>
      </c>
      <c r="E2065" s="3">
        <v>21</v>
      </c>
      <c r="F2065" s="3">
        <v>3</v>
      </c>
      <c r="G2065" s="4">
        <v>44515</v>
      </c>
    </row>
    <row r="2066" spans="2:7">
      <c r="G2066" s="4"/>
    </row>
    <row r="2067" spans="2:7">
      <c r="B2067" s="12" t="s">
        <v>1032</v>
      </c>
      <c r="C2067" s="13" t="s">
        <v>969</v>
      </c>
      <c r="D2067" s="13" t="s">
        <v>968</v>
      </c>
      <c r="F2067" s="15">
        <f>SUM(F2068:F2080)</f>
        <v>32.216666666666669</v>
      </c>
      <c r="G2067" s="14">
        <f>G2073</f>
        <v>45092</v>
      </c>
    </row>
    <row r="2068" spans="2:7">
      <c r="C2068" s="2" t="s">
        <v>7</v>
      </c>
      <c r="D2068" s="2" t="s">
        <v>796</v>
      </c>
      <c r="E2068" s="3">
        <v>50</v>
      </c>
      <c r="F2068" s="3">
        <v>6</v>
      </c>
      <c r="G2068" s="4">
        <v>45036</v>
      </c>
    </row>
    <row r="2069" spans="2:7">
      <c r="C2069" s="2" t="s">
        <v>5</v>
      </c>
      <c r="D2069" s="2" t="s">
        <v>796</v>
      </c>
      <c r="E2069" s="3">
        <v>16.5</v>
      </c>
      <c r="F2069" s="3">
        <v>1</v>
      </c>
      <c r="G2069" s="4">
        <v>44614</v>
      </c>
    </row>
    <row r="2070" spans="2:7">
      <c r="C2070" s="2" t="s">
        <v>4</v>
      </c>
      <c r="D2070" s="2" t="s">
        <v>796</v>
      </c>
      <c r="E2070" s="3">
        <v>1.2</v>
      </c>
      <c r="F2070" s="3">
        <v>0.5</v>
      </c>
      <c r="G2070" s="4">
        <v>44044</v>
      </c>
    </row>
    <row r="2071" spans="2:7">
      <c r="C2071" s="2" t="s">
        <v>7</v>
      </c>
      <c r="D2071" s="2" t="s">
        <v>891</v>
      </c>
      <c r="E2071" s="3">
        <v>40</v>
      </c>
      <c r="F2071" s="3">
        <f>30/6</f>
        <v>5</v>
      </c>
      <c r="G2071" s="4">
        <v>44650</v>
      </c>
    </row>
    <row r="2072" spans="2:7">
      <c r="C2072" s="2" t="s">
        <v>5</v>
      </c>
      <c r="D2072" s="2" t="s">
        <v>891</v>
      </c>
      <c r="E2072" s="3">
        <v>14</v>
      </c>
      <c r="F2072" s="3">
        <f>9/5</f>
        <v>1.8</v>
      </c>
      <c r="G2072" s="4">
        <v>44131</v>
      </c>
    </row>
    <row r="2073" spans="2:7">
      <c r="C2073" s="2" t="s">
        <v>4</v>
      </c>
      <c r="D2073" s="2" t="s">
        <v>709</v>
      </c>
      <c r="E2073" s="3">
        <v>5.5</v>
      </c>
      <c r="F2073" s="3">
        <v>1</v>
      </c>
      <c r="G2073" s="4">
        <v>45092</v>
      </c>
    </row>
    <row r="2074" spans="2:7">
      <c r="C2074" s="2" t="s">
        <v>4</v>
      </c>
      <c r="D2074" s="2" t="s">
        <v>652</v>
      </c>
      <c r="E2074" s="3">
        <v>12</v>
      </c>
      <c r="F2074" s="3">
        <v>2</v>
      </c>
      <c r="G2074" s="4">
        <v>44971</v>
      </c>
    </row>
    <row r="2075" spans="2:7">
      <c r="C2075" s="2" t="s">
        <v>4</v>
      </c>
      <c r="D2075" s="2" t="s">
        <v>652</v>
      </c>
      <c r="E2075" s="3">
        <v>5</v>
      </c>
      <c r="F2075" s="3">
        <v>2</v>
      </c>
      <c r="G2075" s="4">
        <v>44769</v>
      </c>
    </row>
    <row r="2076" spans="2:7">
      <c r="C2076" s="55" t="s">
        <v>18</v>
      </c>
      <c r="D2076" s="55" t="s">
        <v>4996</v>
      </c>
      <c r="E2076" s="3">
        <v>27</v>
      </c>
      <c r="F2076" s="3">
        <f>17/3</f>
        <v>5.666666666666667</v>
      </c>
      <c r="G2076" s="4">
        <v>42851</v>
      </c>
    </row>
    <row r="2077" spans="2:7">
      <c r="C2077" s="55" t="s">
        <v>5</v>
      </c>
      <c r="D2077" s="55" t="s">
        <v>4996</v>
      </c>
      <c r="E2077" s="3">
        <v>3</v>
      </c>
      <c r="F2077" s="3">
        <v>1</v>
      </c>
      <c r="G2077" s="4">
        <v>42220</v>
      </c>
    </row>
    <row r="2078" spans="2:7">
      <c r="C2078" s="335" t="s">
        <v>7</v>
      </c>
      <c r="D2078" s="335" t="s">
        <v>8309</v>
      </c>
      <c r="E2078" s="3">
        <v>25</v>
      </c>
      <c r="F2078" s="3">
        <v>4</v>
      </c>
      <c r="G2078" s="4">
        <v>43287</v>
      </c>
    </row>
    <row r="2079" spans="2:7">
      <c r="C2079" s="335" t="s">
        <v>5</v>
      </c>
      <c r="D2079" s="335" t="s">
        <v>8309</v>
      </c>
      <c r="E2079" s="3">
        <v>8</v>
      </c>
      <c r="F2079" s="3">
        <f>5/4</f>
        <v>1.25</v>
      </c>
      <c r="G2079" s="4">
        <v>42747</v>
      </c>
    </row>
    <row r="2080" spans="2:7">
      <c r="C2080" s="335" t="s">
        <v>4</v>
      </c>
      <c r="D2080" s="335" t="s">
        <v>8309</v>
      </c>
      <c r="E2080" s="3">
        <v>1.9</v>
      </c>
      <c r="F2080" s="3">
        <v>1</v>
      </c>
      <c r="G2080" s="4">
        <v>42185</v>
      </c>
    </row>
    <row r="2081" spans="2:18">
      <c r="G2081" s="4"/>
    </row>
    <row r="2082" spans="2:18" s="12" customFormat="1">
      <c r="B2082" s="12" t="s">
        <v>4991</v>
      </c>
      <c r="C2082" s="13" t="s">
        <v>969</v>
      </c>
      <c r="D2082" s="13" t="s">
        <v>968</v>
      </c>
      <c r="E2082" s="15"/>
      <c r="F2082" s="15">
        <f>SUM(F2083:F2084)</f>
        <v>32.222222222222221</v>
      </c>
      <c r="G2082" s="14">
        <f>G2083</f>
        <v>44999</v>
      </c>
      <c r="M2082" s="13"/>
      <c r="N2082" s="13"/>
      <c r="O2082" s="13"/>
      <c r="P2082" s="13"/>
      <c r="Q2082" s="13"/>
      <c r="R2082" s="13"/>
    </row>
    <row r="2083" spans="2:18">
      <c r="C2083" s="2" t="s">
        <v>7</v>
      </c>
      <c r="D2083" s="2" t="s">
        <v>949</v>
      </c>
      <c r="E2083" s="3">
        <v>350</v>
      </c>
      <c r="F2083" s="3">
        <v>20</v>
      </c>
      <c r="G2083" s="4">
        <v>44999</v>
      </c>
    </row>
    <row r="2084" spans="2:18">
      <c r="C2084" s="2" t="s">
        <v>18</v>
      </c>
      <c r="D2084" s="2" t="s">
        <v>2127</v>
      </c>
      <c r="E2084" s="3">
        <v>200</v>
      </c>
      <c r="F2084" s="3">
        <f>110/9</f>
        <v>12.222222222222221</v>
      </c>
      <c r="G2084" s="4">
        <v>44557</v>
      </c>
      <c r="I2084" s="1">
        <v>1300</v>
      </c>
      <c r="J2084" s="1">
        <v>1300</v>
      </c>
    </row>
    <row r="2085" spans="2:18">
      <c r="G2085" s="4"/>
    </row>
    <row r="2086" spans="2:18" s="12" customFormat="1">
      <c r="B2086" s="12" t="s">
        <v>6417</v>
      </c>
      <c r="C2086" s="13" t="s">
        <v>969</v>
      </c>
      <c r="D2086" s="13" t="s">
        <v>968</v>
      </c>
      <c r="E2086" s="15"/>
      <c r="F2086" s="15">
        <f>SUM(F2087:F2089)</f>
        <v>31.166666666666664</v>
      </c>
      <c r="G2086" s="14">
        <f>G2087</f>
        <v>43682</v>
      </c>
      <c r="M2086" s="13"/>
      <c r="N2086" s="13"/>
      <c r="O2086" s="13"/>
      <c r="P2086" s="13"/>
      <c r="Q2086" s="13"/>
      <c r="R2086" s="13"/>
    </row>
    <row r="2087" spans="2:18">
      <c r="C2087" s="2" t="s">
        <v>18</v>
      </c>
      <c r="D2087" s="2" t="s">
        <v>803</v>
      </c>
      <c r="E2087" s="3">
        <v>100</v>
      </c>
      <c r="F2087" s="3">
        <v>13</v>
      </c>
      <c r="G2087" s="4">
        <v>43682</v>
      </c>
    </row>
    <row r="2088" spans="2:18">
      <c r="C2088" s="2" t="s">
        <v>8</v>
      </c>
      <c r="D2088" s="2" t="s">
        <v>47</v>
      </c>
      <c r="E2088" s="3">
        <v>145</v>
      </c>
      <c r="F2088" s="3">
        <f>85/6</f>
        <v>14.166666666666666</v>
      </c>
      <c r="G2088" s="4">
        <v>43228</v>
      </c>
      <c r="I2088" s="1">
        <v>855</v>
      </c>
      <c r="J2088" s="1">
        <v>4100</v>
      </c>
    </row>
    <row r="2089" spans="2:18">
      <c r="C2089" s="153" t="s">
        <v>7</v>
      </c>
      <c r="D2089" s="153" t="s">
        <v>2036</v>
      </c>
      <c r="E2089" s="3">
        <v>25</v>
      </c>
      <c r="F2089" s="3">
        <v>4</v>
      </c>
      <c r="G2089" s="4">
        <v>43528</v>
      </c>
    </row>
    <row r="2090" spans="2:18">
      <c r="G2090" s="4"/>
    </row>
    <row r="2091" spans="2:18" s="12" customFormat="1">
      <c r="B2091" s="12" t="s">
        <v>23</v>
      </c>
      <c r="C2091" s="13" t="s">
        <v>969</v>
      </c>
      <c r="D2091" s="13" t="s">
        <v>968</v>
      </c>
      <c r="E2091" s="15"/>
      <c r="F2091" s="15">
        <f>SUM(F2092:F2095)</f>
        <v>30.523809523809526</v>
      </c>
      <c r="G2091" s="14">
        <f>G2092</f>
        <v>44194</v>
      </c>
      <c r="M2091" s="13"/>
      <c r="N2091" s="13"/>
      <c r="O2091" s="13"/>
      <c r="P2091" s="13"/>
      <c r="Q2091" s="13"/>
      <c r="R2091" s="13"/>
    </row>
    <row r="2092" spans="2:18">
      <c r="C2092" s="2" t="s">
        <v>9</v>
      </c>
      <c r="D2092" s="2" t="s">
        <v>22</v>
      </c>
      <c r="E2092" s="3">
        <v>222</v>
      </c>
      <c r="F2092" s="3">
        <f>200/21</f>
        <v>9.5238095238095237</v>
      </c>
      <c r="G2092" s="4">
        <v>44194</v>
      </c>
      <c r="I2092" s="1">
        <v>2500</v>
      </c>
      <c r="J2092" s="1">
        <v>2500</v>
      </c>
    </row>
    <row r="2093" spans="2:18">
      <c r="C2093" s="2" t="s">
        <v>8</v>
      </c>
      <c r="D2093" s="2" t="s">
        <v>22</v>
      </c>
      <c r="E2093" s="3">
        <v>200</v>
      </c>
      <c r="F2093" s="3">
        <v>13</v>
      </c>
      <c r="G2093" s="4">
        <v>43452</v>
      </c>
      <c r="I2093" s="1">
        <v>1500</v>
      </c>
      <c r="J2093" s="1">
        <v>2500</v>
      </c>
    </row>
    <row r="2094" spans="2:18">
      <c r="C2094" s="2" t="s">
        <v>18</v>
      </c>
      <c r="D2094" s="2" t="s">
        <v>22</v>
      </c>
      <c r="E2094" s="3">
        <v>50</v>
      </c>
      <c r="F2094" s="3">
        <v>5</v>
      </c>
      <c r="G2094" s="4">
        <v>43051</v>
      </c>
      <c r="J2094" s="1">
        <v>2500</v>
      </c>
    </row>
    <row r="2095" spans="2:18">
      <c r="C2095" s="2" t="s">
        <v>7</v>
      </c>
      <c r="D2095" s="2" t="s">
        <v>22</v>
      </c>
      <c r="E2095" s="3">
        <v>30</v>
      </c>
      <c r="F2095" s="3">
        <v>3</v>
      </c>
      <c r="G2095" s="4">
        <v>42936</v>
      </c>
      <c r="J2095" s="1">
        <v>2500</v>
      </c>
    </row>
    <row r="2096" spans="2:18">
      <c r="G2096" s="4"/>
    </row>
    <row r="2097" spans="2:18" s="12" customFormat="1">
      <c r="B2097" s="12" t="s">
        <v>4992</v>
      </c>
      <c r="C2097" s="13" t="s">
        <v>969</v>
      </c>
      <c r="D2097" s="13" t="s">
        <v>968</v>
      </c>
      <c r="E2097" s="15"/>
      <c r="F2097" s="15">
        <f>SUM(F2098:F2105)</f>
        <v>30.549999999999997</v>
      </c>
      <c r="G2097" s="14">
        <f>G2098</f>
        <v>44952</v>
      </c>
    </row>
    <row r="2098" spans="2:18">
      <c r="C2098" s="2" t="s">
        <v>5</v>
      </c>
      <c r="D2098" s="2" t="s">
        <v>666</v>
      </c>
      <c r="E2098" s="3">
        <v>12.7</v>
      </c>
      <c r="F2098" s="3">
        <f>8/5</f>
        <v>1.6</v>
      </c>
      <c r="G2098" s="4">
        <v>44952</v>
      </c>
      <c r="M2098" s="1"/>
      <c r="N2098" s="1"/>
      <c r="O2098" s="1"/>
      <c r="P2098" s="1"/>
      <c r="Q2098" s="1"/>
      <c r="R2098" s="1"/>
    </row>
    <row r="2099" spans="2:18">
      <c r="C2099" s="2" t="s">
        <v>18</v>
      </c>
      <c r="D2099" s="2" t="s">
        <v>606</v>
      </c>
      <c r="E2099" s="3">
        <v>48</v>
      </c>
      <c r="F2099" s="3">
        <v>4</v>
      </c>
      <c r="G2099" s="4">
        <v>43888</v>
      </c>
      <c r="J2099" s="1">
        <v>1200</v>
      </c>
      <c r="M2099" s="1"/>
      <c r="N2099" s="1"/>
      <c r="O2099" s="1"/>
      <c r="P2099" s="1"/>
      <c r="Q2099" s="1"/>
      <c r="R2099" s="1"/>
    </row>
    <row r="2100" spans="2:18">
      <c r="C2100" s="2" t="s">
        <v>7</v>
      </c>
      <c r="D2100" s="2" t="s">
        <v>606</v>
      </c>
      <c r="E2100" s="3">
        <v>25</v>
      </c>
      <c r="F2100" s="3">
        <v>5</v>
      </c>
      <c r="G2100" s="4">
        <v>43440</v>
      </c>
      <c r="J2100" s="1">
        <v>1200</v>
      </c>
      <c r="M2100" s="1"/>
      <c r="N2100" s="1"/>
      <c r="O2100" s="1"/>
      <c r="P2100" s="1"/>
      <c r="Q2100" s="1"/>
      <c r="R2100" s="1"/>
    </row>
    <row r="2101" spans="2:18">
      <c r="C2101" s="2" t="s">
        <v>5</v>
      </c>
      <c r="D2101" s="2" t="s">
        <v>606</v>
      </c>
      <c r="E2101" s="3">
        <v>5.8</v>
      </c>
      <c r="F2101" s="3">
        <f>E2101/4</f>
        <v>1.45</v>
      </c>
      <c r="G2101" s="4">
        <v>43117</v>
      </c>
      <c r="J2101" s="1">
        <v>1200</v>
      </c>
      <c r="M2101" s="1"/>
      <c r="N2101" s="1"/>
      <c r="O2101" s="1"/>
      <c r="P2101" s="1"/>
      <c r="Q2101" s="1"/>
      <c r="R2101" s="1"/>
    </row>
    <row r="2102" spans="2:18">
      <c r="C2102" s="2" t="s">
        <v>4</v>
      </c>
      <c r="D2102" s="2" t="s">
        <v>606</v>
      </c>
      <c r="E2102" s="3">
        <v>3.3</v>
      </c>
      <c r="F2102" s="3">
        <v>0.5</v>
      </c>
      <c r="G2102" s="4">
        <v>42678</v>
      </c>
      <c r="J2102" s="1">
        <v>1200</v>
      </c>
      <c r="M2102" s="1"/>
      <c r="N2102" s="1"/>
      <c r="O2102" s="1"/>
      <c r="P2102" s="1"/>
      <c r="Q2102" s="1"/>
      <c r="R2102" s="1"/>
    </row>
    <row r="2103" spans="2:18">
      <c r="C2103" s="2" t="s">
        <v>5</v>
      </c>
      <c r="D2103" s="2" t="s">
        <v>289</v>
      </c>
      <c r="E2103" s="3">
        <v>30</v>
      </c>
      <c r="F2103" s="3">
        <f>20/5</f>
        <v>4</v>
      </c>
      <c r="G2103" s="4">
        <v>44474</v>
      </c>
      <c r="M2103" s="1"/>
      <c r="N2103" s="1"/>
      <c r="O2103" s="1"/>
      <c r="P2103" s="1"/>
      <c r="Q2103" s="1"/>
      <c r="R2103" s="1"/>
    </row>
    <row r="2104" spans="2:18">
      <c r="C2104" s="2" t="s">
        <v>4</v>
      </c>
      <c r="D2104" s="2" t="s">
        <v>289</v>
      </c>
      <c r="E2104" s="3">
        <v>15</v>
      </c>
      <c r="F2104" s="3">
        <v>5</v>
      </c>
      <c r="G2104" s="4">
        <v>43775</v>
      </c>
      <c r="M2104" s="1"/>
      <c r="N2104" s="1"/>
      <c r="O2104" s="1"/>
      <c r="P2104" s="1"/>
      <c r="Q2104" s="1"/>
      <c r="R2104" s="1"/>
    </row>
    <row r="2105" spans="2:18">
      <c r="C2105" s="2" t="s">
        <v>5</v>
      </c>
      <c r="D2105" s="2" t="s">
        <v>161</v>
      </c>
      <c r="E2105" s="3">
        <v>112</v>
      </c>
      <c r="F2105" s="3">
        <v>9</v>
      </c>
      <c r="G2105" s="4">
        <v>43115</v>
      </c>
      <c r="J2105" s="1">
        <v>8400</v>
      </c>
      <c r="M2105" s="1"/>
      <c r="N2105" s="1"/>
      <c r="O2105" s="1"/>
      <c r="P2105" s="1"/>
      <c r="Q2105" s="1"/>
      <c r="R2105" s="1"/>
    </row>
    <row r="2106" spans="2:18">
      <c r="G2106" s="4"/>
      <c r="M2106" s="1"/>
      <c r="N2106" s="1"/>
      <c r="O2106" s="1"/>
      <c r="P2106" s="1"/>
      <c r="Q2106" s="1"/>
      <c r="R2106" s="1"/>
    </row>
    <row r="2107" spans="2:18" s="12" customFormat="1">
      <c r="B2107" s="12" t="s">
        <v>449</v>
      </c>
      <c r="C2107" s="13" t="s">
        <v>969</v>
      </c>
      <c r="D2107" s="13" t="s">
        <v>968</v>
      </c>
      <c r="E2107" s="15"/>
      <c r="F2107" s="15">
        <f>SUM(F2108:F2117)</f>
        <v>30.655454545454546</v>
      </c>
      <c r="G2107" s="14">
        <f>G2117</f>
        <v>44866</v>
      </c>
    </row>
    <row r="2108" spans="2:18">
      <c r="C2108" s="2" t="s">
        <v>8</v>
      </c>
      <c r="D2108" s="2" t="s">
        <v>448</v>
      </c>
      <c r="E2108" s="3">
        <v>90</v>
      </c>
      <c r="F2108" s="3">
        <f>50/11</f>
        <v>4.5454545454545459</v>
      </c>
      <c r="G2108" s="4">
        <v>44776</v>
      </c>
      <c r="M2108" s="1"/>
      <c r="N2108" s="1"/>
      <c r="O2108" s="1"/>
      <c r="P2108" s="1"/>
      <c r="Q2108" s="1"/>
      <c r="R2108" s="1"/>
    </row>
    <row r="2109" spans="2:18">
      <c r="C2109" s="2" t="s">
        <v>18</v>
      </c>
      <c r="D2109" s="2" t="s">
        <v>448</v>
      </c>
      <c r="E2109" s="3">
        <v>40</v>
      </c>
      <c r="F2109" s="3">
        <v>3.75</v>
      </c>
      <c r="G2109" s="4">
        <v>44176</v>
      </c>
      <c r="M2109" s="1"/>
      <c r="N2109" s="1"/>
      <c r="O2109" s="1"/>
      <c r="P2109" s="1"/>
      <c r="Q2109" s="1"/>
      <c r="R2109" s="1"/>
    </row>
    <row r="2110" spans="2:18">
      <c r="C2110" s="2" t="s">
        <v>7</v>
      </c>
      <c r="D2110" s="2" t="s">
        <v>448</v>
      </c>
      <c r="E2110" s="3">
        <v>20</v>
      </c>
      <c r="F2110" s="3">
        <v>3</v>
      </c>
      <c r="G2110" s="4">
        <v>43879</v>
      </c>
      <c r="M2110" s="1"/>
      <c r="N2110" s="1"/>
      <c r="O2110" s="1"/>
      <c r="P2110" s="1"/>
      <c r="Q2110" s="1"/>
      <c r="R2110" s="1"/>
    </row>
    <row r="2111" spans="2:18">
      <c r="C2111" s="55" t="s">
        <v>18</v>
      </c>
      <c r="D2111" s="55" t="s">
        <v>2109</v>
      </c>
      <c r="E2111" s="3">
        <v>40</v>
      </c>
      <c r="F2111" s="3">
        <v>5</v>
      </c>
      <c r="G2111" s="4">
        <v>44238</v>
      </c>
      <c r="J2111" s="1">
        <v>790</v>
      </c>
      <c r="M2111" s="1"/>
      <c r="N2111" s="1"/>
      <c r="O2111" s="1"/>
      <c r="P2111" s="1"/>
      <c r="Q2111" s="1"/>
      <c r="R2111" s="1"/>
    </row>
    <row r="2112" spans="2:18">
      <c r="C2112" s="55" t="s">
        <v>7</v>
      </c>
      <c r="D2112" s="55" t="s">
        <v>2109</v>
      </c>
      <c r="E2112" s="3">
        <v>25</v>
      </c>
      <c r="F2112" s="3">
        <v>5</v>
      </c>
      <c r="G2112" s="4">
        <v>43865</v>
      </c>
      <c r="J2112" s="1">
        <v>790</v>
      </c>
      <c r="M2112" s="1"/>
      <c r="N2112" s="1"/>
      <c r="O2112" s="1"/>
      <c r="P2112" s="1"/>
      <c r="Q2112" s="1"/>
      <c r="R2112" s="1"/>
    </row>
    <row r="2113" spans="2:18">
      <c r="C2113" s="55" t="s">
        <v>5</v>
      </c>
      <c r="D2113" s="55" t="s">
        <v>2109</v>
      </c>
      <c r="E2113" s="3">
        <v>10</v>
      </c>
      <c r="F2113" s="3">
        <v>2.5</v>
      </c>
      <c r="G2113" s="4">
        <v>43564</v>
      </c>
      <c r="J2113" s="1">
        <v>790</v>
      </c>
      <c r="M2113" s="1"/>
      <c r="N2113" s="1"/>
      <c r="O2113" s="1"/>
      <c r="P2113" s="1"/>
      <c r="Q2113" s="1"/>
      <c r="R2113" s="1"/>
    </row>
    <row r="2114" spans="2:18">
      <c r="C2114" s="55" t="s">
        <v>4</v>
      </c>
      <c r="D2114" s="55" t="s">
        <v>2109</v>
      </c>
      <c r="E2114" s="3">
        <v>3.9</v>
      </c>
      <c r="F2114" s="3">
        <v>1</v>
      </c>
      <c r="G2114" s="4">
        <v>43220</v>
      </c>
      <c r="M2114" s="1"/>
      <c r="N2114" s="1"/>
      <c r="O2114" s="1"/>
      <c r="P2114" s="1"/>
      <c r="Q2114" s="1"/>
      <c r="R2114" s="1"/>
    </row>
    <row r="2115" spans="2:18">
      <c r="C2115" s="153" t="s">
        <v>5</v>
      </c>
      <c r="D2115" s="153" t="s">
        <v>2039</v>
      </c>
      <c r="E2115" s="3">
        <v>18</v>
      </c>
      <c r="F2115" s="3">
        <v>4</v>
      </c>
      <c r="G2115" s="4">
        <v>43445</v>
      </c>
      <c r="M2115" s="1"/>
      <c r="N2115" s="1"/>
      <c r="O2115" s="1"/>
      <c r="P2115" s="1"/>
      <c r="Q2115" s="1"/>
      <c r="R2115" s="1"/>
    </row>
    <row r="2116" spans="2:18">
      <c r="C2116" s="153" t="s">
        <v>4</v>
      </c>
      <c r="D2116" s="153" t="s">
        <v>2039</v>
      </c>
      <c r="E2116" s="3">
        <v>4.3</v>
      </c>
      <c r="F2116" s="3">
        <f>E2116/5</f>
        <v>0.86</v>
      </c>
      <c r="G2116" s="4">
        <v>43157</v>
      </c>
      <c r="M2116" s="1"/>
      <c r="N2116" s="1"/>
      <c r="O2116" s="1"/>
      <c r="P2116" s="1"/>
      <c r="Q2116" s="1"/>
      <c r="R2116" s="1"/>
    </row>
    <row r="2117" spans="2:18">
      <c r="C2117" s="177" t="s">
        <v>4</v>
      </c>
      <c r="D2117" s="177" t="s">
        <v>6759</v>
      </c>
      <c r="E2117" s="3">
        <v>10</v>
      </c>
      <c r="F2117" s="3">
        <v>1</v>
      </c>
      <c r="G2117" s="4">
        <v>44866</v>
      </c>
      <c r="I2117" s="1">
        <v>65</v>
      </c>
      <c r="J2117" s="1">
        <v>350</v>
      </c>
      <c r="M2117" s="1"/>
      <c r="N2117" s="1"/>
      <c r="O2117" s="1"/>
      <c r="P2117" s="1"/>
      <c r="Q2117" s="1"/>
      <c r="R2117" s="1"/>
    </row>
    <row r="2118" spans="2:18">
      <c r="G2118" s="4"/>
      <c r="M2118" s="1"/>
      <c r="N2118" s="1"/>
      <c r="O2118" s="1"/>
      <c r="P2118" s="1"/>
      <c r="Q2118" s="1"/>
      <c r="R2118" s="1"/>
    </row>
    <row r="2119" spans="2:18" s="12" customFormat="1">
      <c r="B2119" s="12" t="s">
        <v>1038</v>
      </c>
      <c r="C2119" s="13" t="s">
        <v>969</v>
      </c>
      <c r="D2119" s="13" t="s">
        <v>968</v>
      </c>
      <c r="E2119" s="15"/>
      <c r="F2119" s="15">
        <f>SUM(F2120:F2126)</f>
        <v>30.633333333333333</v>
      </c>
      <c r="G2119" s="14">
        <f>G2121</f>
        <v>44882</v>
      </c>
      <c r="M2119" s="13"/>
      <c r="N2119" s="13"/>
      <c r="O2119" s="13"/>
      <c r="P2119" s="13"/>
      <c r="Q2119" s="13"/>
      <c r="R2119" s="13"/>
    </row>
    <row r="2120" spans="2:18">
      <c r="C2120" s="2" t="s">
        <v>5</v>
      </c>
      <c r="D2120" s="2" t="s">
        <v>891</v>
      </c>
      <c r="E2120" s="3">
        <v>14</v>
      </c>
      <c r="F2120" s="3">
        <f>9/5</f>
        <v>1.8</v>
      </c>
      <c r="G2120" s="4">
        <v>44131</v>
      </c>
    </row>
    <row r="2121" spans="2:18">
      <c r="C2121" s="2" t="s">
        <v>4</v>
      </c>
      <c r="D2121" s="2" t="s">
        <v>912</v>
      </c>
      <c r="E2121" s="3">
        <v>42</v>
      </c>
      <c r="F2121" s="3">
        <f>22/3</f>
        <v>7.333333333333333</v>
      </c>
      <c r="G2121" s="4">
        <v>44882</v>
      </c>
    </row>
    <row r="2122" spans="2:18">
      <c r="C2122" s="2" t="s">
        <v>5</v>
      </c>
      <c r="D2122" s="2" t="s">
        <v>672</v>
      </c>
      <c r="E2122" s="3">
        <v>14.5</v>
      </c>
      <c r="F2122" s="3">
        <v>2.5</v>
      </c>
      <c r="G2122" s="4">
        <v>44389</v>
      </c>
    </row>
    <row r="2123" spans="2:18">
      <c r="C2123" s="2" t="s">
        <v>18</v>
      </c>
      <c r="D2123" s="2" t="s">
        <v>489</v>
      </c>
      <c r="E2123" s="3">
        <v>67.2</v>
      </c>
      <c r="F2123" s="3">
        <v>10</v>
      </c>
      <c r="G2123" s="4">
        <v>42943</v>
      </c>
    </row>
    <row r="2124" spans="2:18">
      <c r="C2124" s="2" t="s">
        <v>4</v>
      </c>
      <c r="D2124" s="2" t="s">
        <v>128</v>
      </c>
      <c r="E2124" s="3">
        <v>5</v>
      </c>
      <c r="F2124" s="3">
        <v>1</v>
      </c>
      <c r="G2124" s="4">
        <v>44176</v>
      </c>
    </row>
    <row r="2125" spans="2:18">
      <c r="C2125" s="335" t="s">
        <v>18</v>
      </c>
      <c r="D2125" s="335" t="s">
        <v>8309</v>
      </c>
      <c r="E2125" s="3">
        <v>25</v>
      </c>
      <c r="F2125" s="3">
        <v>4</v>
      </c>
      <c r="G2125" s="4">
        <v>43888</v>
      </c>
    </row>
    <row r="2126" spans="2:18">
      <c r="C2126" s="335" t="s">
        <v>7</v>
      </c>
      <c r="D2126" s="335" t="s">
        <v>8309</v>
      </c>
      <c r="E2126" s="3">
        <v>25</v>
      </c>
      <c r="F2126" s="3">
        <v>4</v>
      </c>
      <c r="G2126" s="4">
        <v>43287</v>
      </c>
    </row>
    <row r="2127" spans="2:18">
      <c r="G2127" s="4"/>
    </row>
    <row r="2128" spans="2:18" s="12" customFormat="1">
      <c r="B2128" s="12" t="s">
        <v>37</v>
      </c>
      <c r="C2128" s="13" t="s">
        <v>969</v>
      </c>
      <c r="D2128" s="13" t="s">
        <v>968</v>
      </c>
      <c r="E2128" s="15"/>
      <c r="F2128" s="15">
        <f>SUM(F2129:F2131)</f>
        <v>29.714285714285715</v>
      </c>
      <c r="G2128" s="14">
        <f>G2129</f>
        <v>43634</v>
      </c>
      <c r="M2128" s="13"/>
      <c r="N2128" s="13"/>
      <c r="O2128" s="13"/>
      <c r="P2128" s="13"/>
      <c r="Q2128" s="13"/>
      <c r="R2128" s="13"/>
    </row>
    <row r="2129" spans="2:18">
      <c r="C2129" s="2" t="s">
        <v>18</v>
      </c>
      <c r="D2129" s="2" t="s">
        <v>32</v>
      </c>
      <c r="E2129" s="3">
        <v>230</v>
      </c>
      <c r="F2129" s="3">
        <f>110/7</f>
        <v>15.714285714285714</v>
      </c>
      <c r="G2129" s="4">
        <v>43634</v>
      </c>
      <c r="I2129" s="1">
        <v>770</v>
      </c>
      <c r="J2129" s="1">
        <v>770</v>
      </c>
    </row>
    <row r="2130" spans="2:18">
      <c r="C2130" s="2" t="s">
        <v>7</v>
      </c>
      <c r="D2130" s="2" t="s">
        <v>32</v>
      </c>
      <c r="E2130" s="3">
        <v>45</v>
      </c>
      <c r="F2130" s="3">
        <v>11</v>
      </c>
      <c r="G2130" s="4">
        <v>43293</v>
      </c>
      <c r="J2130" s="1">
        <v>770</v>
      </c>
    </row>
    <row r="2131" spans="2:18">
      <c r="C2131" s="2" t="s">
        <v>5</v>
      </c>
      <c r="D2131" s="2" t="s">
        <v>32</v>
      </c>
      <c r="E2131" s="3">
        <v>18</v>
      </c>
      <c r="F2131" s="3">
        <v>3</v>
      </c>
      <c r="G2131" s="4">
        <v>42983</v>
      </c>
      <c r="J2131" s="1">
        <v>770</v>
      </c>
    </row>
    <row r="2132" spans="2:18">
      <c r="G2132" s="4"/>
    </row>
    <row r="2133" spans="2:18" s="12" customFormat="1">
      <c r="B2133" s="12" t="s">
        <v>395</v>
      </c>
      <c r="C2133" s="13" t="s">
        <v>969</v>
      </c>
      <c r="D2133" s="13" t="s">
        <v>968</v>
      </c>
      <c r="E2133" s="15"/>
      <c r="F2133" s="15">
        <f>SUM(F2134:F2135)</f>
        <v>30</v>
      </c>
      <c r="G2133" s="14">
        <f>G2134</f>
        <v>44286</v>
      </c>
    </row>
    <row r="2134" spans="2:18">
      <c r="C2134" s="2" t="s">
        <v>8</v>
      </c>
      <c r="D2134" s="2" t="s">
        <v>386</v>
      </c>
      <c r="E2134" s="3">
        <v>140</v>
      </c>
      <c r="F2134" s="3">
        <v>10</v>
      </c>
      <c r="G2134" s="4">
        <v>44286</v>
      </c>
      <c r="M2134" s="1"/>
      <c r="N2134" s="1"/>
      <c r="O2134" s="1"/>
      <c r="P2134" s="1"/>
      <c r="Q2134" s="1"/>
      <c r="R2134" s="1"/>
    </row>
    <row r="2135" spans="2:18">
      <c r="C2135" s="2" t="s">
        <v>18</v>
      </c>
      <c r="D2135" s="2" t="s">
        <v>386</v>
      </c>
      <c r="E2135" s="3">
        <v>110</v>
      </c>
      <c r="F2135" s="3">
        <v>20</v>
      </c>
      <c r="G2135" s="4">
        <v>43690</v>
      </c>
      <c r="M2135" s="1"/>
      <c r="N2135" s="1"/>
      <c r="O2135" s="1"/>
      <c r="P2135" s="1"/>
      <c r="Q2135" s="1"/>
      <c r="R2135" s="1"/>
    </row>
    <row r="2136" spans="2:18">
      <c r="G2136" s="4"/>
      <c r="M2136" s="1"/>
      <c r="N2136" s="1"/>
      <c r="O2136" s="1"/>
      <c r="P2136" s="1"/>
      <c r="Q2136" s="1"/>
      <c r="R2136" s="1"/>
    </row>
    <row r="2137" spans="2:18" s="12" customFormat="1">
      <c r="B2137" s="12" t="s">
        <v>394</v>
      </c>
      <c r="C2137" s="13" t="s">
        <v>969</v>
      </c>
      <c r="D2137" s="13" t="s">
        <v>968</v>
      </c>
      <c r="E2137" s="15"/>
      <c r="F2137" s="15">
        <f>SUM(F2138:F2139)</f>
        <v>30</v>
      </c>
      <c r="G2137" s="14">
        <f>G2138</f>
        <v>44286</v>
      </c>
    </row>
    <row r="2138" spans="2:18">
      <c r="C2138" s="2" t="s">
        <v>8</v>
      </c>
      <c r="D2138" s="2" t="s">
        <v>386</v>
      </c>
      <c r="E2138" s="3">
        <v>140</v>
      </c>
      <c r="F2138" s="3">
        <v>10</v>
      </c>
      <c r="G2138" s="4">
        <v>44286</v>
      </c>
      <c r="M2138" s="1"/>
      <c r="N2138" s="1"/>
      <c r="O2138" s="1"/>
      <c r="P2138" s="1"/>
      <c r="Q2138" s="1"/>
      <c r="R2138" s="1"/>
    </row>
    <row r="2139" spans="2:18">
      <c r="C2139" s="2" t="s">
        <v>18</v>
      </c>
      <c r="D2139" s="2" t="s">
        <v>386</v>
      </c>
      <c r="E2139" s="3">
        <v>110</v>
      </c>
      <c r="F2139" s="3">
        <v>20</v>
      </c>
      <c r="G2139" s="4">
        <v>43690</v>
      </c>
      <c r="M2139" s="1"/>
      <c r="N2139" s="1"/>
      <c r="O2139" s="1"/>
      <c r="P2139" s="1"/>
      <c r="Q2139" s="1"/>
      <c r="R2139" s="1"/>
    </row>
    <row r="2140" spans="2:18">
      <c r="G2140" s="4"/>
      <c r="M2140" s="1"/>
      <c r="N2140" s="1"/>
      <c r="O2140" s="1"/>
      <c r="P2140" s="1"/>
      <c r="Q2140" s="1"/>
      <c r="R2140" s="1"/>
    </row>
    <row r="2141" spans="2:18">
      <c r="B2141" s="12" t="s">
        <v>7296</v>
      </c>
      <c r="C2141" s="13" t="s">
        <v>969</v>
      </c>
      <c r="D2141" s="13" t="s">
        <v>968</v>
      </c>
      <c r="F2141" s="15">
        <f>SUM(F2142:F2144)</f>
        <v>29.5</v>
      </c>
      <c r="G2141" s="14">
        <f>+G2143</f>
        <v>45013</v>
      </c>
    </row>
    <row r="2142" spans="2:18">
      <c r="C2142" s="2" t="s">
        <v>18</v>
      </c>
      <c r="D2142" s="2" t="s">
        <v>1005</v>
      </c>
      <c r="E2142" s="3">
        <v>100</v>
      </c>
      <c r="F2142" s="3">
        <v>10</v>
      </c>
      <c r="G2142" s="4">
        <v>44754</v>
      </c>
    </row>
    <row r="2143" spans="2:18">
      <c r="C2143" s="2" t="s">
        <v>5</v>
      </c>
      <c r="D2143" s="2" t="s">
        <v>1004</v>
      </c>
      <c r="E2143" s="3">
        <v>25.6</v>
      </c>
      <c r="F2143" s="3">
        <v>2</v>
      </c>
      <c r="G2143" s="4">
        <v>45013</v>
      </c>
    </row>
    <row r="2144" spans="2:18">
      <c r="C2144" s="55" t="s">
        <v>8</v>
      </c>
      <c r="D2144" s="55" t="s">
        <v>2109</v>
      </c>
      <c r="E2144" s="3">
        <v>110</v>
      </c>
      <c r="F2144" s="3">
        <f>70/4</f>
        <v>17.5</v>
      </c>
      <c r="G2144" s="4">
        <v>44567</v>
      </c>
      <c r="I2144" s="1">
        <v>790</v>
      </c>
      <c r="J2144" s="1">
        <v>790</v>
      </c>
    </row>
    <row r="2145" spans="2:18">
      <c r="G2145" s="4"/>
    </row>
    <row r="2146" spans="2:18" s="12" customFormat="1">
      <c r="B2146" s="12" t="s">
        <v>925</v>
      </c>
      <c r="C2146" s="13" t="s">
        <v>969</v>
      </c>
      <c r="D2146" s="13" t="s">
        <v>968</v>
      </c>
      <c r="E2146" s="15"/>
      <c r="F2146" s="15">
        <f>SUM(F2147:F2149)</f>
        <v>29.75</v>
      </c>
      <c r="G2146" s="14">
        <f>G2147</f>
        <v>45090</v>
      </c>
      <c r="M2146" s="13"/>
      <c r="N2146" s="13"/>
      <c r="O2146" s="13"/>
      <c r="P2146" s="13"/>
      <c r="Q2146" s="13"/>
      <c r="R2146" s="13"/>
    </row>
    <row r="2147" spans="2:18">
      <c r="C2147" s="2" t="s">
        <v>4</v>
      </c>
      <c r="D2147" s="2" t="s">
        <v>705</v>
      </c>
      <c r="E2147" s="3">
        <v>113</v>
      </c>
      <c r="F2147" s="3">
        <v>8</v>
      </c>
      <c r="G2147" s="4">
        <v>45090</v>
      </c>
    </row>
    <row r="2148" spans="2:18">
      <c r="C2148" s="52" t="s">
        <v>8</v>
      </c>
      <c r="D2148" s="52" t="s">
        <v>2116</v>
      </c>
      <c r="E2148" s="3">
        <v>175</v>
      </c>
      <c r="F2148" s="3">
        <f>75/4</f>
        <v>18.75</v>
      </c>
      <c r="G2148" s="4">
        <v>44511</v>
      </c>
      <c r="I2148" s="1">
        <v>3400</v>
      </c>
      <c r="J2148" s="1">
        <v>3400</v>
      </c>
    </row>
    <row r="2149" spans="2:18">
      <c r="C2149" s="52" t="s">
        <v>7</v>
      </c>
      <c r="D2149" s="52" t="s">
        <v>2116</v>
      </c>
      <c r="E2149" s="3">
        <v>40</v>
      </c>
      <c r="F2149" s="3">
        <v>3</v>
      </c>
      <c r="G2149" s="4">
        <v>43720</v>
      </c>
      <c r="J2149" s="1">
        <v>3400</v>
      </c>
    </row>
    <row r="2150" spans="2:18">
      <c r="G2150" s="4"/>
    </row>
    <row r="2151" spans="2:18" s="12" customFormat="1">
      <c r="B2151" s="12" t="s">
        <v>233</v>
      </c>
      <c r="C2151" s="13" t="s">
        <v>969</v>
      </c>
      <c r="D2151" s="13" t="s">
        <v>968</v>
      </c>
      <c r="E2151" s="15"/>
      <c r="F2151" s="15">
        <f>SUM(F2152:F2153)</f>
        <v>30</v>
      </c>
      <c r="G2151" s="14">
        <f>G2153</f>
        <v>43391</v>
      </c>
      <c r="M2151" s="13"/>
      <c r="N2151" s="13"/>
      <c r="O2151" s="13"/>
      <c r="P2151" s="13"/>
      <c r="Q2151" s="13"/>
      <c r="R2151" s="13"/>
    </row>
    <row r="2152" spans="2:18">
      <c r="C2152" s="2" t="s">
        <v>18</v>
      </c>
      <c r="D2152" s="2" t="s">
        <v>232</v>
      </c>
      <c r="E2152" s="3">
        <v>100</v>
      </c>
      <c r="F2152" s="3">
        <v>20</v>
      </c>
      <c r="G2152" s="4">
        <v>42735</v>
      </c>
    </row>
    <row r="2153" spans="2:18">
      <c r="C2153" s="2" t="s">
        <v>7</v>
      </c>
      <c r="D2153" s="2" t="s">
        <v>197</v>
      </c>
      <c r="E2153" s="3">
        <v>120</v>
      </c>
      <c r="F2153" s="3">
        <v>10</v>
      </c>
      <c r="G2153" s="4">
        <v>43391</v>
      </c>
    </row>
    <row r="2154" spans="2:18">
      <c r="G2154" s="4"/>
    </row>
    <row r="2155" spans="2:18" s="12" customFormat="1">
      <c r="B2155" s="12" t="s">
        <v>499</v>
      </c>
      <c r="C2155" s="13" t="s">
        <v>969</v>
      </c>
      <c r="D2155" s="13" t="s">
        <v>968</v>
      </c>
      <c r="E2155" s="15"/>
      <c r="F2155" s="15">
        <f>SUM(F2156:F2159)</f>
        <v>30.071428571428569</v>
      </c>
      <c r="G2155" s="14">
        <f>G2157</f>
        <v>44880</v>
      </c>
    </row>
    <row r="2156" spans="2:18">
      <c r="C2156" s="2" t="s">
        <v>53</v>
      </c>
      <c r="D2156" s="2" t="s">
        <v>489</v>
      </c>
      <c r="E2156" s="3">
        <v>50</v>
      </c>
      <c r="F2156" s="3">
        <v>10</v>
      </c>
      <c r="G2156" s="4">
        <v>44174</v>
      </c>
      <c r="M2156" s="1"/>
      <c r="N2156" s="1"/>
      <c r="O2156" s="1"/>
      <c r="P2156" s="1"/>
      <c r="Q2156" s="1"/>
      <c r="R2156" s="1"/>
    </row>
    <row r="2157" spans="2:18">
      <c r="C2157" s="2" t="s">
        <v>8</v>
      </c>
      <c r="D2157" s="2" t="s">
        <v>131</v>
      </c>
      <c r="E2157" s="3">
        <v>135</v>
      </c>
      <c r="F2157" s="3">
        <v>8</v>
      </c>
      <c r="G2157" s="4">
        <v>44880</v>
      </c>
      <c r="M2157" s="1"/>
      <c r="N2157" s="1"/>
      <c r="O2157" s="1"/>
      <c r="P2157" s="1"/>
      <c r="Q2157" s="1"/>
      <c r="R2157" s="1"/>
    </row>
    <row r="2158" spans="2:18">
      <c r="C2158" s="2" t="s">
        <v>18</v>
      </c>
      <c r="D2158" s="2" t="s">
        <v>131</v>
      </c>
      <c r="E2158" s="3">
        <v>73</v>
      </c>
      <c r="F2158" s="3">
        <f>53/7</f>
        <v>7.5714285714285712</v>
      </c>
      <c r="G2158" s="4">
        <v>44565</v>
      </c>
      <c r="M2158" s="1"/>
      <c r="N2158" s="1"/>
      <c r="O2158" s="1"/>
      <c r="P2158" s="1"/>
      <c r="Q2158" s="1"/>
      <c r="R2158" s="1"/>
    </row>
    <row r="2159" spans="2:18">
      <c r="C2159" s="2" t="s">
        <v>18</v>
      </c>
      <c r="D2159" s="2" t="s">
        <v>131</v>
      </c>
      <c r="E2159" s="3">
        <v>31.7</v>
      </c>
      <c r="F2159" s="3">
        <f>18/4</f>
        <v>4.5</v>
      </c>
      <c r="G2159" s="4">
        <v>43599</v>
      </c>
      <c r="M2159" s="1"/>
      <c r="N2159" s="1"/>
      <c r="O2159" s="1"/>
      <c r="P2159" s="1"/>
      <c r="Q2159" s="1"/>
      <c r="R2159" s="1"/>
    </row>
    <row r="2160" spans="2:18">
      <c r="G2160" s="4"/>
      <c r="M2160" s="1"/>
      <c r="N2160" s="1"/>
      <c r="O2160" s="1"/>
      <c r="P2160" s="1"/>
      <c r="Q2160" s="1"/>
      <c r="R2160" s="1"/>
    </row>
    <row r="2161" spans="2:9">
      <c r="B2161" s="12" t="s">
        <v>1052</v>
      </c>
      <c r="C2161" s="13" t="s">
        <v>969</v>
      </c>
      <c r="D2161" s="13" t="s">
        <v>968</v>
      </c>
      <c r="E2161" s="15"/>
      <c r="F2161" s="15">
        <f>SUM(F2162:F2170)</f>
        <v>28.683333333333334</v>
      </c>
      <c r="G2161" s="14">
        <f>G2165</f>
        <v>44861</v>
      </c>
    </row>
    <row r="2162" spans="2:9">
      <c r="C2162" s="2" t="s">
        <v>5</v>
      </c>
      <c r="D2162" s="2" t="s">
        <v>986</v>
      </c>
      <c r="E2162" s="3">
        <v>25</v>
      </c>
      <c r="F2162" s="3">
        <f>15/4</f>
        <v>3.75</v>
      </c>
      <c r="G2162" s="4">
        <v>44615</v>
      </c>
    </row>
    <row r="2163" spans="2:9">
      <c r="C2163" s="2" t="s">
        <v>4</v>
      </c>
      <c r="D2163" s="2" t="s">
        <v>986</v>
      </c>
      <c r="E2163" s="3">
        <v>5</v>
      </c>
      <c r="F2163" s="3">
        <v>2</v>
      </c>
      <c r="G2163" s="4">
        <v>44292</v>
      </c>
    </row>
    <row r="2164" spans="2:9">
      <c r="C2164" s="2" t="s">
        <v>4</v>
      </c>
      <c r="D2164" s="2" t="s">
        <v>565</v>
      </c>
      <c r="E2164" s="3">
        <v>9</v>
      </c>
      <c r="F2164" s="3">
        <v>2</v>
      </c>
      <c r="G2164" s="4">
        <v>44859</v>
      </c>
    </row>
    <row r="2165" spans="2:9">
      <c r="C2165" s="2" t="s">
        <v>7</v>
      </c>
      <c r="D2165" s="2" t="s">
        <v>351</v>
      </c>
      <c r="E2165" s="3">
        <v>22</v>
      </c>
      <c r="F2165" s="3">
        <v>5</v>
      </c>
      <c r="G2165" s="4">
        <v>44861</v>
      </c>
    </row>
    <row r="2166" spans="2:9">
      <c r="C2166" s="2" t="s">
        <v>5</v>
      </c>
      <c r="D2166" s="2" t="s">
        <v>351</v>
      </c>
      <c r="E2166" s="3">
        <v>15</v>
      </c>
      <c r="F2166" s="3">
        <v>9</v>
      </c>
      <c r="G2166" s="4">
        <v>44487</v>
      </c>
    </row>
    <row r="2167" spans="2:9">
      <c r="C2167" s="2" t="s">
        <v>5</v>
      </c>
      <c r="D2167" s="2" t="s">
        <v>281</v>
      </c>
      <c r="E2167" s="3">
        <v>13</v>
      </c>
      <c r="F2167" s="3">
        <f>+E2167/3</f>
        <v>4.333333333333333</v>
      </c>
      <c r="G2167" s="4">
        <v>44453</v>
      </c>
    </row>
    <row r="2168" spans="2:9">
      <c r="C2168" s="2" t="s">
        <v>4</v>
      </c>
      <c r="D2168" s="2" t="s">
        <v>281</v>
      </c>
      <c r="E2168" s="3">
        <v>6.2</v>
      </c>
      <c r="F2168" s="3">
        <v>2.6</v>
      </c>
      <c r="G2168" s="4">
        <v>44201</v>
      </c>
    </row>
    <row r="2169" spans="2:9">
      <c r="C2169" s="2" t="s">
        <v>9</v>
      </c>
      <c r="D2169" s="2" t="s">
        <v>148</v>
      </c>
      <c r="E2169" s="3">
        <v>300</v>
      </c>
      <c r="F2169" s="6" t="s">
        <v>1047</v>
      </c>
      <c r="G2169" s="4">
        <v>44271</v>
      </c>
    </row>
    <row r="2170" spans="2:9">
      <c r="C2170" s="2" t="s">
        <v>5</v>
      </c>
      <c r="D2170" s="2" t="s">
        <v>148</v>
      </c>
      <c r="E2170" s="3">
        <v>3</v>
      </c>
      <c r="F2170" s="6" t="s">
        <v>1051</v>
      </c>
      <c r="G2170" s="4">
        <v>41879</v>
      </c>
      <c r="I2170" s="1">
        <v>11</v>
      </c>
    </row>
    <row r="2171" spans="2:9">
      <c r="G2171" s="4"/>
    </row>
    <row r="2172" spans="2:9" s="12" customFormat="1">
      <c r="B2172" s="12" t="s">
        <v>736</v>
      </c>
      <c r="C2172" s="13" t="s">
        <v>969</v>
      </c>
      <c r="D2172" s="13" t="s">
        <v>968</v>
      </c>
      <c r="E2172" s="15"/>
      <c r="F2172" s="15">
        <f>SUM(F2173:F2177)</f>
        <v>29</v>
      </c>
      <c r="G2172" s="14">
        <f>G2174</f>
        <v>44776</v>
      </c>
    </row>
    <row r="2173" spans="2:9">
      <c r="C2173" s="2" t="s">
        <v>7</v>
      </c>
      <c r="D2173" s="2" t="s">
        <v>735</v>
      </c>
      <c r="E2173" s="3">
        <v>25</v>
      </c>
      <c r="F2173" s="3">
        <f>15/5</f>
        <v>3</v>
      </c>
      <c r="G2173" s="4">
        <v>44755</v>
      </c>
    </row>
    <row r="2174" spans="2:9">
      <c r="C2174" s="2" t="s">
        <v>8</v>
      </c>
      <c r="D2174" s="2" t="s">
        <v>448</v>
      </c>
      <c r="E2174" s="3">
        <v>90</v>
      </c>
      <c r="F2174" s="3">
        <v>5</v>
      </c>
      <c r="G2174" s="4">
        <v>44776</v>
      </c>
    </row>
    <row r="2175" spans="2:9">
      <c r="C2175" s="2" t="s">
        <v>18</v>
      </c>
      <c r="D2175" s="2" t="s">
        <v>448</v>
      </c>
      <c r="E2175" s="3">
        <v>40</v>
      </c>
      <c r="F2175" s="3">
        <v>10</v>
      </c>
      <c r="G2175" s="4">
        <v>44176</v>
      </c>
    </row>
    <row r="2176" spans="2:9">
      <c r="C2176" s="2" t="s">
        <v>18</v>
      </c>
      <c r="D2176" s="2" t="s">
        <v>416</v>
      </c>
      <c r="E2176" s="3">
        <v>23</v>
      </c>
      <c r="F2176" s="3">
        <v>3</v>
      </c>
      <c r="G2176" s="4">
        <v>44328</v>
      </c>
    </row>
    <row r="2177" spans="2:10">
      <c r="C2177" s="2" t="s">
        <v>7</v>
      </c>
      <c r="D2177" s="2" t="s">
        <v>416</v>
      </c>
      <c r="E2177" s="3">
        <v>16</v>
      </c>
      <c r="F2177" s="3">
        <v>8</v>
      </c>
      <c r="G2177" s="4">
        <v>42995</v>
      </c>
    </row>
    <row r="2178" spans="2:10">
      <c r="G2178" s="4"/>
    </row>
    <row r="2179" spans="2:10">
      <c r="B2179" s="12" t="s">
        <v>1049</v>
      </c>
      <c r="C2179" s="13" t="s">
        <v>969</v>
      </c>
      <c r="D2179" s="13" t="s">
        <v>968</v>
      </c>
      <c r="E2179" s="15"/>
      <c r="F2179" s="15">
        <f>SUM(F2180:F2186)</f>
        <v>28.566666666666666</v>
      </c>
      <c r="G2179" s="14">
        <f>G2180</f>
        <v>45069</v>
      </c>
    </row>
    <row r="2180" spans="2:10">
      <c r="C2180" s="2" t="s">
        <v>4</v>
      </c>
      <c r="D2180" s="2" t="s">
        <v>680</v>
      </c>
      <c r="E2180" s="3">
        <v>5.3</v>
      </c>
      <c r="F2180" s="3">
        <v>2</v>
      </c>
      <c r="G2180" s="4">
        <v>45069</v>
      </c>
    </row>
    <row r="2181" spans="2:10">
      <c r="C2181" s="2" t="s">
        <v>18</v>
      </c>
      <c r="D2181" s="2" t="s">
        <v>692</v>
      </c>
      <c r="E2181" s="3">
        <v>125</v>
      </c>
      <c r="F2181" s="3">
        <v>9</v>
      </c>
      <c r="G2181" s="4">
        <v>44663</v>
      </c>
    </row>
    <row r="2182" spans="2:10">
      <c r="C2182" s="2" t="s">
        <v>7</v>
      </c>
      <c r="D2182" s="2" t="s">
        <v>692</v>
      </c>
      <c r="E2182" s="3">
        <v>54</v>
      </c>
      <c r="F2182" s="3">
        <f>40/6</f>
        <v>6.666666666666667</v>
      </c>
      <c r="G2182" s="4">
        <v>44089</v>
      </c>
    </row>
    <row r="2183" spans="2:10">
      <c r="C2183" s="2" t="s">
        <v>5</v>
      </c>
      <c r="D2183" s="2" t="s">
        <v>692</v>
      </c>
      <c r="E2183" s="3">
        <v>26</v>
      </c>
      <c r="F2183" s="3">
        <v>4</v>
      </c>
      <c r="G2183" s="4">
        <v>43809</v>
      </c>
    </row>
    <row r="2184" spans="2:10">
      <c r="C2184" s="2" t="s">
        <v>5</v>
      </c>
      <c r="D2184" s="2" t="s">
        <v>692</v>
      </c>
      <c r="E2184" s="3">
        <v>8</v>
      </c>
      <c r="F2184" s="3">
        <v>1</v>
      </c>
      <c r="G2184" s="4">
        <v>43249</v>
      </c>
    </row>
    <row r="2185" spans="2:10">
      <c r="C2185" s="2" t="s">
        <v>5</v>
      </c>
      <c r="D2185" s="2" t="s">
        <v>692</v>
      </c>
      <c r="E2185" s="3">
        <v>0.9</v>
      </c>
      <c r="F2185" s="3">
        <v>0.9</v>
      </c>
      <c r="G2185" s="4">
        <v>42951</v>
      </c>
    </row>
    <row r="2186" spans="2:10">
      <c r="C2186" s="2" t="s">
        <v>5</v>
      </c>
      <c r="D2186" s="2" t="s">
        <v>559</v>
      </c>
      <c r="E2186" s="3">
        <v>20</v>
      </c>
      <c r="F2186" s="3">
        <v>5</v>
      </c>
      <c r="G2186" s="4">
        <v>44671</v>
      </c>
    </row>
    <row r="2187" spans="2:10">
      <c r="G2187" s="4"/>
    </row>
    <row r="2188" spans="2:10">
      <c r="B2188" s="12" t="s">
        <v>1003</v>
      </c>
      <c r="C2188" s="13" t="s">
        <v>969</v>
      </c>
      <c r="D2188" s="13" t="s">
        <v>968</v>
      </c>
      <c r="E2188" s="15"/>
      <c r="F2188" s="15">
        <f>SUM(F2189:F2194)</f>
        <v>29</v>
      </c>
      <c r="G2188" s="14">
        <f>+G2189</f>
        <v>44900</v>
      </c>
    </row>
    <row r="2189" spans="2:10">
      <c r="C2189" s="2" t="s">
        <v>18</v>
      </c>
      <c r="D2189" s="2" t="s">
        <v>957</v>
      </c>
      <c r="E2189" s="3">
        <v>50</v>
      </c>
      <c r="F2189" s="3">
        <v>6</v>
      </c>
      <c r="G2189" s="4">
        <v>44900</v>
      </c>
      <c r="I2189" s="1">
        <v>450</v>
      </c>
      <c r="J2189" s="1">
        <v>1400</v>
      </c>
    </row>
    <row r="2190" spans="2:10">
      <c r="C2190" s="2" t="s">
        <v>7</v>
      </c>
      <c r="D2190" s="2" t="s">
        <v>957</v>
      </c>
      <c r="E2190" s="3">
        <v>35</v>
      </c>
      <c r="F2190" s="3">
        <v>5</v>
      </c>
      <c r="G2190" s="4">
        <v>44543</v>
      </c>
      <c r="J2190" s="1">
        <v>1400</v>
      </c>
    </row>
    <row r="2191" spans="2:10">
      <c r="C2191" s="2" t="s">
        <v>5</v>
      </c>
      <c r="D2191" s="2" t="s">
        <v>957</v>
      </c>
      <c r="E2191" s="3">
        <v>8.5</v>
      </c>
      <c r="F2191" s="3">
        <v>1</v>
      </c>
      <c r="G2191" s="4">
        <v>44181</v>
      </c>
      <c r="J2191" s="1">
        <v>1400</v>
      </c>
    </row>
    <row r="2192" spans="2:10">
      <c r="C2192" s="2" t="s">
        <v>7</v>
      </c>
      <c r="D2192" s="2" t="s">
        <v>2129</v>
      </c>
      <c r="E2192" s="3">
        <v>176</v>
      </c>
      <c r="F2192" s="3">
        <v>13</v>
      </c>
      <c r="G2192" s="4">
        <v>44578</v>
      </c>
    </row>
    <row r="2193" spans="2:18">
      <c r="C2193" s="2" t="s">
        <v>5</v>
      </c>
      <c r="D2193" s="2" t="s">
        <v>2129</v>
      </c>
      <c r="E2193" s="3">
        <v>20</v>
      </c>
      <c r="F2193" s="3">
        <v>3</v>
      </c>
      <c r="G2193" s="4">
        <v>44044</v>
      </c>
    </row>
    <row r="2194" spans="2:18">
      <c r="C2194" s="2" t="s">
        <v>4</v>
      </c>
      <c r="D2194" s="2" t="s">
        <v>2129</v>
      </c>
      <c r="E2194" s="3">
        <v>3</v>
      </c>
      <c r="F2194" s="3">
        <v>1</v>
      </c>
      <c r="G2194" s="4">
        <v>42979</v>
      </c>
    </row>
    <row r="2195" spans="2:18">
      <c r="G2195" s="4"/>
    </row>
    <row r="2196" spans="2:18" s="12" customFormat="1">
      <c r="B2196" s="12" t="s">
        <v>1000</v>
      </c>
      <c r="C2196" s="13" t="s">
        <v>969</v>
      </c>
      <c r="D2196" s="13" t="s">
        <v>968</v>
      </c>
      <c r="E2196" s="15"/>
      <c r="F2196" s="15">
        <f>SUM(F2197:F2200)</f>
        <v>28.5</v>
      </c>
      <c r="G2196" s="14">
        <f>G2197</f>
        <v>44699</v>
      </c>
      <c r="M2196" s="13"/>
      <c r="N2196" s="13"/>
      <c r="O2196" s="13"/>
      <c r="P2196" s="13"/>
      <c r="Q2196" s="13"/>
      <c r="R2196" s="13"/>
    </row>
    <row r="2197" spans="2:18">
      <c r="C2197" s="2" t="s">
        <v>5</v>
      </c>
      <c r="D2197" s="2" t="s">
        <v>999</v>
      </c>
      <c r="E2197" s="3">
        <v>25</v>
      </c>
      <c r="F2197" s="3">
        <v>10</v>
      </c>
      <c r="G2197" s="4">
        <v>44699</v>
      </c>
    </row>
    <row r="2198" spans="2:18">
      <c r="C2198" s="2" t="s">
        <v>5</v>
      </c>
      <c r="D2198" s="2" t="s">
        <v>697</v>
      </c>
      <c r="E2198" s="3">
        <v>5.6</v>
      </c>
      <c r="F2198" s="3">
        <v>1</v>
      </c>
      <c r="G2198" s="4">
        <v>44292</v>
      </c>
    </row>
    <row r="2199" spans="2:18">
      <c r="C2199" s="168" t="s">
        <v>5</v>
      </c>
      <c r="D2199" s="168" t="s">
        <v>2033</v>
      </c>
      <c r="E2199" s="3">
        <v>25</v>
      </c>
      <c r="F2199" s="3">
        <v>12.5</v>
      </c>
      <c r="G2199" s="4">
        <v>44454</v>
      </c>
    </row>
    <row r="2200" spans="2:18">
      <c r="C2200" s="168" t="s">
        <v>4</v>
      </c>
      <c r="D2200" s="168" t="s">
        <v>2033</v>
      </c>
      <c r="E2200" s="3">
        <v>5</v>
      </c>
      <c r="F2200" s="3">
        <v>5</v>
      </c>
      <c r="G2200" s="4">
        <v>44454</v>
      </c>
    </row>
    <row r="2201" spans="2:18">
      <c r="G2201" s="4"/>
    </row>
    <row r="2202" spans="2:18" s="12" customFormat="1">
      <c r="B2202" s="12" t="s">
        <v>4358</v>
      </c>
      <c r="C2202" s="13" t="s">
        <v>969</v>
      </c>
      <c r="D2202" s="13" t="s">
        <v>968</v>
      </c>
      <c r="E2202" s="15"/>
      <c r="F2202" s="15">
        <f>SUM(F2203:F2204)</f>
        <v>28.9</v>
      </c>
      <c r="G2202" s="14">
        <f>G2204</f>
        <v>39506</v>
      </c>
      <c r="M2202" s="13"/>
      <c r="N2202" s="13"/>
      <c r="O2202" s="13"/>
      <c r="P2202" s="13"/>
      <c r="Q2202" s="13"/>
      <c r="R2202" s="13"/>
    </row>
    <row r="2203" spans="2:18">
      <c r="C2203" s="2" t="s">
        <v>7</v>
      </c>
      <c r="D2203" s="2" t="s">
        <v>3935</v>
      </c>
      <c r="E2203" s="3">
        <v>10.5</v>
      </c>
      <c r="F2203" s="3">
        <v>10.5</v>
      </c>
      <c r="G2203" s="4">
        <v>39044</v>
      </c>
    </row>
    <row r="2204" spans="2:18">
      <c r="C2204" s="2" t="s">
        <v>18</v>
      </c>
      <c r="D2204" s="2" t="s">
        <v>3935</v>
      </c>
      <c r="E2204" s="3">
        <v>36.799999999999997</v>
      </c>
      <c r="F2204" s="3">
        <f>E2204/2</f>
        <v>18.399999999999999</v>
      </c>
      <c r="G2204" s="4">
        <v>39506</v>
      </c>
    </row>
    <row r="2205" spans="2:18">
      <c r="G2205" s="4"/>
    </row>
    <row r="2206" spans="2:18" s="12" customFormat="1">
      <c r="B2206" s="12" t="s">
        <v>84</v>
      </c>
      <c r="C2206" s="13" t="s">
        <v>969</v>
      </c>
      <c r="D2206" s="13" t="s">
        <v>968</v>
      </c>
      <c r="E2206" s="15"/>
      <c r="F2206" s="15">
        <f>SUM(F2207:F2208)</f>
        <v>27.5</v>
      </c>
      <c r="G2206" s="14">
        <f>G2207</f>
        <v>43958</v>
      </c>
      <c r="M2206" s="13"/>
      <c r="N2206" s="13"/>
      <c r="O2206" s="13"/>
      <c r="P2206" s="13"/>
      <c r="Q2206" s="13"/>
      <c r="R2206" s="13"/>
    </row>
    <row r="2207" spans="2:18">
      <c r="C2207" s="2" t="s">
        <v>7</v>
      </c>
      <c r="D2207" s="2" t="s">
        <v>80</v>
      </c>
      <c r="E2207" s="3">
        <v>100</v>
      </c>
      <c r="F2207" s="3">
        <v>20</v>
      </c>
      <c r="G2207" s="4">
        <v>43958</v>
      </c>
      <c r="I2207" s="5">
        <f>4500/7</f>
        <v>642.85714285714289</v>
      </c>
    </row>
    <row r="2208" spans="2:18">
      <c r="C2208" s="2" t="s">
        <v>4</v>
      </c>
      <c r="D2208" s="2" t="s">
        <v>80</v>
      </c>
      <c r="E2208" s="3">
        <v>49</v>
      </c>
      <c r="F2208" s="3">
        <v>7.5</v>
      </c>
      <c r="G2208" s="4">
        <v>43319</v>
      </c>
      <c r="I2208" s="5"/>
    </row>
    <row r="2209" spans="2:18">
      <c r="G2209" s="4"/>
      <c r="I2209" s="5"/>
    </row>
    <row r="2210" spans="2:18" s="12" customFormat="1">
      <c r="B2210" s="12" t="s">
        <v>1048</v>
      </c>
      <c r="C2210" s="13" t="s">
        <v>969</v>
      </c>
      <c r="D2210" s="13" t="s">
        <v>968</v>
      </c>
      <c r="E2210" s="15"/>
      <c r="F2210" s="15">
        <f>SUM(F2211:F2214)</f>
        <v>28.222222222222221</v>
      </c>
      <c r="G2210" s="14">
        <f>G2211</f>
        <v>44274</v>
      </c>
      <c r="M2210" s="13"/>
      <c r="N2210" s="13"/>
      <c r="O2210" s="13"/>
      <c r="P2210" s="13"/>
      <c r="Q2210" s="13"/>
      <c r="R2210" s="13"/>
    </row>
    <row r="2211" spans="2:18">
      <c r="C2211" s="2" t="s">
        <v>18</v>
      </c>
      <c r="D2211" s="2" t="s">
        <v>197</v>
      </c>
      <c r="E2211" s="3">
        <v>500</v>
      </c>
      <c r="F2211" s="3">
        <f>200/9</f>
        <v>22.222222222222221</v>
      </c>
      <c r="G2211" s="4">
        <v>44274</v>
      </c>
    </row>
    <row r="2212" spans="2:18">
      <c r="C2212" s="2" t="s">
        <v>7</v>
      </c>
      <c r="D2212" s="2" t="s">
        <v>197</v>
      </c>
      <c r="E2212" s="3">
        <v>46</v>
      </c>
      <c r="F2212" s="3">
        <v>6</v>
      </c>
      <c r="G2212" s="4">
        <v>42941</v>
      </c>
    </row>
    <row r="2213" spans="2:18">
      <c r="C2213" s="2" t="s">
        <v>9</v>
      </c>
      <c r="D2213" s="2" t="s">
        <v>148</v>
      </c>
      <c r="E2213" s="3">
        <v>300</v>
      </c>
      <c r="F2213" s="6" t="s">
        <v>1047</v>
      </c>
      <c r="G2213" s="4">
        <v>44271</v>
      </c>
    </row>
    <row r="2214" spans="2:18">
      <c r="C2214" s="2" t="s">
        <v>8</v>
      </c>
      <c r="D2214" s="2" t="s">
        <v>148</v>
      </c>
      <c r="E2214" s="3">
        <v>38</v>
      </c>
      <c r="F2214" s="6" t="s">
        <v>1046</v>
      </c>
      <c r="G2214" s="4">
        <v>43266</v>
      </c>
    </row>
    <row r="2215" spans="2:18">
      <c r="G2215" s="4"/>
    </row>
    <row r="2216" spans="2:18" s="12" customFormat="1">
      <c r="B2216" s="12" t="s">
        <v>140</v>
      </c>
      <c r="C2216" s="13" t="s">
        <v>969</v>
      </c>
      <c r="D2216" s="13" t="s">
        <v>968</v>
      </c>
      <c r="E2216" s="15"/>
      <c r="F2216" s="15">
        <f>SUM(F2217:F2218)</f>
        <v>28</v>
      </c>
      <c r="G2216" s="14">
        <f>G2217</f>
        <v>44880</v>
      </c>
      <c r="M2216" s="13"/>
      <c r="N2216" s="13"/>
      <c r="O2216" s="13"/>
      <c r="P2216" s="13"/>
      <c r="Q2216" s="13"/>
      <c r="R2216" s="13"/>
    </row>
    <row r="2217" spans="2:18">
      <c r="C2217" s="2" t="s">
        <v>8</v>
      </c>
      <c r="D2217" s="2" t="s">
        <v>131</v>
      </c>
      <c r="E2217" s="3">
        <v>135</v>
      </c>
      <c r="F2217" s="3">
        <v>8</v>
      </c>
      <c r="G2217" s="4">
        <v>44880</v>
      </c>
    </row>
    <row r="2218" spans="2:18">
      <c r="C2218" s="2" t="s">
        <v>18</v>
      </c>
      <c r="D2218" s="2" t="s">
        <v>131</v>
      </c>
      <c r="E2218" s="3">
        <v>73</v>
      </c>
      <c r="F2218" s="3">
        <v>20</v>
      </c>
      <c r="G2218" s="4">
        <v>44565</v>
      </c>
    </row>
    <row r="2219" spans="2:18">
      <c r="G2219" s="4"/>
    </row>
    <row r="2220" spans="2:18" s="12" customFormat="1">
      <c r="B2220" s="12" t="s">
        <v>609</v>
      </c>
      <c r="C2220" s="13" t="s">
        <v>969</v>
      </c>
      <c r="D2220" s="13" t="s">
        <v>968</v>
      </c>
      <c r="E2220" s="15"/>
      <c r="F2220" s="15">
        <f>SUM(F2221:F2224)</f>
        <v>28.2</v>
      </c>
      <c r="G2220" s="14">
        <f>G2221</f>
        <v>44215</v>
      </c>
    </row>
    <row r="2221" spans="2:18">
      <c r="C2221" s="2" t="s">
        <v>9</v>
      </c>
      <c r="D2221" s="2" t="s">
        <v>606</v>
      </c>
      <c r="E2221" s="3">
        <v>132</v>
      </c>
      <c r="F2221" s="3">
        <f>72/10</f>
        <v>7.2</v>
      </c>
      <c r="G2221" s="4">
        <v>44215</v>
      </c>
      <c r="J2221" s="1">
        <v>1200</v>
      </c>
      <c r="M2221" s="1"/>
      <c r="N2221" s="1"/>
      <c r="O2221" s="1"/>
      <c r="P2221" s="1"/>
      <c r="Q2221" s="1"/>
      <c r="R2221" s="1"/>
    </row>
    <row r="2222" spans="2:18">
      <c r="C2222" s="2" t="s">
        <v>8</v>
      </c>
      <c r="D2222" s="2" t="s">
        <v>606</v>
      </c>
      <c r="E2222" s="3">
        <v>42</v>
      </c>
      <c r="F2222" s="3">
        <f>30/5</f>
        <v>6</v>
      </c>
      <c r="G2222" s="4">
        <v>44153</v>
      </c>
      <c r="J2222" s="1">
        <v>1200</v>
      </c>
      <c r="M2222" s="1"/>
      <c r="N2222" s="1"/>
      <c r="O2222" s="1"/>
      <c r="P2222" s="1"/>
      <c r="Q2222" s="1"/>
      <c r="R2222" s="1"/>
    </row>
    <row r="2223" spans="2:18">
      <c r="C2223" s="2" t="s">
        <v>18</v>
      </c>
      <c r="D2223" s="2" t="s">
        <v>606</v>
      </c>
      <c r="E2223" s="3">
        <v>48</v>
      </c>
      <c r="F2223" s="3">
        <v>10</v>
      </c>
      <c r="G2223" s="4">
        <v>43888</v>
      </c>
      <c r="J2223" s="1">
        <v>1200</v>
      </c>
      <c r="M2223" s="1"/>
      <c r="N2223" s="1"/>
      <c r="O2223" s="1"/>
      <c r="P2223" s="1"/>
      <c r="Q2223" s="1"/>
      <c r="R2223" s="1"/>
    </row>
    <row r="2224" spans="2:18">
      <c r="C2224" s="2" t="s">
        <v>7</v>
      </c>
      <c r="D2224" s="2" t="s">
        <v>606</v>
      </c>
      <c r="E2224" s="3">
        <v>25</v>
      </c>
      <c r="F2224" s="3">
        <v>5</v>
      </c>
      <c r="G2224" s="4">
        <v>43440</v>
      </c>
      <c r="J2224" s="1">
        <v>1200</v>
      </c>
      <c r="M2224" s="1"/>
      <c r="N2224" s="1"/>
      <c r="O2224" s="1"/>
      <c r="P2224" s="1"/>
      <c r="Q2224" s="1"/>
      <c r="R2224" s="1"/>
    </row>
    <row r="2225" spans="2:18">
      <c r="G2225" s="4"/>
      <c r="M2225" s="1"/>
      <c r="N2225" s="1"/>
      <c r="O2225" s="1"/>
      <c r="P2225" s="1"/>
      <c r="Q2225" s="1"/>
      <c r="R2225" s="1"/>
    </row>
    <row r="2226" spans="2:18" s="12" customFormat="1">
      <c r="B2226" s="12" t="s">
        <v>205</v>
      </c>
      <c r="C2226" s="13" t="s">
        <v>969</v>
      </c>
      <c r="D2226" s="13" t="s">
        <v>968</v>
      </c>
      <c r="E2226" s="15"/>
      <c r="F2226" s="15">
        <f>SUM(F2227:F2228)</f>
        <v>28.222222222222221</v>
      </c>
      <c r="G2226" s="14">
        <f>G2227</f>
        <v>44274</v>
      </c>
      <c r="M2226" s="13"/>
      <c r="N2226" s="13"/>
      <c r="O2226" s="13"/>
      <c r="P2226" s="13"/>
      <c r="Q2226" s="13"/>
      <c r="R2226" s="13"/>
    </row>
    <row r="2227" spans="2:18">
      <c r="C2227" s="2" t="s">
        <v>18</v>
      </c>
      <c r="D2227" s="2" t="s">
        <v>197</v>
      </c>
      <c r="E2227" s="3">
        <v>500</v>
      </c>
      <c r="F2227" s="3">
        <f>200/9</f>
        <v>22.222222222222221</v>
      </c>
      <c r="G2227" s="4">
        <v>44274</v>
      </c>
    </row>
    <row r="2228" spans="2:18">
      <c r="C2228" s="2" t="s">
        <v>7</v>
      </c>
      <c r="D2228" s="2" t="s">
        <v>197</v>
      </c>
      <c r="E2228" s="3">
        <v>46</v>
      </c>
      <c r="F2228" s="3">
        <v>6</v>
      </c>
      <c r="G2228" s="4">
        <v>42941</v>
      </c>
    </row>
    <row r="2229" spans="2:18">
      <c r="G2229" s="4"/>
    </row>
    <row r="2230" spans="2:18" s="12" customFormat="1">
      <c r="B2230" s="12" t="s">
        <v>4883</v>
      </c>
      <c r="C2230" s="13" t="s">
        <v>969</v>
      </c>
      <c r="D2230" s="13" t="s">
        <v>968</v>
      </c>
      <c r="E2230" s="15"/>
      <c r="F2230" s="15">
        <f>SUM(F2231:F2233)</f>
        <v>26.8</v>
      </c>
      <c r="G2230" s="14">
        <f>G2231</f>
        <v>44320</v>
      </c>
      <c r="M2230" s="13"/>
      <c r="N2230" s="13"/>
      <c r="O2230" s="13"/>
      <c r="P2230" s="13"/>
      <c r="Q2230" s="13"/>
      <c r="R2230" s="13"/>
    </row>
    <row r="2231" spans="2:18">
      <c r="B2231" s="51"/>
      <c r="C2231" s="52" t="s">
        <v>8</v>
      </c>
      <c r="D2231" s="52" t="s">
        <v>4882</v>
      </c>
      <c r="E2231" s="3">
        <v>83</v>
      </c>
      <c r="F2231" s="3">
        <f>68/10</f>
        <v>6.8</v>
      </c>
      <c r="G2231" s="4">
        <v>44320</v>
      </c>
      <c r="I2231" s="1">
        <v>3600</v>
      </c>
      <c r="J2231" s="1">
        <v>3600</v>
      </c>
    </row>
    <row r="2232" spans="2:18">
      <c r="B2232" s="51"/>
      <c r="C2232" s="52" t="s">
        <v>18</v>
      </c>
      <c r="D2232" s="52" t="s">
        <v>4882</v>
      </c>
      <c r="E2232" s="3">
        <v>100</v>
      </c>
      <c r="F2232" s="3">
        <f>80/8</f>
        <v>10</v>
      </c>
      <c r="G2232" s="4">
        <v>43937</v>
      </c>
      <c r="I2232" s="1">
        <v>1100</v>
      </c>
      <c r="J2232" s="1">
        <v>3600</v>
      </c>
    </row>
    <row r="2233" spans="2:18">
      <c r="B2233" s="51"/>
      <c r="C2233" s="52" t="s">
        <v>7</v>
      </c>
      <c r="D2233" s="52" t="s">
        <v>4882</v>
      </c>
      <c r="E2233" s="3">
        <v>40</v>
      </c>
      <c r="F2233" s="3">
        <v>10</v>
      </c>
      <c r="G2233" s="4">
        <v>43522</v>
      </c>
      <c r="J2233" s="1">
        <v>3600</v>
      </c>
    </row>
    <row r="2234" spans="2:18">
      <c r="B2234" s="51"/>
      <c r="C2234" s="52"/>
      <c r="D2234" s="52"/>
      <c r="G2234" s="4"/>
    </row>
    <row r="2235" spans="2:18" s="12" customFormat="1">
      <c r="B2235" s="12" t="s">
        <v>36</v>
      </c>
      <c r="C2235" s="13" t="s">
        <v>969</v>
      </c>
      <c r="D2235" s="13" t="s">
        <v>968</v>
      </c>
      <c r="E2235" s="15"/>
      <c r="F2235" s="15">
        <f>SUM(F2236:F2237)</f>
        <v>26.714285714285715</v>
      </c>
      <c r="G2235" s="14">
        <f>G2236</f>
        <v>43634</v>
      </c>
      <c r="M2235" s="13"/>
      <c r="N2235" s="13"/>
      <c r="O2235" s="13"/>
      <c r="P2235" s="13"/>
      <c r="Q2235" s="13"/>
      <c r="R2235" s="13"/>
    </row>
    <row r="2236" spans="2:18">
      <c r="C2236" s="2" t="s">
        <v>18</v>
      </c>
      <c r="D2236" s="2" t="s">
        <v>32</v>
      </c>
      <c r="E2236" s="3">
        <v>230</v>
      </c>
      <c r="F2236" s="3">
        <f>110/7</f>
        <v>15.714285714285714</v>
      </c>
      <c r="G2236" s="4">
        <v>43634</v>
      </c>
      <c r="I2236" s="1">
        <v>770</v>
      </c>
      <c r="J2236" s="1">
        <v>770</v>
      </c>
    </row>
    <row r="2237" spans="2:18">
      <c r="C2237" s="2" t="s">
        <v>7</v>
      </c>
      <c r="D2237" s="2" t="s">
        <v>32</v>
      </c>
      <c r="E2237" s="3">
        <v>45</v>
      </c>
      <c r="F2237" s="3">
        <v>11</v>
      </c>
      <c r="G2237" s="4">
        <v>43293</v>
      </c>
      <c r="J2237" s="1">
        <v>770</v>
      </c>
    </row>
    <row r="2238" spans="2:18">
      <c r="G2238" s="4"/>
    </row>
    <row r="2239" spans="2:18" s="12" customFormat="1">
      <c r="B2239" s="12" t="s">
        <v>33</v>
      </c>
      <c r="C2239" s="13" t="s">
        <v>969</v>
      </c>
      <c r="D2239" s="13" t="s">
        <v>968</v>
      </c>
      <c r="E2239" s="15"/>
      <c r="F2239" s="15">
        <f>SUM(F2240:F2242)</f>
        <v>26.714285714285715</v>
      </c>
      <c r="G2239" s="14">
        <f>G2240</f>
        <v>43634</v>
      </c>
      <c r="M2239" s="13"/>
      <c r="N2239" s="13"/>
      <c r="O2239" s="13"/>
      <c r="P2239" s="13"/>
      <c r="Q2239" s="13"/>
      <c r="R2239" s="13"/>
    </row>
    <row r="2240" spans="2:18">
      <c r="C2240" s="2" t="s">
        <v>18</v>
      </c>
      <c r="D2240" s="2" t="s">
        <v>32</v>
      </c>
      <c r="E2240" s="3">
        <v>230</v>
      </c>
      <c r="F2240" s="3">
        <f>110/7</f>
        <v>15.714285714285714</v>
      </c>
      <c r="G2240" s="4">
        <v>43634</v>
      </c>
      <c r="I2240" s="1">
        <v>770</v>
      </c>
      <c r="J2240" s="1">
        <v>770</v>
      </c>
    </row>
    <row r="2241" spans="2:18">
      <c r="C2241" s="2" t="s">
        <v>7</v>
      </c>
      <c r="D2241" s="2" t="s">
        <v>32</v>
      </c>
      <c r="E2241" s="3">
        <v>45</v>
      </c>
      <c r="F2241" s="3">
        <v>6</v>
      </c>
      <c r="G2241" s="4">
        <v>43293</v>
      </c>
      <c r="J2241" s="1">
        <v>770</v>
      </c>
    </row>
    <row r="2242" spans="2:18">
      <c r="C2242" s="2" t="s">
        <v>5</v>
      </c>
      <c r="D2242" s="2" t="s">
        <v>32</v>
      </c>
      <c r="E2242" s="3">
        <v>18</v>
      </c>
      <c r="F2242" s="3">
        <v>5</v>
      </c>
      <c r="G2242" s="4">
        <v>42983</v>
      </c>
      <c r="J2242" s="1">
        <v>770</v>
      </c>
    </row>
    <row r="2243" spans="2:18">
      <c r="G2243" s="4"/>
    </row>
    <row r="2244" spans="2:18" s="12" customFormat="1">
      <c r="B2244" s="12" t="s">
        <v>5408</v>
      </c>
      <c r="C2244" s="13" t="s">
        <v>969</v>
      </c>
      <c r="D2244" s="13" t="s">
        <v>968</v>
      </c>
      <c r="E2244" s="15"/>
      <c r="F2244" s="15">
        <f>SUM(F2245:F2247)</f>
        <v>27</v>
      </c>
      <c r="G2244" s="14">
        <f>G2245</f>
        <v>44307</v>
      </c>
      <c r="M2244" s="13"/>
      <c r="N2244" s="13"/>
      <c r="O2244" s="13"/>
      <c r="P2244" s="13"/>
      <c r="Q2244" s="13"/>
      <c r="R2244" s="13"/>
    </row>
    <row r="2245" spans="2:18">
      <c r="B2245" s="91"/>
      <c r="C2245" s="92" t="s">
        <v>8</v>
      </c>
      <c r="D2245" s="92" t="s">
        <v>5407</v>
      </c>
      <c r="E2245" s="3">
        <v>50</v>
      </c>
      <c r="F2245" s="3">
        <f>30/4</f>
        <v>7.5</v>
      </c>
      <c r="G2245" s="4">
        <v>44307</v>
      </c>
      <c r="I2245" s="1">
        <v>2000</v>
      </c>
      <c r="J2245" s="1">
        <v>2000</v>
      </c>
    </row>
    <row r="2246" spans="2:18">
      <c r="B2246" s="91"/>
      <c r="C2246" s="92" t="s">
        <v>18</v>
      </c>
      <c r="D2246" s="92" t="s">
        <v>5407</v>
      </c>
      <c r="E2246" s="3">
        <v>37</v>
      </c>
      <c r="F2246" s="3">
        <v>14</v>
      </c>
      <c r="G2246" s="4">
        <v>43831</v>
      </c>
      <c r="J2246" s="1">
        <v>2000</v>
      </c>
    </row>
    <row r="2247" spans="2:18">
      <c r="B2247" s="91"/>
      <c r="C2247" s="92" t="s">
        <v>7</v>
      </c>
      <c r="D2247" s="92" t="s">
        <v>5407</v>
      </c>
      <c r="E2247" s="3">
        <v>13.5</v>
      </c>
      <c r="F2247" s="3">
        <v>5.5</v>
      </c>
      <c r="G2247" s="4">
        <v>43320</v>
      </c>
      <c r="J2247" s="1">
        <v>2000</v>
      </c>
    </row>
    <row r="2248" spans="2:18">
      <c r="B2248" s="91"/>
      <c r="C2248" s="92"/>
      <c r="D2248" s="92"/>
      <c r="G2248" s="4"/>
    </row>
    <row r="2249" spans="2:18">
      <c r="B2249" s="12" t="s">
        <v>1045</v>
      </c>
      <c r="C2249" s="13" t="s">
        <v>969</v>
      </c>
      <c r="D2249" s="13" t="s">
        <v>968</v>
      </c>
      <c r="E2249" s="15"/>
      <c r="F2249" s="15">
        <f>SUM(F2250:F2258)</f>
        <v>26.5</v>
      </c>
      <c r="G2249" s="14">
        <f>+G2255</f>
        <v>44398</v>
      </c>
    </row>
    <row r="2250" spans="2:18">
      <c r="B2250" s="253" t="s">
        <v>7632</v>
      </c>
      <c r="C2250" s="2" t="s">
        <v>278</v>
      </c>
      <c r="D2250" s="2" t="s">
        <v>763</v>
      </c>
      <c r="E2250" s="3">
        <v>1</v>
      </c>
      <c r="F2250" s="3">
        <v>0.5</v>
      </c>
      <c r="G2250" s="4">
        <v>44287</v>
      </c>
    </row>
    <row r="2251" spans="2:18">
      <c r="C2251" s="2" t="s">
        <v>5</v>
      </c>
      <c r="D2251" s="2" t="s">
        <v>957</v>
      </c>
      <c r="E2251" s="3">
        <v>8.5</v>
      </c>
      <c r="F2251" s="3">
        <v>1</v>
      </c>
      <c r="G2251" s="4">
        <v>44181</v>
      </c>
      <c r="J2251" s="1">
        <v>1400</v>
      </c>
    </row>
    <row r="2252" spans="2:18">
      <c r="C2252" s="2" t="s">
        <v>5</v>
      </c>
      <c r="D2252" s="2" t="s">
        <v>695</v>
      </c>
      <c r="E2252" s="3">
        <v>20</v>
      </c>
      <c r="F2252" s="3">
        <f>10/4</f>
        <v>2.5</v>
      </c>
      <c r="G2252" s="4">
        <v>44392</v>
      </c>
    </row>
    <row r="2253" spans="2:18">
      <c r="C2253" s="2" t="s">
        <v>4</v>
      </c>
      <c r="D2253" s="2" t="s">
        <v>663</v>
      </c>
      <c r="E2253" s="3">
        <v>4.5</v>
      </c>
      <c r="F2253" s="3">
        <v>0.5</v>
      </c>
      <c r="G2253" s="4">
        <v>44293</v>
      </c>
    </row>
    <row r="2254" spans="2:18">
      <c r="C2254" s="2" t="s">
        <v>7</v>
      </c>
      <c r="D2254" s="2" t="s">
        <v>599</v>
      </c>
      <c r="E2254" s="3">
        <v>54</v>
      </c>
      <c r="F2254" s="3">
        <f>40/5</f>
        <v>8</v>
      </c>
      <c r="G2254" s="4">
        <v>44089</v>
      </c>
    </row>
    <row r="2255" spans="2:18">
      <c r="C2255" s="2" t="s">
        <v>7</v>
      </c>
      <c r="D2255" s="2" t="s">
        <v>475</v>
      </c>
      <c r="E2255" s="3">
        <v>90</v>
      </c>
      <c r="F2255" s="3">
        <v>6</v>
      </c>
      <c r="G2255" s="4">
        <v>44398</v>
      </c>
    </row>
    <row r="2256" spans="2:18">
      <c r="C2256" s="2" t="s">
        <v>7</v>
      </c>
      <c r="D2256" s="2" t="s">
        <v>525</v>
      </c>
      <c r="E2256" s="3">
        <v>32</v>
      </c>
      <c r="F2256" s="3">
        <v>3</v>
      </c>
      <c r="G2256" s="4">
        <v>44364</v>
      </c>
    </row>
    <row r="2257" spans="2:18">
      <c r="C2257" s="2" t="s">
        <v>5</v>
      </c>
      <c r="D2257" s="2" t="s">
        <v>298</v>
      </c>
      <c r="E2257" s="3">
        <v>15</v>
      </c>
      <c r="F2257" s="3">
        <v>2</v>
      </c>
      <c r="G2257" s="4">
        <v>44314</v>
      </c>
    </row>
    <row r="2258" spans="2:18">
      <c r="C2258" s="2" t="s">
        <v>5</v>
      </c>
      <c r="D2258" s="2" t="s">
        <v>2129</v>
      </c>
      <c r="E2258" s="3">
        <v>20</v>
      </c>
      <c r="F2258" s="3">
        <v>3</v>
      </c>
      <c r="G2258" s="4">
        <v>44044</v>
      </c>
    </row>
    <row r="2260" spans="2:18" s="12" customFormat="1">
      <c r="B2260" s="12" t="s">
        <v>616</v>
      </c>
      <c r="C2260" s="13" t="s">
        <v>969</v>
      </c>
      <c r="D2260" s="13" t="s">
        <v>968</v>
      </c>
      <c r="E2260" s="15"/>
      <c r="F2260" s="15">
        <f>SUM(F2261:F2265)</f>
        <v>25.755555555555556</v>
      </c>
      <c r="G2260" s="14">
        <f>+G2262</f>
        <v>45124</v>
      </c>
    </row>
    <row r="2261" spans="2:18">
      <c r="C2261" s="2" t="s">
        <v>9</v>
      </c>
      <c r="D2261" s="2" t="s">
        <v>606</v>
      </c>
      <c r="E2261" s="3">
        <v>132</v>
      </c>
      <c r="F2261" s="3">
        <f>72/10</f>
        <v>7.2</v>
      </c>
      <c r="G2261" s="4">
        <v>44215</v>
      </c>
      <c r="I2261" s="1">
        <v>1400</v>
      </c>
      <c r="J2261" s="1">
        <v>1200</v>
      </c>
      <c r="M2261" s="1"/>
      <c r="N2261" s="1"/>
      <c r="O2261" s="1"/>
      <c r="P2261" s="1"/>
      <c r="Q2261" s="1"/>
      <c r="R2261" s="1"/>
    </row>
    <row r="2262" spans="2:18">
      <c r="C2262" s="265" t="s">
        <v>7934</v>
      </c>
      <c r="D2262" s="2" t="s">
        <v>606</v>
      </c>
      <c r="E2262" s="3">
        <v>59</v>
      </c>
      <c r="F2262" s="3">
        <f>59/9</f>
        <v>6.5555555555555554</v>
      </c>
      <c r="G2262" s="4">
        <v>45124</v>
      </c>
      <c r="I2262" s="1">
        <v>1200</v>
      </c>
      <c r="J2262" s="1">
        <v>1200</v>
      </c>
      <c r="M2262" s="1"/>
      <c r="N2262" s="1"/>
      <c r="O2262" s="1"/>
      <c r="P2262" s="1"/>
      <c r="Q2262" s="1"/>
      <c r="R2262" s="1"/>
    </row>
    <row r="2263" spans="2:18">
      <c r="C2263" s="2" t="s">
        <v>8</v>
      </c>
      <c r="D2263" s="2" t="s">
        <v>606</v>
      </c>
      <c r="E2263" s="3">
        <v>42</v>
      </c>
      <c r="F2263" s="3">
        <f>30/5</f>
        <v>6</v>
      </c>
      <c r="G2263" s="4">
        <v>44153</v>
      </c>
      <c r="J2263" s="1">
        <v>1200</v>
      </c>
      <c r="M2263" s="1"/>
      <c r="N2263" s="1"/>
      <c r="O2263" s="1"/>
      <c r="P2263" s="1"/>
      <c r="Q2263" s="1"/>
      <c r="R2263" s="1"/>
    </row>
    <row r="2264" spans="2:18">
      <c r="C2264" s="2" t="s">
        <v>18</v>
      </c>
      <c r="D2264" s="2" t="s">
        <v>606</v>
      </c>
      <c r="E2264" s="3">
        <v>48</v>
      </c>
      <c r="F2264" s="3">
        <f>28/7</f>
        <v>4</v>
      </c>
      <c r="G2264" s="4">
        <v>43888</v>
      </c>
      <c r="J2264" s="1">
        <v>1200</v>
      </c>
      <c r="M2264" s="1"/>
      <c r="N2264" s="1"/>
      <c r="O2264" s="1"/>
      <c r="P2264" s="1"/>
      <c r="Q2264" s="1"/>
      <c r="R2264" s="1"/>
    </row>
    <row r="2265" spans="2:18">
      <c r="C2265" s="2" t="s">
        <v>7</v>
      </c>
      <c r="D2265" s="2" t="s">
        <v>606</v>
      </c>
      <c r="E2265" s="3">
        <v>25</v>
      </c>
      <c r="F2265" s="3">
        <f>10/5</f>
        <v>2</v>
      </c>
      <c r="G2265" s="4">
        <v>43440</v>
      </c>
      <c r="J2265" s="1">
        <v>1200</v>
      </c>
      <c r="M2265" s="1"/>
      <c r="N2265" s="1"/>
      <c r="O2265" s="1"/>
      <c r="P2265" s="1"/>
      <c r="Q2265" s="1"/>
      <c r="R2265" s="1"/>
    </row>
    <row r="2266" spans="2:18">
      <c r="G2266" s="4"/>
      <c r="M2266" s="1"/>
      <c r="N2266" s="1"/>
      <c r="O2266" s="1"/>
      <c r="P2266" s="1"/>
      <c r="Q2266" s="1"/>
      <c r="R2266" s="1"/>
    </row>
    <row r="2267" spans="2:18" s="12" customFormat="1">
      <c r="B2267" s="12" t="s">
        <v>4357</v>
      </c>
      <c r="C2267" s="13" t="s">
        <v>969</v>
      </c>
      <c r="D2267" s="13" t="s">
        <v>968</v>
      </c>
      <c r="E2267" s="15"/>
      <c r="F2267" s="15">
        <f>SUM(F2268:F2269)</f>
        <v>25.9</v>
      </c>
      <c r="G2267" s="14">
        <f>G2269</f>
        <v>39506</v>
      </c>
      <c r="M2267" s="13"/>
      <c r="N2267" s="13"/>
      <c r="O2267" s="13"/>
      <c r="P2267" s="13"/>
      <c r="Q2267" s="13"/>
      <c r="R2267" s="13"/>
    </row>
    <row r="2268" spans="2:18">
      <c r="C2268" s="2" t="s">
        <v>5</v>
      </c>
      <c r="D2268" s="2" t="s">
        <v>3935</v>
      </c>
      <c r="E2268" s="3">
        <v>7.5</v>
      </c>
      <c r="F2268" s="3">
        <v>7.5</v>
      </c>
      <c r="G2268" s="4">
        <v>38919</v>
      </c>
    </row>
    <row r="2269" spans="2:18">
      <c r="C2269" s="2" t="s">
        <v>18</v>
      </c>
      <c r="D2269" s="2" t="s">
        <v>3935</v>
      </c>
      <c r="E2269" s="3">
        <v>36.799999999999997</v>
      </c>
      <c r="F2269" s="3">
        <f>E2269/2</f>
        <v>18.399999999999999</v>
      </c>
      <c r="G2269" s="4">
        <v>39506</v>
      </c>
    </row>
    <row r="2270" spans="2:18">
      <c r="G2270" s="4"/>
    </row>
    <row r="2271" spans="2:18" s="12" customFormat="1">
      <c r="B2271" s="12" t="s">
        <v>5653</v>
      </c>
      <c r="C2271" s="13" t="s">
        <v>969</v>
      </c>
      <c r="D2271" s="13" t="s">
        <v>968</v>
      </c>
      <c r="E2271" s="15"/>
      <c r="F2271" s="15">
        <f>SUM(F2272:F2274)</f>
        <v>25</v>
      </c>
      <c r="G2271" s="14">
        <f>G2272</f>
        <v>44627</v>
      </c>
      <c r="M2271" s="13"/>
      <c r="N2271" s="13"/>
      <c r="O2271" s="13"/>
      <c r="P2271" s="13"/>
      <c r="Q2271" s="13"/>
      <c r="R2271" s="13"/>
    </row>
    <row r="2272" spans="2:18">
      <c r="B2272" s="91"/>
      <c r="C2272" s="92" t="s">
        <v>18</v>
      </c>
      <c r="D2272" s="92" t="s">
        <v>5649</v>
      </c>
      <c r="E2272" s="3">
        <v>75</v>
      </c>
      <c r="F2272" s="3">
        <f>25/2</f>
        <v>12.5</v>
      </c>
      <c r="G2272" s="4">
        <v>44627</v>
      </c>
    </row>
    <row r="2273" spans="2:18">
      <c r="C2273" s="92" t="s">
        <v>7</v>
      </c>
      <c r="D2273" s="92" t="s">
        <v>5649</v>
      </c>
      <c r="E2273" s="3">
        <v>30</v>
      </c>
      <c r="F2273" s="3">
        <v>7.5</v>
      </c>
      <c r="G2273" s="4">
        <v>44222</v>
      </c>
    </row>
    <row r="2274" spans="2:18">
      <c r="C2274" s="92" t="s">
        <v>5</v>
      </c>
      <c r="D2274" s="92" t="s">
        <v>5649</v>
      </c>
      <c r="E2274" s="3">
        <v>10</v>
      </c>
      <c r="F2274" s="3">
        <v>5</v>
      </c>
      <c r="G2274" s="4">
        <v>43559</v>
      </c>
    </row>
    <row r="2275" spans="2:18">
      <c r="C2275" s="92"/>
      <c r="D2275" s="92"/>
      <c r="G2275" s="4"/>
    </row>
    <row r="2276" spans="2:18" s="12" customFormat="1">
      <c r="B2276" s="12" t="s">
        <v>628</v>
      </c>
      <c r="C2276" s="13" t="s">
        <v>969</v>
      </c>
      <c r="D2276" s="13" t="s">
        <v>968</v>
      </c>
      <c r="E2276" s="15"/>
      <c r="F2276" s="15">
        <f>SUM(F2277:F2280)</f>
        <v>25</v>
      </c>
      <c r="G2276" s="14">
        <f>G2277</f>
        <v>44930</v>
      </c>
    </row>
    <row r="2277" spans="2:18">
      <c r="C2277" s="2" t="s">
        <v>5</v>
      </c>
      <c r="D2277" s="2" t="s">
        <v>624</v>
      </c>
      <c r="E2277" s="3">
        <v>10</v>
      </c>
      <c r="F2277" s="3">
        <v>4</v>
      </c>
      <c r="G2277" s="4">
        <v>44930</v>
      </c>
      <c r="M2277" s="1"/>
      <c r="N2277" s="1"/>
      <c r="O2277" s="1"/>
      <c r="P2277" s="1"/>
      <c r="Q2277" s="1"/>
      <c r="R2277" s="1"/>
    </row>
    <row r="2278" spans="2:18">
      <c r="C2278" s="2" t="s">
        <v>7</v>
      </c>
      <c r="D2278" s="2" t="s">
        <v>2129</v>
      </c>
      <c r="E2278" s="3">
        <v>176</v>
      </c>
      <c r="F2278" s="3">
        <v>13</v>
      </c>
      <c r="G2278" s="4">
        <v>44578</v>
      </c>
      <c r="M2278" s="1"/>
      <c r="N2278" s="1"/>
      <c r="O2278" s="1"/>
      <c r="P2278" s="1"/>
      <c r="Q2278" s="1"/>
      <c r="R2278" s="1"/>
    </row>
    <row r="2279" spans="2:18">
      <c r="C2279" s="2" t="s">
        <v>5</v>
      </c>
      <c r="D2279" s="2" t="s">
        <v>2129</v>
      </c>
      <c r="E2279" s="3">
        <v>20</v>
      </c>
      <c r="F2279" s="3">
        <v>5</v>
      </c>
      <c r="G2279" s="4">
        <v>44044</v>
      </c>
      <c r="M2279" s="1"/>
      <c r="N2279" s="1"/>
      <c r="O2279" s="1"/>
      <c r="P2279" s="1"/>
      <c r="Q2279" s="1"/>
      <c r="R2279" s="1"/>
    </row>
    <row r="2280" spans="2:18">
      <c r="C2280" s="2" t="s">
        <v>5</v>
      </c>
      <c r="D2280" s="2" t="s">
        <v>2129</v>
      </c>
      <c r="E2280" s="3">
        <v>20</v>
      </c>
      <c r="F2280" s="3">
        <v>3</v>
      </c>
      <c r="G2280" s="4">
        <v>43647</v>
      </c>
      <c r="M2280" s="1"/>
      <c r="N2280" s="1"/>
      <c r="O2280" s="1"/>
      <c r="P2280" s="1"/>
      <c r="Q2280" s="1"/>
      <c r="R2280" s="1"/>
    </row>
    <row r="2281" spans="2:18">
      <c r="G2281" s="4"/>
      <c r="M2281" s="1"/>
      <c r="N2281" s="1"/>
      <c r="O2281" s="1"/>
      <c r="P2281" s="1"/>
      <c r="Q2281" s="1"/>
      <c r="R2281" s="1"/>
    </row>
    <row r="2282" spans="2:18" s="12" customFormat="1">
      <c r="B2282" s="12" t="s">
        <v>393</v>
      </c>
      <c r="C2282" s="13" t="s">
        <v>969</v>
      </c>
      <c r="D2282" s="13" t="s">
        <v>968</v>
      </c>
      <c r="E2282" s="15"/>
      <c r="F2282" s="15">
        <f>SUM(F2283:F2285)</f>
        <v>24.5</v>
      </c>
      <c r="G2282" s="14">
        <f>G2283</f>
        <v>44286</v>
      </c>
    </row>
    <row r="2283" spans="2:18">
      <c r="C2283" s="2" t="s">
        <v>8</v>
      </c>
      <c r="D2283" s="2" t="s">
        <v>386</v>
      </c>
      <c r="E2283" s="3">
        <v>140</v>
      </c>
      <c r="F2283" s="3">
        <v>10</v>
      </c>
      <c r="G2283" s="4">
        <v>44286</v>
      </c>
      <c r="M2283" s="1"/>
      <c r="N2283" s="1"/>
      <c r="O2283" s="1"/>
      <c r="P2283" s="1"/>
      <c r="Q2283" s="1"/>
      <c r="R2283" s="1"/>
    </row>
    <row r="2284" spans="2:18">
      <c r="C2284" s="2" t="s">
        <v>18</v>
      </c>
      <c r="D2284" s="2" t="s">
        <v>386</v>
      </c>
      <c r="E2284" s="3">
        <v>110</v>
      </c>
      <c r="F2284" s="3">
        <v>10</v>
      </c>
      <c r="G2284" s="4">
        <v>43690</v>
      </c>
      <c r="M2284" s="1"/>
      <c r="N2284" s="1"/>
      <c r="O2284" s="1"/>
      <c r="P2284" s="1"/>
      <c r="Q2284" s="1"/>
      <c r="R2284" s="1"/>
    </row>
    <row r="2285" spans="2:18">
      <c r="C2285" s="2" t="s">
        <v>5</v>
      </c>
      <c r="D2285" s="2" t="s">
        <v>386</v>
      </c>
      <c r="E2285" s="3">
        <v>5.5</v>
      </c>
      <c r="F2285" s="3">
        <v>4.5</v>
      </c>
      <c r="G2285" s="4">
        <v>42156</v>
      </c>
      <c r="M2285" s="1"/>
      <c r="N2285" s="1"/>
      <c r="O2285" s="1"/>
      <c r="P2285" s="1"/>
      <c r="Q2285" s="1"/>
      <c r="R2285" s="1"/>
    </row>
    <row r="2286" spans="2:18">
      <c r="G2286" s="4"/>
      <c r="M2286" s="1"/>
      <c r="N2286" s="1"/>
      <c r="O2286" s="1"/>
      <c r="P2286" s="1"/>
      <c r="Q2286" s="1"/>
      <c r="R2286" s="1"/>
    </row>
    <row r="2287" spans="2:18" s="12" customFormat="1">
      <c r="B2287" s="12" t="s">
        <v>892</v>
      </c>
      <c r="C2287" s="13" t="s">
        <v>969</v>
      </c>
      <c r="D2287" s="13" t="s">
        <v>968</v>
      </c>
      <c r="E2287" s="15"/>
      <c r="F2287" s="15">
        <f>SUM(F2288:F2289)</f>
        <v>25</v>
      </c>
      <c r="G2287" s="14">
        <f>G2288</f>
        <v>44650</v>
      </c>
      <c r="M2287" s="13"/>
      <c r="N2287" s="13"/>
      <c r="O2287" s="13"/>
      <c r="P2287" s="13"/>
      <c r="Q2287" s="13"/>
      <c r="R2287" s="13"/>
    </row>
    <row r="2288" spans="2:18">
      <c r="C2288" s="2" t="s">
        <v>7</v>
      </c>
      <c r="D2288" s="2" t="s">
        <v>891</v>
      </c>
      <c r="E2288" s="3">
        <v>40</v>
      </c>
      <c r="F2288" s="3">
        <v>5</v>
      </c>
      <c r="G2288" s="4">
        <v>44650</v>
      </c>
    </row>
    <row r="2289" spans="2:18">
      <c r="C2289" s="2" t="s">
        <v>8</v>
      </c>
      <c r="D2289" s="2" t="s">
        <v>2134</v>
      </c>
      <c r="E2289" s="3">
        <v>200</v>
      </c>
      <c r="F2289" s="3">
        <v>20</v>
      </c>
      <c r="G2289" s="4">
        <v>44237</v>
      </c>
    </row>
    <row r="2290" spans="2:18">
      <c r="G2290" s="4"/>
    </row>
    <row r="2291" spans="2:18" s="12" customFormat="1">
      <c r="B2291" s="12" t="s">
        <v>1002</v>
      </c>
      <c r="C2291" s="13" t="s">
        <v>969</v>
      </c>
      <c r="D2291" s="13" t="s">
        <v>968</v>
      </c>
      <c r="E2291" s="15"/>
      <c r="F2291" s="15">
        <f>SUM(F2292:F2295)</f>
        <v>24.885714285714286</v>
      </c>
      <c r="G2291" s="14">
        <f>G2292</f>
        <v>44650</v>
      </c>
      <c r="M2291" s="13"/>
      <c r="N2291" s="13"/>
      <c r="O2291" s="13"/>
      <c r="P2291" s="13"/>
      <c r="Q2291" s="13"/>
      <c r="R2291" s="13"/>
    </row>
    <row r="2292" spans="2:18">
      <c r="C2292" s="2" t="s">
        <v>7</v>
      </c>
      <c r="D2292" s="2" t="s">
        <v>891</v>
      </c>
      <c r="E2292" s="3">
        <v>40</v>
      </c>
      <c r="F2292" s="3">
        <v>5</v>
      </c>
      <c r="G2292" s="4">
        <v>44650</v>
      </c>
    </row>
    <row r="2293" spans="2:18">
      <c r="C2293" s="2" t="s">
        <v>5</v>
      </c>
      <c r="D2293" s="2" t="s">
        <v>891</v>
      </c>
      <c r="E2293" s="3">
        <v>14</v>
      </c>
      <c r="F2293" s="3">
        <f>9/5</f>
        <v>1.8</v>
      </c>
      <c r="G2293" s="4">
        <v>44131</v>
      </c>
    </row>
    <row r="2294" spans="2:18">
      <c r="C2294" s="2" t="s">
        <v>5</v>
      </c>
      <c r="D2294" s="2" t="s">
        <v>871</v>
      </c>
      <c r="E2294" s="3">
        <v>21.4</v>
      </c>
      <c r="F2294" s="3">
        <f>11.4/3</f>
        <v>3.8000000000000003</v>
      </c>
      <c r="G2294" s="4">
        <v>44232</v>
      </c>
    </row>
    <row r="2295" spans="2:18">
      <c r="C2295" s="52" t="s">
        <v>18</v>
      </c>
      <c r="D2295" s="52" t="s">
        <v>2118</v>
      </c>
      <c r="E2295" s="3">
        <v>300</v>
      </c>
      <c r="F2295" s="3">
        <f>200/14</f>
        <v>14.285714285714286</v>
      </c>
      <c r="G2295" s="4">
        <v>44300</v>
      </c>
    </row>
    <row r="2296" spans="2:18">
      <c r="G2296" s="4"/>
    </row>
    <row r="2297" spans="2:18" s="12" customFormat="1">
      <c r="B2297" s="12" t="s">
        <v>806</v>
      </c>
      <c r="C2297" s="13" t="s">
        <v>969</v>
      </c>
      <c r="D2297" s="13" t="s">
        <v>968</v>
      </c>
      <c r="E2297" s="15"/>
      <c r="F2297" s="15">
        <f>SUM(F2298:F2299)</f>
        <v>23.6</v>
      </c>
      <c r="G2297" s="14">
        <f>G2298</f>
        <v>44623</v>
      </c>
      <c r="M2297" s="13"/>
      <c r="N2297" s="13"/>
      <c r="O2297" s="13"/>
      <c r="P2297" s="13"/>
      <c r="Q2297" s="13"/>
      <c r="R2297" s="13"/>
    </row>
    <row r="2298" spans="2:18">
      <c r="C2298" s="2" t="s">
        <v>4</v>
      </c>
      <c r="D2298" s="2" t="s">
        <v>701</v>
      </c>
      <c r="E2298" s="3">
        <v>12.5</v>
      </c>
      <c r="F2298" s="3">
        <f>8/5</f>
        <v>1.6</v>
      </c>
      <c r="G2298" s="4">
        <v>44623</v>
      </c>
    </row>
    <row r="2299" spans="2:18">
      <c r="C2299" s="2" t="s">
        <v>8</v>
      </c>
      <c r="D2299" s="2" t="s">
        <v>39</v>
      </c>
      <c r="E2299" s="3">
        <v>170</v>
      </c>
      <c r="F2299" s="3">
        <f>110/5</f>
        <v>22</v>
      </c>
      <c r="G2299" s="4">
        <v>44255</v>
      </c>
      <c r="I2299" s="1">
        <v>830</v>
      </c>
      <c r="J2299" s="1">
        <v>2000</v>
      </c>
    </row>
    <row r="2300" spans="2:18">
      <c r="G2300" s="4"/>
    </row>
    <row r="2301" spans="2:18" s="12" customFormat="1">
      <c r="B2301" s="12" t="s">
        <v>662</v>
      </c>
      <c r="C2301" s="13" t="s">
        <v>969</v>
      </c>
      <c r="D2301" s="13" t="s">
        <v>968</v>
      </c>
      <c r="E2301" s="15"/>
      <c r="F2301" s="15">
        <f>SUM(F2302:F2308)</f>
        <v>30.705555555555556</v>
      </c>
      <c r="G2301" s="14">
        <f>G2302</f>
        <v>44896</v>
      </c>
    </row>
    <row r="2302" spans="2:18">
      <c r="C2302" s="2" t="s">
        <v>4</v>
      </c>
      <c r="D2302" s="2" t="s">
        <v>661</v>
      </c>
      <c r="E2302" s="3">
        <v>13</v>
      </c>
      <c r="F2302" s="3">
        <f>7/2</f>
        <v>3.5</v>
      </c>
      <c r="G2302" s="4">
        <v>44896</v>
      </c>
      <c r="M2302" s="1"/>
      <c r="N2302" s="1"/>
      <c r="O2302" s="1"/>
      <c r="P2302" s="1"/>
      <c r="Q2302" s="1"/>
      <c r="R2302" s="1"/>
    </row>
    <row r="2303" spans="2:18">
      <c r="C2303" s="265" t="s">
        <v>7934</v>
      </c>
      <c r="D2303" s="265" t="s">
        <v>606</v>
      </c>
      <c r="E2303" s="3">
        <v>59</v>
      </c>
      <c r="F2303" s="3">
        <f>E2303/9</f>
        <v>6.5555555555555554</v>
      </c>
      <c r="G2303" s="4">
        <v>45124</v>
      </c>
      <c r="I2303" s="1">
        <v>1200</v>
      </c>
      <c r="J2303" s="1">
        <v>1200</v>
      </c>
      <c r="M2303" s="1"/>
      <c r="N2303" s="1"/>
      <c r="O2303" s="1"/>
      <c r="P2303" s="1"/>
      <c r="Q2303" s="1"/>
      <c r="R2303" s="1"/>
    </row>
    <row r="2304" spans="2:18">
      <c r="C2304" s="2" t="s">
        <v>18</v>
      </c>
      <c r="D2304" s="2" t="s">
        <v>606</v>
      </c>
      <c r="E2304" s="3">
        <v>48</v>
      </c>
      <c r="F2304" s="3">
        <v>10</v>
      </c>
      <c r="G2304" s="4">
        <v>43888</v>
      </c>
      <c r="J2304" s="1">
        <v>1200</v>
      </c>
      <c r="M2304" s="1"/>
      <c r="N2304" s="1"/>
      <c r="O2304" s="1"/>
      <c r="P2304" s="1"/>
      <c r="Q2304" s="1"/>
      <c r="R2304" s="1"/>
    </row>
    <row r="2305" spans="2:18">
      <c r="C2305" s="2" t="s">
        <v>7</v>
      </c>
      <c r="D2305" s="2" t="s">
        <v>606</v>
      </c>
      <c r="E2305" s="3">
        <v>25</v>
      </c>
      <c r="F2305" s="3">
        <v>5</v>
      </c>
      <c r="G2305" s="4">
        <v>43440</v>
      </c>
      <c r="J2305" s="1">
        <v>1200</v>
      </c>
      <c r="M2305" s="1"/>
      <c r="N2305" s="1"/>
      <c r="O2305" s="1"/>
      <c r="P2305" s="1"/>
      <c r="Q2305" s="1"/>
      <c r="R2305" s="1"/>
    </row>
    <row r="2306" spans="2:18">
      <c r="C2306" s="2" t="s">
        <v>5</v>
      </c>
      <c r="D2306" s="2" t="s">
        <v>606</v>
      </c>
      <c r="E2306" s="3">
        <v>5.8</v>
      </c>
      <c r="F2306" s="3">
        <f>E2306/4</f>
        <v>1.45</v>
      </c>
      <c r="G2306" s="4">
        <v>43117</v>
      </c>
      <c r="J2306" s="1">
        <v>1200</v>
      </c>
      <c r="M2306" s="1"/>
      <c r="N2306" s="1"/>
      <c r="O2306" s="1"/>
      <c r="P2306" s="1"/>
      <c r="Q2306" s="1"/>
      <c r="R2306" s="1"/>
    </row>
    <row r="2307" spans="2:18">
      <c r="C2307" s="2" t="s">
        <v>4</v>
      </c>
      <c r="D2307" s="2" t="s">
        <v>606</v>
      </c>
      <c r="E2307" s="3">
        <v>3.2</v>
      </c>
      <c r="F2307" s="3">
        <v>3.2</v>
      </c>
      <c r="G2307" s="4">
        <v>42887</v>
      </c>
      <c r="J2307" s="1">
        <v>1200</v>
      </c>
      <c r="M2307" s="1"/>
      <c r="N2307" s="1"/>
      <c r="O2307" s="1"/>
      <c r="P2307" s="1"/>
      <c r="Q2307" s="1"/>
      <c r="R2307" s="1"/>
    </row>
    <row r="2308" spans="2:18">
      <c r="C2308" s="2" t="s">
        <v>4</v>
      </c>
      <c r="D2308" s="2" t="s">
        <v>606</v>
      </c>
      <c r="E2308" s="3">
        <v>3.3</v>
      </c>
      <c r="F2308" s="3">
        <v>1</v>
      </c>
      <c r="G2308" s="4">
        <v>42678</v>
      </c>
      <c r="J2308" s="1">
        <v>1200</v>
      </c>
      <c r="M2308" s="1"/>
      <c r="N2308" s="1"/>
      <c r="O2308" s="1"/>
      <c r="P2308" s="1"/>
      <c r="Q2308" s="1"/>
      <c r="R2308" s="1"/>
    </row>
    <row r="2309" spans="2:18">
      <c r="G2309" s="4"/>
      <c r="M2309" s="1"/>
      <c r="N2309" s="1"/>
      <c r="O2309" s="1"/>
      <c r="P2309" s="1"/>
      <c r="Q2309" s="1"/>
      <c r="R2309" s="1"/>
    </row>
    <row r="2310" spans="2:18" s="12" customFormat="1">
      <c r="B2310" s="12" t="s">
        <v>109</v>
      </c>
      <c r="C2310" s="13" t="s">
        <v>969</v>
      </c>
      <c r="D2310" s="13" t="s">
        <v>968</v>
      </c>
      <c r="E2310" s="15"/>
      <c r="F2310" s="15">
        <f>SUM(F2311:F2312)</f>
        <v>24</v>
      </c>
      <c r="G2310" s="14">
        <f>G2311</f>
        <v>43783</v>
      </c>
      <c r="M2310" s="13"/>
      <c r="N2310" s="13"/>
      <c r="O2310" s="13"/>
      <c r="P2310" s="13"/>
      <c r="Q2310" s="13"/>
      <c r="R2310" s="13"/>
    </row>
    <row r="2311" spans="2:18">
      <c r="C2311" s="2" t="s">
        <v>7</v>
      </c>
      <c r="D2311" s="2" t="s">
        <v>108</v>
      </c>
      <c r="E2311" s="3">
        <v>37</v>
      </c>
      <c r="F2311" s="3">
        <v>12</v>
      </c>
      <c r="G2311" s="4">
        <v>43783</v>
      </c>
      <c r="I2311" s="1">
        <v>113</v>
      </c>
    </row>
    <row r="2312" spans="2:18">
      <c r="C2312" s="2" t="s">
        <v>5</v>
      </c>
      <c r="D2312" s="2" t="s">
        <v>57</v>
      </c>
      <c r="E2312" s="3">
        <v>29.5</v>
      </c>
      <c r="F2312" s="3">
        <v>12</v>
      </c>
      <c r="G2312" s="4">
        <v>43410</v>
      </c>
    </row>
    <row r="2313" spans="2:18">
      <c r="G2313" s="4"/>
    </row>
    <row r="2314" spans="2:18">
      <c r="B2314" s="12" t="s">
        <v>1036</v>
      </c>
      <c r="C2314" s="13" t="s">
        <v>969</v>
      </c>
      <c r="D2314" s="13" t="s">
        <v>968</v>
      </c>
      <c r="E2314" s="15"/>
      <c r="F2314" s="15">
        <f>SUM(F2315:F2322)</f>
        <v>24.3</v>
      </c>
      <c r="G2314" s="14">
        <f>G2318</f>
        <v>45090</v>
      </c>
    </row>
    <row r="2315" spans="2:18">
      <c r="B2315" s="253" t="s">
        <v>7632</v>
      </c>
      <c r="C2315" s="2" t="s">
        <v>7</v>
      </c>
      <c r="D2315" s="2" t="s">
        <v>894</v>
      </c>
      <c r="E2315" s="3">
        <v>40</v>
      </c>
      <c r="F2315" s="3">
        <v>5</v>
      </c>
      <c r="G2315" s="4">
        <v>44728</v>
      </c>
    </row>
    <row r="2316" spans="2:18">
      <c r="C2316" s="2" t="s">
        <v>5</v>
      </c>
      <c r="D2316" s="2" t="s">
        <v>894</v>
      </c>
      <c r="E2316" s="3">
        <v>18.600000000000001</v>
      </c>
      <c r="F2316" s="3">
        <f>8.6/2</f>
        <v>4.3</v>
      </c>
      <c r="G2316" s="4">
        <v>44112</v>
      </c>
    </row>
    <row r="2317" spans="2:18">
      <c r="C2317" s="2" t="s">
        <v>4</v>
      </c>
      <c r="D2317" s="2" t="s">
        <v>730</v>
      </c>
      <c r="E2317" s="3">
        <v>1.5</v>
      </c>
      <c r="F2317" s="3">
        <v>0.5</v>
      </c>
      <c r="G2317" s="4">
        <v>43979</v>
      </c>
    </row>
    <row r="2318" spans="2:18">
      <c r="C2318" s="2" t="s">
        <v>4</v>
      </c>
      <c r="D2318" s="2" t="s">
        <v>705</v>
      </c>
      <c r="E2318" s="3">
        <v>113</v>
      </c>
      <c r="F2318" s="3">
        <v>8</v>
      </c>
      <c r="G2318" s="4">
        <v>45090</v>
      </c>
    </row>
    <row r="2319" spans="2:18">
      <c r="C2319" s="2" t="s">
        <v>5</v>
      </c>
      <c r="D2319" s="2" t="s">
        <v>584</v>
      </c>
      <c r="E2319" s="3">
        <v>20</v>
      </c>
      <c r="F2319" s="3">
        <f>15/6</f>
        <v>2.5</v>
      </c>
      <c r="G2319" s="4">
        <v>44801</v>
      </c>
    </row>
    <row r="2320" spans="2:18">
      <c r="C2320" s="2" t="s">
        <v>4</v>
      </c>
      <c r="D2320" s="2" t="s">
        <v>1035</v>
      </c>
      <c r="E2320" s="3">
        <v>2</v>
      </c>
      <c r="F2320" s="3">
        <v>0.5</v>
      </c>
      <c r="G2320" s="4">
        <v>43876</v>
      </c>
    </row>
    <row r="2321" spans="2:18">
      <c r="C2321" s="2" t="s">
        <v>5</v>
      </c>
      <c r="D2321" s="2" t="s">
        <v>2129</v>
      </c>
      <c r="E2321" s="3">
        <v>20</v>
      </c>
      <c r="F2321" s="3">
        <v>3</v>
      </c>
      <c r="G2321" s="4">
        <v>43647</v>
      </c>
    </row>
    <row r="2322" spans="2:18">
      <c r="C2322" s="2" t="s">
        <v>4</v>
      </c>
      <c r="D2322" s="2" t="s">
        <v>2129</v>
      </c>
      <c r="E2322" s="3">
        <v>3</v>
      </c>
      <c r="F2322" s="3">
        <v>0.5</v>
      </c>
      <c r="G2322" s="4">
        <v>42979</v>
      </c>
    </row>
    <row r="2323" spans="2:18">
      <c r="G2323" s="4"/>
    </row>
    <row r="2324" spans="2:18" s="12" customFormat="1">
      <c r="B2324" s="12" t="s">
        <v>653</v>
      </c>
      <c r="C2324" s="13" t="s">
        <v>969</v>
      </c>
      <c r="D2324" s="13" t="s">
        <v>968</v>
      </c>
      <c r="E2324" s="15"/>
      <c r="F2324" s="15">
        <f>SUM(F2325:F2329)</f>
        <v>24.3</v>
      </c>
      <c r="G2324" s="14">
        <f>G2325</f>
        <v>44971</v>
      </c>
    </row>
    <row r="2325" spans="2:18">
      <c r="B2325" s="254" t="s">
        <v>7631</v>
      </c>
      <c r="C2325" s="2" t="s">
        <v>4</v>
      </c>
      <c r="D2325" s="2" t="s">
        <v>652</v>
      </c>
      <c r="E2325" s="3">
        <v>12</v>
      </c>
      <c r="F2325" s="3">
        <v>2</v>
      </c>
      <c r="G2325" s="4">
        <v>44971</v>
      </c>
      <c r="M2325" s="1"/>
      <c r="N2325" s="1"/>
      <c r="O2325" s="1"/>
      <c r="P2325" s="1"/>
      <c r="Q2325" s="1"/>
      <c r="R2325" s="1"/>
    </row>
    <row r="2326" spans="2:18">
      <c r="C2326" s="2" t="s">
        <v>4</v>
      </c>
      <c r="D2326" s="2" t="s">
        <v>652</v>
      </c>
      <c r="E2326" s="3">
        <v>5</v>
      </c>
      <c r="F2326" s="3">
        <v>2</v>
      </c>
      <c r="G2326" s="4">
        <v>44769</v>
      </c>
      <c r="M2326" s="1"/>
      <c r="N2326" s="1"/>
      <c r="O2326" s="1"/>
      <c r="P2326" s="1"/>
      <c r="Q2326" s="1"/>
      <c r="R2326" s="1"/>
    </row>
    <row r="2327" spans="2:18">
      <c r="C2327" s="2" t="s">
        <v>4</v>
      </c>
      <c r="D2327" s="2" t="s">
        <v>651</v>
      </c>
      <c r="E2327" s="3">
        <v>12.3</v>
      </c>
      <c r="F2327" s="3">
        <v>6.3</v>
      </c>
      <c r="G2327" s="4">
        <v>44622</v>
      </c>
      <c r="M2327" s="1"/>
      <c r="N2327" s="1"/>
      <c r="O2327" s="1"/>
      <c r="P2327" s="1"/>
      <c r="Q2327" s="1"/>
      <c r="R2327" s="1"/>
    </row>
    <row r="2328" spans="2:18">
      <c r="C2328" s="2" t="s">
        <v>7</v>
      </c>
      <c r="D2328" s="2" t="s">
        <v>286</v>
      </c>
      <c r="E2328" s="3">
        <v>35</v>
      </c>
      <c r="F2328" s="3">
        <v>10</v>
      </c>
      <c r="G2328" s="4">
        <v>44309</v>
      </c>
      <c r="M2328" s="1"/>
      <c r="N2328" s="1"/>
      <c r="O2328" s="1"/>
      <c r="P2328" s="1"/>
      <c r="Q2328" s="1"/>
      <c r="R2328" s="1"/>
    </row>
    <row r="2329" spans="2:18">
      <c r="C2329" s="241" t="s">
        <v>4</v>
      </c>
      <c r="D2329" s="241" t="s">
        <v>2014</v>
      </c>
      <c r="E2329" s="3">
        <v>12</v>
      </c>
      <c r="F2329" s="3">
        <v>4</v>
      </c>
      <c r="G2329" s="4">
        <v>43872</v>
      </c>
      <c r="M2329" s="1"/>
      <c r="N2329" s="1"/>
      <c r="O2329" s="1"/>
      <c r="P2329" s="1"/>
      <c r="Q2329" s="1"/>
      <c r="R2329" s="1"/>
    </row>
    <row r="2330" spans="2:18">
      <c r="G2330" s="4"/>
      <c r="M2330" s="1"/>
      <c r="N2330" s="1"/>
      <c r="O2330" s="1"/>
      <c r="P2330" s="1"/>
      <c r="Q2330" s="1"/>
      <c r="R2330" s="1"/>
    </row>
    <row r="2331" spans="2:18">
      <c r="B2331" s="12" t="s">
        <v>1044</v>
      </c>
      <c r="C2331" s="13" t="s">
        <v>969</v>
      </c>
      <c r="D2331" s="13" t="s">
        <v>968</v>
      </c>
      <c r="F2331" s="15">
        <f>+F2332+F2333</f>
        <v>23.333333333333336</v>
      </c>
      <c r="G2331" s="14">
        <f>+G2332</f>
        <v>44699</v>
      </c>
      <c r="I2331" s="1" t="s">
        <v>1</v>
      </c>
      <c r="J2331" s="1" t="s">
        <v>1</v>
      </c>
      <c r="K2331" s="1" t="s">
        <v>1</v>
      </c>
    </row>
    <row r="2332" spans="2:18">
      <c r="C2332" s="2" t="s">
        <v>18</v>
      </c>
      <c r="D2332" s="2" t="s">
        <v>1043</v>
      </c>
      <c r="E2332" s="3">
        <v>100</v>
      </c>
      <c r="F2332" s="3">
        <v>15</v>
      </c>
      <c r="G2332" s="4">
        <v>44699</v>
      </c>
    </row>
    <row r="2333" spans="2:18">
      <c r="C2333" s="2" t="s">
        <v>7</v>
      </c>
      <c r="D2333" s="2" t="s">
        <v>1043</v>
      </c>
      <c r="E2333" s="3">
        <v>100</v>
      </c>
      <c r="F2333" s="3">
        <f>25/3</f>
        <v>8.3333333333333339</v>
      </c>
      <c r="G2333" s="4">
        <v>44286</v>
      </c>
    </row>
    <row r="2334" spans="2:18">
      <c r="G2334" s="4"/>
    </row>
    <row r="2335" spans="2:18">
      <c r="B2335" s="12" t="s">
        <v>1042</v>
      </c>
      <c r="C2335" s="13" t="s">
        <v>969</v>
      </c>
      <c r="D2335" s="13" t="s">
        <v>968</v>
      </c>
      <c r="F2335" s="15">
        <f>SUM(F2336:F2344)</f>
        <v>24.366666666666667</v>
      </c>
      <c r="G2335" s="14">
        <f>G2336</f>
        <v>44690</v>
      </c>
    </row>
    <row r="2336" spans="2:18">
      <c r="C2336" s="2" t="s">
        <v>18</v>
      </c>
      <c r="D2336" s="2" t="s">
        <v>926</v>
      </c>
      <c r="E2336" s="3">
        <v>100</v>
      </c>
      <c r="F2336" s="3">
        <v>9</v>
      </c>
      <c r="G2336" s="4">
        <v>44690</v>
      </c>
      <c r="J2336" s="1">
        <v>4300</v>
      </c>
    </row>
    <row r="2337" spans="2:18">
      <c r="C2337" s="2" t="s">
        <v>7</v>
      </c>
      <c r="D2337" s="2" t="s">
        <v>926</v>
      </c>
      <c r="E2337" s="3">
        <v>40</v>
      </c>
      <c r="F2337" s="3">
        <f>20/3</f>
        <v>6.666666666666667</v>
      </c>
      <c r="G2337" s="4">
        <v>44327</v>
      </c>
      <c r="J2337" s="1">
        <v>4300</v>
      </c>
    </row>
    <row r="2338" spans="2:18">
      <c r="C2338" s="2" t="s">
        <v>5</v>
      </c>
      <c r="D2338" s="2" t="s">
        <v>926</v>
      </c>
      <c r="E2338" s="3">
        <v>15</v>
      </c>
      <c r="F2338" s="3">
        <v>3</v>
      </c>
      <c r="G2338" s="4">
        <v>43816</v>
      </c>
      <c r="J2338" s="1">
        <v>4300</v>
      </c>
    </row>
    <row r="2339" spans="2:18">
      <c r="C2339" s="2" t="s">
        <v>4</v>
      </c>
      <c r="D2339" s="2" t="s">
        <v>926</v>
      </c>
      <c r="E2339" s="3">
        <v>4</v>
      </c>
      <c r="F2339" s="3">
        <v>1</v>
      </c>
      <c r="G2339" s="4">
        <v>43243</v>
      </c>
      <c r="J2339" s="1">
        <v>4300</v>
      </c>
    </row>
    <row r="2340" spans="2:18">
      <c r="C2340" s="2" t="s">
        <v>550</v>
      </c>
      <c r="D2340" s="2" t="s">
        <v>926</v>
      </c>
      <c r="E2340" s="3">
        <v>1.2</v>
      </c>
      <c r="F2340" s="3">
        <v>0.2</v>
      </c>
      <c r="G2340" s="4">
        <v>42799</v>
      </c>
      <c r="J2340" s="1">
        <v>4300</v>
      </c>
    </row>
    <row r="2341" spans="2:18">
      <c r="C2341" s="2" t="s">
        <v>5</v>
      </c>
      <c r="D2341" s="2" t="s">
        <v>646</v>
      </c>
      <c r="E2341" s="3">
        <v>13</v>
      </c>
      <c r="F2341" s="3">
        <v>2</v>
      </c>
      <c r="G2341" s="4">
        <v>44642</v>
      </c>
    </row>
    <row r="2342" spans="2:18">
      <c r="C2342" s="2" t="s">
        <v>4</v>
      </c>
      <c r="D2342" s="2" t="s">
        <v>646</v>
      </c>
      <c r="E2342" s="3">
        <v>3.5</v>
      </c>
      <c r="F2342" s="3">
        <v>1</v>
      </c>
      <c r="G2342" s="4">
        <v>44124</v>
      </c>
    </row>
    <row r="2343" spans="2:18">
      <c r="C2343" s="2" t="s">
        <v>4</v>
      </c>
      <c r="D2343" s="2" t="s">
        <v>481</v>
      </c>
      <c r="E2343" s="3">
        <v>2</v>
      </c>
      <c r="F2343" s="3">
        <v>0.5</v>
      </c>
      <c r="G2343" s="4">
        <v>43876</v>
      </c>
    </row>
    <row r="2344" spans="2:18">
      <c r="C2344" s="241" t="s">
        <v>4</v>
      </c>
      <c r="D2344" s="241" t="s">
        <v>2004</v>
      </c>
      <c r="E2344" s="3">
        <v>7</v>
      </c>
      <c r="F2344" s="3">
        <v>1</v>
      </c>
      <c r="G2344" s="4">
        <v>44763</v>
      </c>
    </row>
    <row r="2345" spans="2:18">
      <c r="G2345" s="4"/>
    </row>
    <row r="2346" spans="2:18">
      <c r="B2346" s="12" t="s">
        <v>1041</v>
      </c>
      <c r="C2346" s="13" t="s">
        <v>969</v>
      </c>
      <c r="D2346" s="13" t="s">
        <v>968</v>
      </c>
      <c r="E2346" s="15"/>
      <c r="F2346" s="15">
        <f>SUM(F2347:F2348)</f>
        <v>23</v>
      </c>
      <c r="G2346" s="14">
        <f>G2347</f>
        <v>44796</v>
      </c>
    </row>
    <row r="2347" spans="2:18">
      <c r="C2347" s="2" t="s">
        <v>1040</v>
      </c>
      <c r="D2347" s="2" t="s">
        <v>832</v>
      </c>
      <c r="E2347" s="3">
        <v>99</v>
      </c>
      <c r="F2347" s="3">
        <v>20</v>
      </c>
      <c r="G2347" s="4">
        <v>44796</v>
      </c>
    </row>
    <row r="2348" spans="2:18">
      <c r="C2348" s="2" t="s">
        <v>5</v>
      </c>
      <c r="D2348" s="2" t="s">
        <v>689</v>
      </c>
      <c r="E2348" s="3">
        <v>29</v>
      </c>
      <c r="F2348" s="3">
        <v>3</v>
      </c>
      <c r="G2348" s="4">
        <v>44783</v>
      </c>
    </row>
    <row r="2349" spans="2:18">
      <c r="G2349" s="4"/>
    </row>
    <row r="2350" spans="2:18" s="12" customFormat="1">
      <c r="B2350" s="12" t="s">
        <v>1033</v>
      </c>
      <c r="C2350" s="13" t="s">
        <v>969</v>
      </c>
      <c r="D2350" s="13" t="s">
        <v>968</v>
      </c>
      <c r="E2350" s="15"/>
      <c r="F2350" s="15">
        <f>SUM(F2351:F2354)</f>
        <v>22.933333333333334</v>
      </c>
      <c r="G2350" s="14">
        <f>G2352</f>
        <v>44851</v>
      </c>
      <c r="M2350" s="13"/>
      <c r="N2350" s="13"/>
      <c r="O2350" s="13"/>
      <c r="P2350" s="13"/>
      <c r="Q2350" s="13"/>
      <c r="R2350" s="13"/>
    </row>
    <row r="2351" spans="2:18">
      <c r="C2351" s="2" t="s">
        <v>5</v>
      </c>
      <c r="D2351" s="2" t="s">
        <v>999</v>
      </c>
      <c r="E2351" s="3">
        <v>25</v>
      </c>
      <c r="F2351" s="3">
        <v>5</v>
      </c>
      <c r="G2351" s="4">
        <v>44699</v>
      </c>
    </row>
    <row r="2352" spans="2:18">
      <c r="C2352" s="2" t="s">
        <v>5</v>
      </c>
      <c r="D2352" s="2" t="s">
        <v>281</v>
      </c>
      <c r="E2352" s="3">
        <v>32</v>
      </c>
      <c r="F2352" s="3">
        <v>11</v>
      </c>
      <c r="G2352" s="4">
        <v>44851</v>
      </c>
    </row>
    <row r="2353" spans="2:18">
      <c r="C2353" s="2" t="s">
        <v>5</v>
      </c>
      <c r="D2353" s="2" t="s">
        <v>281</v>
      </c>
      <c r="E2353" s="3">
        <v>26</v>
      </c>
      <c r="F2353" s="3">
        <v>4.333333333333333</v>
      </c>
      <c r="G2353" s="4">
        <v>44453</v>
      </c>
    </row>
    <row r="2354" spans="2:18">
      <c r="C2354" s="2" t="s">
        <v>4</v>
      </c>
      <c r="D2354" s="2" t="s">
        <v>281</v>
      </c>
      <c r="E2354" s="3">
        <v>6.2</v>
      </c>
      <c r="F2354" s="3">
        <v>2.6</v>
      </c>
      <c r="G2354" s="4">
        <v>44201</v>
      </c>
    </row>
    <row r="2355" spans="2:18">
      <c r="G2355" s="4"/>
    </row>
    <row r="2356" spans="2:18" s="12" customFormat="1">
      <c r="B2356" s="12" t="s">
        <v>380</v>
      </c>
      <c r="C2356" s="13" t="s">
        <v>969</v>
      </c>
      <c r="D2356" s="13" t="s">
        <v>968</v>
      </c>
      <c r="E2356" s="15"/>
      <c r="F2356" s="15">
        <f>SUM(F2357:F2360)</f>
        <v>22.785714285714285</v>
      </c>
      <c r="G2356" s="14">
        <f>G2357</f>
        <v>44323</v>
      </c>
    </row>
    <row r="2357" spans="2:18">
      <c r="C2357" s="2" t="s">
        <v>18</v>
      </c>
      <c r="D2357" s="2" t="s">
        <v>374</v>
      </c>
      <c r="E2357" s="3">
        <v>130</v>
      </c>
      <c r="F2357" s="3">
        <f>100/7</f>
        <v>14.285714285714286</v>
      </c>
      <c r="G2357" s="4">
        <v>44323</v>
      </c>
      <c r="M2357" s="1"/>
      <c r="N2357" s="1"/>
      <c r="O2357" s="1"/>
      <c r="P2357" s="1"/>
      <c r="Q2357" s="1"/>
      <c r="R2357" s="1"/>
    </row>
    <row r="2358" spans="2:18">
      <c r="C2358" s="2" t="s">
        <v>7</v>
      </c>
      <c r="D2358" s="2" t="s">
        <v>374</v>
      </c>
      <c r="E2358" s="3">
        <v>44</v>
      </c>
      <c r="F2358" s="3">
        <f>30/6</f>
        <v>5</v>
      </c>
      <c r="G2358" s="4">
        <v>43909</v>
      </c>
      <c r="M2358" s="1"/>
      <c r="N2358" s="1"/>
      <c r="O2358" s="1"/>
      <c r="P2358" s="1"/>
      <c r="Q2358" s="1"/>
      <c r="R2358" s="1"/>
    </row>
    <row r="2359" spans="2:18">
      <c r="C2359" s="2" t="s">
        <v>5</v>
      </c>
      <c r="D2359" s="2" t="s">
        <v>374</v>
      </c>
      <c r="E2359" s="3">
        <v>15</v>
      </c>
      <c r="F2359" s="3">
        <v>3</v>
      </c>
      <c r="G2359" s="4">
        <v>43452</v>
      </c>
      <c r="M2359" s="1"/>
      <c r="N2359" s="1"/>
      <c r="O2359" s="1"/>
      <c r="P2359" s="1"/>
      <c r="Q2359" s="1"/>
      <c r="R2359" s="1"/>
    </row>
    <row r="2360" spans="2:18">
      <c r="C2360" s="2" t="s">
        <v>4</v>
      </c>
      <c r="D2360" s="2" t="s">
        <v>374</v>
      </c>
      <c r="E2360" s="3">
        <v>2.5</v>
      </c>
      <c r="F2360" s="3">
        <v>0.5</v>
      </c>
      <c r="G2360" s="4">
        <v>42936</v>
      </c>
      <c r="M2360" s="1"/>
      <c r="N2360" s="1"/>
      <c r="O2360" s="1"/>
      <c r="P2360" s="1"/>
      <c r="Q2360" s="1"/>
      <c r="R2360" s="1"/>
    </row>
    <row r="2361" spans="2:18">
      <c r="G2361" s="4"/>
      <c r="M2361" s="1"/>
      <c r="N2361" s="1"/>
      <c r="O2361" s="1"/>
      <c r="P2361" s="1"/>
      <c r="Q2361" s="1"/>
      <c r="R2361" s="1"/>
    </row>
    <row r="2362" spans="2:18" s="12" customFormat="1">
      <c r="B2362" s="12" t="s">
        <v>362</v>
      </c>
      <c r="C2362" s="13" t="s">
        <v>969</v>
      </c>
      <c r="D2362" s="13" t="s">
        <v>968</v>
      </c>
      <c r="E2362" s="15"/>
      <c r="F2362" s="15">
        <f>SUM(F2363:F2364)</f>
        <v>21.75</v>
      </c>
      <c r="G2362" s="14">
        <f>G2363</f>
        <v>44181</v>
      </c>
    </row>
    <row r="2363" spans="2:18">
      <c r="C2363" s="2" t="s">
        <v>7</v>
      </c>
      <c r="D2363" s="2" t="s">
        <v>360</v>
      </c>
      <c r="E2363" s="3">
        <v>27.5</v>
      </c>
      <c r="F2363" s="3">
        <f>E2363/2</f>
        <v>13.75</v>
      </c>
      <c r="G2363" s="4">
        <v>44181</v>
      </c>
      <c r="M2363" s="1"/>
      <c r="N2363" s="1"/>
      <c r="O2363" s="1"/>
      <c r="P2363" s="1"/>
      <c r="Q2363" s="1"/>
      <c r="R2363" s="1"/>
    </row>
    <row r="2364" spans="2:18">
      <c r="C2364" s="2" t="s">
        <v>5</v>
      </c>
      <c r="D2364" s="2" t="s">
        <v>161</v>
      </c>
      <c r="E2364" s="3">
        <v>102</v>
      </c>
      <c r="F2364" s="3">
        <v>8</v>
      </c>
      <c r="G2364" s="4">
        <v>43292</v>
      </c>
      <c r="J2364" s="1">
        <v>8400</v>
      </c>
      <c r="M2364" s="1"/>
      <c r="N2364" s="1"/>
      <c r="O2364" s="1"/>
      <c r="P2364" s="1"/>
      <c r="Q2364" s="1"/>
      <c r="R2364" s="1"/>
    </row>
    <row r="2365" spans="2:18">
      <c r="G2365" s="4"/>
      <c r="M2365" s="1"/>
      <c r="N2365" s="1"/>
      <c r="O2365" s="1"/>
      <c r="P2365" s="1"/>
      <c r="Q2365" s="1"/>
      <c r="R2365" s="1"/>
    </row>
    <row r="2366" spans="2:18" s="12" customFormat="1">
      <c r="B2366" s="12" t="s">
        <v>947</v>
      </c>
      <c r="C2366" s="13" t="s">
        <v>969</v>
      </c>
      <c r="D2366" s="13" t="s">
        <v>968</v>
      </c>
      <c r="E2366" s="15"/>
      <c r="F2366" s="15">
        <f>SUM(F2367:F2368)</f>
        <v>21.5</v>
      </c>
      <c r="G2366" s="14">
        <f>G2367</f>
        <v>44299</v>
      </c>
      <c r="M2366" s="13"/>
      <c r="N2366" s="13"/>
      <c r="O2366" s="13"/>
      <c r="P2366" s="13"/>
      <c r="Q2366" s="13"/>
      <c r="R2366" s="13"/>
    </row>
    <row r="2367" spans="2:18">
      <c r="C2367" s="2" t="s">
        <v>9</v>
      </c>
      <c r="D2367" s="2" t="s">
        <v>803</v>
      </c>
      <c r="E2367" s="3">
        <v>325</v>
      </c>
      <c r="F2367" s="3">
        <v>18.5</v>
      </c>
      <c r="G2367" s="4">
        <v>44299</v>
      </c>
    </row>
    <row r="2368" spans="2:18">
      <c r="C2368" s="52" t="s">
        <v>7</v>
      </c>
      <c r="D2368" s="52" t="s">
        <v>2116</v>
      </c>
      <c r="E2368" s="3">
        <v>40</v>
      </c>
      <c r="F2368" s="3">
        <v>3</v>
      </c>
      <c r="G2368" s="4">
        <v>43720</v>
      </c>
      <c r="J2368" s="1">
        <v>3400</v>
      </c>
    </row>
    <row r="2369" spans="2:18">
      <c r="G2369" s="4"/>
    </row>
    <row r="2370" spans="2:18" s="12" customFormat="1">
      <c r="B2370" s="12" t="s">
        <v>378</v>
      </c>
      <c r="C2370" s="13" t="s">
        <v>969</v>
      </c>
      <c r="D2370" s="13" t="s">
        <v>968</v>
      </c>
      <c r="E2370" s="15"/>
      <c r="F2370" s="15">
        <f>SUM(F2371:F2373)</f>
        <v>22.285714285714285</v>
      </c>
      <c r="G2370" s="14">
        <f>G2371</f>
        <v>44323</v>
      </c>
    </row>
    <row r="2371" spans="2:18">
      <c r="C2371" s="2" t="s">
        <v>18</v>
      </c>
      <c r="D2371" s="2" t="s">
        <v>374</v>
      </c>
      <c r="E2371" s="3">
        <v>130</v>
      </c>
      <c r="F2371" s="3">
        <f>100/7</f>
        <v>14.285714285714286</v>
      </c>
      <c r="G2371" s="4">
        <v>44323</v>
      </c>
      <c r="M2371" s="1"/>
      <c r="N2371" s="1"/>
      <c r="O2371" s="1"/>
      <c r="P2371" s="1"/>
      <c r="Q2371" s="1"/>
      <c r="R2371" s="1"/>
    </row>
    <row r="2372" spans="2:18">
      <c r="C2372" s="2" t="s">
        <v>7</v>
      </c>
      <c r="D2372" s="2" t="s">
        <v>374</v>
      </c>
      <c r="E2372" s="3">
        <v>44</v>
      </c>
      <c r="F2372" s="3">
        <f>30/6</f>
        <v>5</v>
      </c>
      <c r="G2372" s="4">
        <v>43909</v>
      </c>
      <c r="M2372" s="1"/>
      <c r="N2372" s="1"/>
      <c r="O2372" s="1"/>
      <c r="P2372" s="1"/>
      <c r="Q2372" s="1"/>
      <c r="R2372" s="1"/>
    </row>
    <row r="2373" spans="2:18">
      <c r="C2373" s="2" t="s">
        <v>5</v>
      </c>
      <c r="D2373" s="2" t="s">
        <v>374</v>
      </c>
      <c r="E2373" s="3">
        <v>15</v>
      </c>
      <c r="F2373" s="3">
        <v>3</v>
      </c>
      <c r="G2373" s="4">
        <v>43452</v>
      </c>
      <c r="M2373" s="1"/>
      <c r="N2373" s="1"/>
      <c r="O2373" s="1"/>
      <c r="P2373" s="1"/>
      <c r="Q2373" s="1"/>
      <c r="R2373" s="1"/>
    </row>
    <row r="2374" spans="2:18">
      <c r="G2374" s="4"/>
      <c r="M2374" s="1"/>
      <c r="N2374" s="1"/>
      <c r="O2374" s="1"/>
      <c r="P2374" s="1"/>
      <c r="Q2374" s="1"/>
      <c r="R2374" s="1"/>
    </row>
    <row r="2375" spans="2:18" s="12" customFormat="1">
      <c r="B2375" s="12" t="s">
        <v>133</v>
      </c>
      <c r="C2375" s="13" t="s">
        <v>969</v>
      </c>
      <c r="D2375" s="13" t="s">
        <v>968</v>
      </c>
      <c r="E2375" s="15"/>
      <c r="F2375" s="15">
        <f>SUM(F2376:F2378)</f>
        <v>21.3</v>
      </c>
      <c r="G2375" s="14">
        <f>G2377</f>
        <v>44320</v>
      </c>
      <c r="M2375" s="13"/>
      <c r="N2375" s="13"/>
      <c r="O2375" s="13"/>
      <c r="P2375" s="13"/>
      <c r="Q2375" s="13"/>
      <c r="R2375" s="13"/>
    </row>
    <row r="2376" spans="2:18">
      <c r="C2376" s="2" t="s">
        <v>18</v>
      </c>
      <c r="D2376" s="2" t="s">
        <v>131</v>
      </c>
      <c r="E2376" s="3">
        <v>31.7</v>
      </c>
      <c r="F2376" s="3">
        <f>18/4</f>
        <v>4.5</v>
      </c>
      <c r="G2376" s="4">
        <v>43599</v>
      </c>
    </row>
    <row r="2377" spans="2:18">
      <c r="C2377" s="52" t="s">
        <v>8</v>
      </c>
      <c r="D2377" s="52" t="s">
        <v>4882</v>
      </c>
      <c r="E2377" s="3">
        <v>83</v>
      </c>
      <c r="F2377" s="3">
        <v>6.8</v>
      </c>
      <c r="G2377" s="4">
        <v>44320</v>
      </c>
      <c r="I2377" s="1">
        <v>3600</v>
      </c>
      <c r="J2377" s="1">
        <v>3600</v>
      </c>
    </row>
    <row r="2378" spans="2:18">
      <c r="C2378" s="52" t="s">
        <v>18</v>
      </c>
      <c r="D2378" s="52" t="s">
        <v>4882</v>
      </c>
      <c r="E2378" s="3">
        <v>100</v>
      </c>
      <c r="F2378" s="3">
        <v>10</v>
      </c>
      <c r="G2378" s="4">
        <v>43937</v>
      </c>
      <c r="I2378" s="1">
        <v>1100</v>
      </c>
      <c r="J2378" s="1">
        <v>3600</v>
      </c>
    </row>
    <row r="2379" spans="2:18">
      <c r="G2379" s="4"/>
    </row>
    <row r="2380" spans="2:18" s="12" customFormat="1">
      <c r="B2380" s="36" t="s">
        <v>402</v>
      </c>
      <c r="C2380" s="13" t="s">
        <v>969</v>
      </c>
      <c r="D2380" s="13" t="s">
        <v>968</v>
      </c>
      <c r="E2380" s="15"/>
      <c r="F2380" s="15">
        <f>SUM(F2381:F2383)</f>
        <v>20.666666666666668</v>
      </c>
      <c r="G2380" s="14">
        <f>G2381</f>
        <v>44860</v>
      </c>
      <c r="I2380" s="46"/>
    </row>
    <row r="2381" spans="2:18">
      <c r="B2381" s="7"/>
      <c r="C2381" s="2" t="s">
        <v>7</v>
      </c>
      <c r="D2381" s="2" t="s">
        <v>398</v>
      </c>
      <c r="E2381" s="3">
        <v>37</v>
      </c>
      <c r="F2381" s="3">
        <v>4</v>
      </c>
      <c r="G2381" s="4">
        <v>44860</v>
      </c>
      <c r="M2381" s="1"/>
      <c r="N2381" s="1"/>
      <c r="O2381" s="1"/>
      <c r="P2381" s="1"/>
      <c r="Q2381" s="1"/>
      <c r="R2381" s="1"/>
    </row>
    <row r="2382" spans="2:18">
      <c r="B2382" s="7"/>
      <c r="C2382" s="2" t="s">
        <v>7</v>
      </c>
      <c r="D2382" s="2" t="s">
        <v>398</v>
      </c>
      <c r="E2382" s="3">
        <v>80</v>
      </c>
      <c r="F2382" s="3">
        <v>10</v>
      </c>
      <c r="G2382" s="4">
        <v>44327</v>
      </c>
      <c r="M2382" s="1"/>
      <c r="N2382" s="1"/>
      <c r="O2382" s="1"/>
      <c r="P2382" s="1"/>
      <c r="Q2382" s="1"/>
      <c r="R2382" s="1"/>
    </row>
    <row r="2383" spans="2:18">
      <c r="B2383" s="7"/>
      <c r="C2383" s="2" t="s">
        <v>5</v>
      </c>
      <c r="D2383" s="2" t="s">
        <v>398</v>
      </c>
      <c r="E2383" s="3">
        <v>30</v>
      </c>
      <c r="F2383" s="3">
        <v>6.666666666666667</v>
      </c>
      <c r="G2383" s="4">
        <v>43963</v>
      </c>
      <c r="M2383" s="1"/>
      <c r="N2383" s="1"/>
      <c r="O2383" s="1"/>
      <c r="P2383" s="1"/>
      <c r="Q2383" s="1"/>
      <c r="R2383" s="1"/>
    </row>
    <row r="2384" spans="2:18">
      <c r="B2384" s="7"/>
      <c r="G2384" s="4"/>
      <c r="M2384" s="1"/>
      <c r="N2384" s="1"/>
      <c r="O2384" s="1"/>
      <c r="P2384" s="1"/>
      <c r="Q2384" s="1"/>
      <c r="R2384" s="1"/>
    </row>
    <row r="2385" spans="2:18" s="12" customFormat="1">
      <c r="B2385" s="12" t="s">
        <v>1034</v>
      </c>
      <c r="C2385" s="13" t="s">
        <v>969</v>
      </c>
      <c r="D2385" s="13" t="s">
        <v>968</v>
      </c>
      <c r="E2385" s="15"/>
      <c r="F2385" s="15">
        <f>SUM(F2386:F2388)</f>
        <v>21.2</v>
      </c>
      <c r="G2385" s="14">
        <f>G2388</f>
        <v>44880</v>
      </c>
    </row>
    <row r="2386" spans="2:18">
      <c r="C2386" s="2" t="s">
        <v>9</v>
      </c>
      <c r="D2386" s="2" t="s">
        <v>606</v>
      </c>
      <c r="E2386" s="3">
        <v>132</v>
      </c>
      <c r="F2386" s="3">
        <f>72/10</f>
        <v>7.2</v>
      </c>
      <c r="G2386" s="4">
        <v>44215</v>
      </c>
      <c r="M2386" s="1"/>
      <c r="N2386" s="1"/>
      <c r="O2386" s="1"/>
      <c r="P2386" s="1"/>
      <c r="Q2386" s="1"/>
      <c r="R2386" s="1"/>
    </row>
    <row r="2387" spans="2:18">
      <c r="C2387" s="2" t="s">
        <v>8</v>
      </c>
      <c r="D2387" s="2" t="s">
        <v>606</v>
      </c>
      <c r="E2387" s="3">
        <v>42</v>
      </c>
      <c r="F2387" s="3">
        <f>30/5</f>
        <v>6</v>
      </c>
      <c r="G2387" s="4">
        <v>44153</v>
      </c>
      <c r="M2387" s="1"/>
      <c r="N2387" s="1"/>
      <c r="O2387" s="1"/>
      <c r="P2387" s="1"/>
      <c r="Q2387" s="1"/>
      <c r="R2387" s="1"/>
    </row>
    <row r="2388" spans="2:18">
      <c r="C2388" s="2" t="s">
        <v>8</v>
      </c>
      <c r="D2388" s="2" t="s">
        <v>131</v>
      </c>
      <c r="E2388" s="3">
        <v>135</v>
      </c>
      <c r="F2388" s="3">
        <v>8</v>
      </c>
      <c r="G2388" s="4">
        <v>44880</v>
      </c>
      <c r="I2388" s="1">
        <v>615</v>
      </c>
      <c r="M2388" s="1"/>
      <c r="N2388" s="1"/>
      <c r="O2388" s="1"/>
      <c r="P2388" s="1"/>
      <c r="Q2388" s="1"/>
      <c r="R2388" s="1"/>
    </row>
    <row r="2389" spans="2:18">
      <c r="G2389" s="4"/>
      <c r="M2389" s="1"/>
      <c r="N2389" s="1"/>
      <c r="O2389" s="1"/>
      <c r="P2389" s="1"/>
      <c r="Q2389" s="1"/>
      <c r="R2389" s="1"/>
    </row>
    <row r="2390" spans="2:18" s="12" customFormat="1">
      <c r="B2390" s="12" t="s">
        <v>12</v>
      </c>
      <c r="C2390" s="13" t="s">
        <v>969</v>
      </c>
      <c r="D2390" s="13" t="s">
        <v>968</v>
      </c>
      <c r="E2390" s="15"/>
      <c r="F2390" s="15">
        <f>SUM(F2391:F2397)</f>
        <v>21.166666666666668</v>
      </c>
      <c r="G2390" s="14">
        <f>G2391</f>
        <v>44721</v>
      </c>
      <c r="M2390" s="13"/>
      <c r="N2390" s="13"/>
      <c r="O2390" s="13"/>
      <c r="P2390" s="13"/>
      <c r="Q2390" s="13"/>
      <c r="R2390" s="13"/>
    </row>
    <row r="2391" spans="2:18">
      <c r="C2391" s="2" t="s">
        <v>9</v>
      </c>
      <c r="D2391" s="2" t="s">
        <v>3</v>
      </c>
      <c r="E2391" s="3">
        <v>90</v>
      </c>
      <c r="F2391" s="3">
        <v>10</v>
      </c>
      <c r="G2391" s="4">
        <v>44721</v>
      </c>
      <c r="I2391" s="1">
        <v>2200</v>
      </c>
      <c r="J2391" s="1">
        <v>2200</v>
      </c>
    </row>
    <row r="2392" spans="2:18">
      <c r="C2392" s="2" t="s">
        <v>7</v>
      </c>
      <c r="D2392" s="2" t="s">
        <v>3</v>
      </c>
      <c r="E2392" s="3">
        <v>25</v>
      </c>
      <c r="F2392" s="3">
        <v>3.75</v>
      </c>
      <c r="G2392" s="4">
        <v>43697</v>
      </c>
      <c r="J2392" s="1">
        <v>2200</v>
      </c>
    </row>
    <row r="2393" spans="2:18">
      <c r="C2393" s="2" t="s">
        <v>5</v>
      </c>
      <c r="D2393" s="2" t="s">
        <v>3</v>
      </c>
      <c r="E2393" s="3">
        <v>10</v>
      </c>
      <c r="F2393" s="3">
        <v>2.5</v>
      </c>
      <c r="G2393" s="4">
        <v>43456</v>
      </c>
      <c r="J2393" s="1">
        <v>2200</v>
      </c>
    </row>
    <row r="2394" spans="2:18">
      <c r="C2394" s="2" t="s">
        <v>5</v>
      </c>
      <c r="D2394" s="2" t="s">
        <v>3</v>
      </c>
      <c r="E2394" s="3">
        <v>10.5</v>
      </c>
      <c r="F2394" s="3">
        <v>2</v>
      </c>
      <c r="G2394" s="4">
        <v>42828</v>
      </c>
      <c r="J2394" s="1">
        <v>2200</v>
      </c>
    </row>
    <row r="2395" spans="2:18">
      <c r="C2395" s="2" t="s">
        <v>4</v>
      </c>
      <c r="D2395" s="2" t="s">
        <v>3</v>
      </c>
      <c r="E2395" s="3">
        <v>2</v>
      </c>
      <c r="F2395" s="3">
        <f>+E2395/3</f>
        <v>0.66666666666666663</v>
      </c>
      <c r="G2395" s="4">
        <v>42521</v>
      </c>
      <c r="J2395" s="1">
        <v>2200</v>
      </c>
    </row>
    <row r="2396" spans="2:18">
      <c r="C2396" s="153" t="s">
        <v>5</v>
      </c>
      <c r="D2396" s="153" t="s">
        <v>2041</v>
      </c>
      <c r="E2396" s="3">
        <v>15</v>
      </c>
      <c r="F2396" s="3">
        <v>2</v>
      </c>
      <c r="G2396" s="4">
        <v>44174</v>
      </c>
    </row>
    <row r="2397" spans="2:18">
      <c r="C2397" s="241" t="s">
        <v>278</v>
      </c>
      <c r="D2397" s="241" t="s">
        <v>2004</v>
      </c>
      <c r="E2397" s="3">
        <v>2</v>
      </c>
      <c r="F2397" s="3">
        <f>1/4</f>
        <v>0.25</v>
      </c>
      <c r="G2397" s="4">
        <v>44181</v>
      </c>
    </row>
    <row r="2398" spans="2:18">
      <c r="G2398" s="4"/>
    </row>
    <row r="2399" spans="2:18" s="12" customFormat="1">
      <c r="B2399" s="12" t="s">
        <v>655</v>
      </c>
      <c r="C2399" s="13" t="s">
        <v>969</v>
      </c>
      <c r="D2399" s="13" t="s">
        <v>968</v>
      </c>
      <c r="E2399" s="15"/>
      <c r="F2399" s="15">
        <f>SUM(F2400:F2403)</f>
        <v>21</v>
      </c>
      <c r="G2399" s="14">
        <f>G2400</f>
        <v>44601</v>
      </c>
      <c r="I2399" s="12" t="s">
        <v>6710</v>
      </c>
      <c r="M2399" s="13"/>
      <c r="N2399" s="13"/>
      <c r="O2399" s="13"/>
      <c r="P2399" s="13"/>
      <c r="Q2399" s="13"/>
      <c r="R2399" s="13"/>
    </row>
    <row r="2400" spans="2:18">
      <c r="C2400" s="2" t="s">
        <v>4</v>
      </c>
      <c r="D2400" s="2" t="s">
        <v>654</v>
      </c>
      <c r="E2400" s="3">
        <v>12.8</v>
      </c>
      <c r="F2400" s="3">
        <v>2</v>
      </c>
      <c r="G2400" s="4">
        <v>44601</v>
      </c>
      <c r="M2400" s="1"/>
      <c r="N2400" s="1"/>
      <c r="O2400" s="1"/>
      <c r="P2400" s="1"/>
      <c r="Q2400" s="1"/>
      <c r="R2400" s="1"/>
    </row>
    <row r="2401" spans="2:18">
      <c r="C2401" s="2" t="s">
        <v>8</v>
      </c>
      <c r="D2401" s="2" t="s">
        <v>489</v>
      </c>
      <c r="E2401" s="3">
        <v>100</v>
      </c>
      <c r="F2401" s="3">
        <v>15</v>
      </c>
      <c r="G2401" s="4">
        <v>43397</v>
      </c>
      <c r="M2401" s="1"/>
      <c r="N2401" s="1"/>
      <c r="O2401" s="1"/>
      <c r="P2401" s="1"/>
      <c r="Q2401" s="1"/>
      <c r="R2401" s="1"/>
    </row>
    <row r="2402" spans="2:18">
      <c r="C2402" s="177" t="s">
        <v>5</v>
      </c>
      <c r="D2402" s="177" t="s">
        <v>2027</v>
      </c>
      <c r="E2402" s="3">
        <v>21</v>
      </c>
      <c r="F2402" s="3">
        <v>3</v>
      </c>
      <c r="G2402" s="4">
        <v>44334</v>
      </c>
      <c r="M2402" s="1"/>
      <c r="N2402" s="1"/>
      <c r="O2402" s="1"/>
      <c r="P2402" s="1"/>
      <c r="Q2402" s="1"/>
      <c r="R2402" s="1"/>
    </row>
    <row r="2403" spans="2:18">
      <c r="C2403" s="177" t="s">
        <v>4</v>
      </c>
      <c r="D2403" s="177" t="s">
        <v>2027</v>
      </c>
      <c r="E2403" s="3">
        <v>5</v>
      </c>
      <c r="F2403" s="3">
        <v>1</v>
      </c>
      <c r="G2403" s="4">
        <v>44105</v>
      </c>
      <c r="M2403" s="1"/>
      <c r="N2403" s="1"/>
      <c r="O2403" s="1"/>
      <c r="P2403" s="1"/>
      <c r="Q2403" s="1"/>
      <c r="R2403" s="1"/>
    </row>
    <row r="2404" spans="2:18">
      <c r="G2404" s="4"/>
      <c r="M2404" s="1"/>
      <c r="N2404" s="1"/>
      <c r="O2404" s="1"/>
      <c r="P2404" s="1"/>
      <c r="Q2404" s="1"/>
      <c r="R2404" s="1"/>
    </row>
    <row r="2405" spans="2:18" s="12" customFormat="1">
      <c r="B2405" s="12" t="s">
        <v>397</v>
      </c>
      <c r="C2405" s="13" t="s">
        <v>969</v>
      </c>
      <c r="D2405" s="13" t="s">
        <v>968</v>
      </c>
      <c r="E2405" s="15"/>
      <c r="F2405" s="15">
        <f>SUM(F2406:F2407)</f>
        <v>20</v>
      </c>
      <c r="G2405" s="14">
        <f>G2406</f>
        <v>44286</v>
      </c>
    </row>
    <row r="2406" spans="2:18">
      <c r="C2406" s="2" t="s">
        <v>8</v>
      </c>
      <c r="D2406" s="2" t="s">
        <v>386</v>
      </c>
      <c r="E2406" s="3">
        <v>140</v>
      </c>
      <c r="F2406" s="3">
        <v>10</v>
      </c>
      <c r="G2406" s="4">
        <v>44286</v>
      </c>
      <c r="M2406" s="1"/>
      <c r="N2406" s="1"/>
      <c r="O2406" s="1"/>
      <c r="P2406" s="1"/>
      <c r="Q2406" s="1"/>
      <c r="R2406" s="1"/>
    </row>
    <row r="2407" spans="2:18">
      <c r="C2407" s="2" t="s">
        <v>18</v>
      </c>
      <c r="D2407" s="2" t="s">
        <v>386</v>
      </c>
      <c r="E2407" s="3">
        <v>110</v>
      </c>
      <c r="F2407" s="3">
        <v>10</v>
      </c>
      <c r="G2407" s="4">
        <v>43690</v>
      </c>
      <c r="M2407" s="1"/>
      <c r="N2407" s="1"/>
      <c r="O2407" s="1"/>
      <c r="P2407" s="1"/>
      <c r="Q2407" s="1"/>
      <c r="R2407" s="1"/>
    </row>
    <row r="2408" spans="2:18">
      <c r="G2408" s="4"/>
      <c r="M2408" s="1"/>
      <c r="N2408" s="1"/>
      <c r="O2408" s="1"/>
      <c r="P2408" s="1"/>
      <c r="Q2408" s="1"/>
      <c r="R2408" s="1"/>
    </row>
    <row r="2409" spans="2:18" s="12" customFormat="1">
      <c r="B2409" s="12" t="s">
        <v>941</v>
      </c>
      <c r="C2409" s="13" t="s">
        <v>969</v>
      </c>
      <c r="D2409" s="13" t="s">
        <v>968</v>
      </c>
      <c r="E2409" s="15"/>
      <c r="F2409" s="15">
        <f>SUM(F2410:F2411)</f>
        <v>20.166666666666668</v>
      </c>
      <c r="G2409" s="14">
        <f>G2410</f>
        <v>44056</v>
      </c>
      <c r="M2409" s="13"/>
      <c r="N2409" s="13"/>
      <c r="O2409" s="13"/>
      <c r="P2409" s="13"/>
      <c r="Q2409" s="13"/>
      <c r="R2409" s="13"/>
    </row>
    <row r="2410" spans="2:18">
      <c r="C2410" s="2" t="s">
        <v>7</v>
      </c>
      <c r="D2410" s="2" t="s">
        <v>430</v>
      </c>
      <c r="E2410" s="3">
        <v>13</v>
      </c>
      <c r="F2410" s="3">
        <v>13</v>
      </c>
      <c r="G2410" s="4">
        <v>44056</v>
      </c>
    </row>
    <row r="2411" spans="2:18">
      <c r="C2411" s="2" t="s">
        <v>5</v>
      </c>
      <c r="D2411" s="2" t="s">
        <v>80</v>
      </c>
      <c r="E2411" s="3">
        <v>43</v>
      </c>
      <c r="F2411" s="3">
        <f>+E2411/6</f>
        <v>7.166666666666667</v>
      </c>
      <c r="G2411" s="4">
        <v>43622</v>
      </c>
    </row>
    <row r="2412" spans="2:18">
      <c r="G2412" s="4"/>
    </row>
    <row r="2413" spans="2:18" s="12" customFormat="1">
      <c r="B2413" s="12" t="s">
        <v>561</v>
      </c>
      <c r="C2413" s="13" t="s">
        <v>969</v>
      </c>
      <c r="D2413" s="13" t="s">
        <v>968</v>
      </c>
      <c r="E2413" s="15"/>
      <c r="F2413" s="15">
        <f>SUM(F2414:F2415)</f>
        <v>20</v>
      </c>
      <c r="G2413" s="14">
        <f>G2415</f>
        <v>44831</v>
      </c>
    </row>
    <row r="2414" spans="2:18">
      <c r="C2414" s="2" t="s">
        <v>5</v>
      </c>
      <c r="D2414" s="2" t="s">
        <v>559</v>
      </c>
      <c r="E2414" s="3">
        <v>20</v>
      </c>
      <c r="F2414" s="3">
        <v>10</v>
      </c>
      <c r="G2414" s="4">
        <v>44671</v>
      </c>
      <c r="M2414" s="1"/>
      <c r="N2414" s="1"/>
      <c r="O2414" s="1"/>
      <c r="P2414" s="1"/>
      <c r="Q2414" s="1"/>
      <c r="R2414" s="1"/>
    </row>
    <row r="2415" spans="2:18">
      <c r="C2415" s="153" t="s">
        <v>7</v>
      </c>
      <c r="D2415" s="153" t="s">
        <v>2041</v>
      </c>
      <c r="E2415" s="3">
        <v>42</v>
      </c>
      <c r="F2415" s="3">
        <v>10</v>
      </c>
      <c r="G2415" s="4">
        <v>44831</v>
      </c>
      <c r="M2415" s="1"/>
      <c r="N2415" s="1"/>
      <c r="O2415" s="1"/>
      <c r="P2415" s="1"/>
      <c r="Q2415" s="1"/>
      <c r="R2415" s="1"/>
    </row>
    <row r="2416" spans="2:18">
      <c r="G2416" s="4"/>
      <c r="M2416" s="1"/>
      <c r="N2416" s="1"/>
      <c r="O2416" s="1"/>
      <c r="P2416" s="1"/>
      <c r="Q2416" s="1"/>
      <c r="R2416" s="1"/>
    </row>
    <row r="2417" spans="2:18" s="12" customFormat="1">
      <c r="B2417" s="12" t="s">
        <v>4393</v>
      </c>
      <c r="C2417" s="13" t="s">
        <v>969</v>
      </c>
      <c r="D2417" s="13" t="s">
        <v>968</v>
      </c>
      <c r="E2417" s="15"/>
      <c r="F2417" s="15">
        <f>SUM(F2418:F2421)</f>
        <v>20</v>
      </c>
      <c r="G2417" s="14">
        <f>G2418</f>
        <v>44578</v>
      </c>
      <c r="M2417" s="13"/>
      <c r="N2417" s="13"/>
      <c r="O2417" s="13"/>
      <c r="P2417" s="13"/>
      <c r="Q2417" s="13"/>
      <c r="R2417" s="13"/>
    </row>
    <row r="2418" spans="2:18">
      <c r="C2418" s="2" t="s">
        <v>7</v>
      </c>
      <c r="D2418" s="2" t="s">
        <v>2129</v>
      </c>
      <c r="E2418" s="3">
        <f>176</f>
        <v>176</v>
      </c>
      <c r="F2418" s="3">
        <f>150/12</f>
        <v>12.5</v>
      </c>
      <c r="G2418" s="4">
        <v>44578</v>
      </c>
    </row>
    <row r="2419" spans="2:18">
      <c r="C2419" s="2" t="s">
        <v>5</v>
      </c>
      <c r="D2419" s="2" t="s">
        <v>2129</v>
      </c>
      <c r="E2419" s="3">
        <v>20</v>
      </c>
      <c r="F2419" s="3">
        <f>15/6</f>
        <v>2.5</v>
      </c>
      <c r="G2419" s="4">
        <v>44044</v>
      </c>
    </row>
    <row r="2420" spans="2:18">
      <c r="C2420" s="2" t="s">
        <v>5</v>
      </c>
      <c r="D2420" s="2" t="s">
        <v>2129</v>
      </c>
      <c r="E2420" s="3">
        <v>20</v>
      </c>
      <c r="F2420" s="3">
        <f>12/4</f>
        <v>3</v>
      </c>
      <c r="G2420" s="4">
        <v>43647</v>
      </c>
    </row>
    <row r="2421" spans="2:18">
      <c r="C2421" s="92" t="s">
        <v>5</v>
      </c>
      <c r="D2421" s="92" t="s">
        <v>5990</v>
      </c>
      <c r="E2421" s="3">
        <v>12</v>
      </c>
      <c r="F2421" s="3">
        <v>2</v>
      </c>
      <c r="G2421" s="4">
        <v>43941</v>
      </c>
    </row>
    <row r="2422" spans="2:18">
      <c r="G2422" s="4"/>
    </row>
    <row r="2423" spans="2:18" s="12" customFormat="1">
      <c r="B2423" s="12" t="s">
        <v>615</v>
      </c>
      <c r="C2423" s="13" t="s">
        <v>969</v>
      </c>
      <c r="D2423" s="13" t="s">
        <v>968</v>
      </c>
      <c r="E2423" s="15"/>
      <c r="F2423" s="15">
        <f>SUM(F2424:F2426)</f>
        <v>19.755555555555556</v>
      </c>
      <c r="G2423" s="14">
        <f>+G2425</f>
        <v>45124</v>
      </c>
    </row>
    <row r="2424" spans="2:18">
      <c r="C2424" s="2" t="s">
        <v>9</v>
      </c>
      <c r="D2424" s="2" t="s">
        <v>606</v>
      </c>
      <c r="E2424" s="3">
        <v>132</v>
      </c>
      <c r="F2424" s="3">
        <f>72/10</f>
        <v>7.2</v>
      </c>
      <c r="G2424" s="4">
        <v>44215</v>
      </c>
      <c r="I2424" s="1">
        <v>1400</v>
      </c>
      <c r="J2424" s="1">
        <v>1200</v>
      </c>
      <c r="M2424" s="1"/>
      <c r="N2424" s="1"/>
      <c r="O2424" s="1"/>
      <c r="P2424" s="1"/>
      <c r="Q2424" s="1"/>
      <c r="R2424" s="1"/>
    </row>
    <row r="2425" spans="2:18">
      <c r="C2425" s="265" t="s">
        <v>7934</v>
      </c>
      <c r="D2425" s="2" t="s">
        <v>606</v>
      </c>
      <c r="E2425" s="3">
        <v>59</v>
      </c>
      <c r="F2425" s="3">
        <v>6.5555555555555554</v>
      </c>
      <c r="G2425" s="4">
        <v>45124</v>
      </c>
      <c r="I2425" s="1">
        <v>1200</v>
      </c>
      <c r="J2425" s="1">
        <v>1200</v>
      </c>
      <c r="M2425" s="1"/>
      <c r="N2425" s="1"/>
      <c r="O2425" s="1"/>
      <c r="P2425" s="1"/>
      <c r="Q2425" s="1"/>
      <c r="R2425" s="1"/>
    </row>
    <row r="2426" spans="2:18">
      <c r="C2426" s="2" t="s">
        <v>8</v>
      </c>
      <c r="D2426" s="2" t="s">
        <v>606</v>
      </c>
      <c r="E2426" s="3">
        <v>42</v>
      </c>
      <c r="F2426" s="3">
        <f>30/5</f>
        <v>6</v>
      </c>
      <c r="G2426" s="4">
        <v>44153</v>
      </c>
      <c r="M2426" s="1"/>
      <c r="N2426" s="1"/>
      <c r="O2426" s="1"/>
      <c r="P2426" s="1"/>
      <c r="Q2426" s="1"/>
      <c r="R2426" s="1"/>
    </row>
    <row r="2427" spans="2:18">
      <c r="G2427" s="4"/>
      <c r="M2427" s="1"/>
      <c r="N2427" s="1"/>
      <c r="O2427" s="1"/>
      <c r="P2427" s="1"/>
      <c r="Q2427" s="1"/>
      <c r="R2427" s="1"/>
    </row>
    <row r="2428" spans="2:18" s="12" customFormat="1">
      <c r="B2428" s="12" t="s">
        <v>643</v>
      </c>
      <c r="C2428" s="13" t="s">
        <v>969</v>
      </c>
      <c r="D2428" s="13" t="s">
        <v>968</v>
      </c>
      <c r="E2428" s="15"/>
      <c r="F2428" s="15">
        <f>SUM(F2429:F2432)</f>
        <v>19.399999999999999</v>
      </c>
      <c r="G2428" s="14">
        <f>G2429</f>
        <v>44860</v>
      </c>
    </row>
    <row r="2429" spans="2:18">
      <c r="C2429" s="2" t="s">
        <v>5</v>
      </c>
      <c r="D2429" s="2" t="s">
        <v>642</v>
      </c>
      <c r="E2429" s="3">
        <v>12</v>
      </c>
      <c r="F2429" s="3">
        <f>6/3</f>
        <v>2</v>
      </c>
      <c r="G2429" s="4">
        <v>44860</v>
      </c>
      <c r="M2429" s="1"/>
      <c r="N2429" s="1"/>
      <c r="O2429" s="1"/>
      <c r="P2429" s="1"/>
      <c r="Q2429" s="1"/>
      <c r="R2429" s="1"/>
    </row>
    <row r="2430" spans="2:18">
      <c r="C2430" s="2" t="s">
        <v>4</v>
      </c>
      <c r="D2430" s="2" t="s">
        <v>642</v>
      </c>
      <c r="E2430" s="3">
        <v>2.8</v>
      </c>
      <c r="F2430" s="3">
        <v>1.4</v>
      </c>
      <c r="G2430" s="4">
        <v>44215</v>
      </c>
      <c r="M2430" s="1"/>
      <c r="N2430" s="1"/>
      <c r="O2430" s="1"/>
      <c r="P2430" s="1"/>
      <c r="Q2430" s="1"/>
      <c r="R2430" s="1"/>
    </row>
    <row r="2431" spans="2:18">
      <c r="C2431" s="92" t="s">
        <v>7</v>
      </c>
      <c r="D2431" s="92" t="s">
        <v>2076</v>
      </c>
      <c r="E2431" s="3">
        <v>100</v>
      </c>
      <c r="F2431" s="3">
        <f>70/5</f>
        <v>14</v>
      </c>
      <c r="G2431" s="4">
        <v>44937</v>
      </c>
      <c r="I2431" s="1">
        <v>900</v>
      </c>
      <c r="J2431" s="1">
        <v>900</v>
      </c>
      <c r="M2431" s="1"/>
      <c r="N2431" s="1"/>
      <c r="O2431" s="1"/>
      <c r="P2431" s="1"/>
      <c r="Q2431" s="1"/>
      <c r="R2431" s="1"/>
    </row>
    <row r="2432" spans="2:18">
      <c r="C2432" s="92" t="s">
        <v>5</v>
      </c>
      <c r="D2432" s="92" t="s">
        <v>7295</v>
      </c>
      <c r="E2432" s="3">
        <v>3</v>
      </c>
      <c r="F2432" s="3">
        <v>2</v>
      </c>
      <c r="G2432" s="4">
        <v>43858</v>
      </c>
      <c r="M2432" s="1"/>
      <c r="N2432" s="1"/>
      <c r="O2432" s="1"/>
      <c r="P2432" s="1"/>
      <c r="Q2432" s="1"/>
      <c r="R2432" s="1"/>
    </row>
    <row r="2433" spans="2:18">
      <c r="G2433" s="4"/>
      <c r="M2433" s="1"/>
      <c r="N2433" s="1"/>
      <c r="O2433" s="1"/>
      <c r="P2433" s="1"/>
      <c r="Q2433" s="1"/>
      <c r="R2433" s="1"/>
    </row>
    <row r="2434" spans="2:18" s="12" customFormat="1">
      <c r="B2434" s="12" t="s">
        <v>1031</v>
      </c>
      <c r="C2434" s="13" t="s">
        <v>969</v>
      </c>
      <c r="D2434" s="13" t="s">
        <v>968</v>
      </c>
      <c r="E2434" s="15"/>
      <c r="F2434" s="15">
        <f>SUM(F2435:F2437)</f>
        <v>18.866666666666667</v>
      </c>
      <c r="G2434" s="14">
        <f>G2435</f>
        <v>45035</v>
      </c>
      <c r="I2434" s="12" t="s">
        <v>9833</v>
      </c>
      <c r="M2434" s="13"/>
      <c r="N2434" s="13"/>
      <c r="O2434" s="13"/>
      <c r="P2434" s="13"/>
      <c r="Q2434" s="13"/>
      <c r="R2434" s="13"/>
    </row>
    <row r="2435" spans="2:18">
      <c r="C2435" s="2" t="s">
        <v>5</v>
      </c>
      <c r="D2435" s="2" t="s">
        <v>901</v>
      </c>
      <c r="E2435" s="3">
        <v>70</v>
      </c>
      <c r="F2435" s="3">
        <f>40/6</f>
        <v>6.666666666666667</v>
      </c>
      <c r="G2435" s="4">
        <v>45035</v>
      </c>
      <c r="I2435" s="409" t="s">
        <v>9834</v>
      </c>
    </row>
    <row r="2436" spans="2:18">
      <c r="C2436" s="2" t="s">
        <v>4</v>
      </c>
      <c r="D2436" s="2" t="s">
        <v>302</v>
      </c>
      <c r="E2436" s="3">
        <v>1.8</v>
      </c>
      <c r="F2436" s="3">
        <v>0.2</v>
      </c>
      <c r="G2436" s="4">
        <v>42690</v>
      </c>
    </row>
    <row r="2437" spans="2:18">
      <c r="C2437" s="2" t="s">
        <v>8</v>
      </c>
      <c r="D2437" s="2" t="s">
        <v>176</v>
      </c>
      <c r="E2437" s="3">
        <v>130</v>
      </c>
      <c r="F2437" s="3">
        <v>12</v>
      </c>
      <c r="G2437" s="4">
        <v>42080</v>
      </c>
      <c r="I2437" s="1">
        <v>570</v>
      </c>
    </row>
    <row r="2438" spans="2:18">
      <c r="G2438" s="4"/>
    </row>
    <row r="2439" spans="2:18">
      <c r="B2439" s="12" t="s">
        <v>1030</v>
      </c>
      <c r="C2439" s="13" t="s">
        <v>969</v>
      </c>
      <c r="D2439" s="13" t="s">
        <v>968</v>
      </c>
      <c r="F2439" s="15">
        <f>SUM(F2440:F2444)</f>
        <v>19</v>
      </c>
      <c r="G2439" s="14">
        <f>+G2442</f>
        <v>44698</v>
      </c>
    </row>
    <row r="2440" spans="2:18">
      <c r="C2440" s="2" t="s">
        <v>7</v>
      </c>
      <c r="D2440" s="2" t="s">
        <v>798</v>
      </c>
      <c r="E2440" s="3">
        <v>22</v>
      </c>
      <c r="F2440" s="3">
        <v>5</v>
      </c>
      <c r="G2440" s="4">
        <v>44153</v>
      </c>
    </row>
    <row r="2441" spans="2:18">
      <c r="C2441" s="2" t="s">
        <v>5</v>
      </c>
      <c r="D2441" s="2" t="s">
        <v>798</v>
      </c>
      <c r="E2441" s="3">
        <v>13</v>
      </c>
      <c r="F2441" s="3">
        <v>3</v>
      </c>
      <c r="G2441" s="4">
        <v>44026</v>
      </c>
    </row>
    <row r="2442" spans="2:18">
      <c r="C2442" s="2" t="s">
        <v>5</v>
      </c>
      <c r="D2442" s="2" t="s">
        <v>773</v>
      </c>
      <c r="E2442" s="3">
        <v>12.8</v>
      </c>
      <c r="F2442" s="3">
        <v>3</v>
      </c>
      <c r="G2442" s="4">
        <v>44698</v>
      </c>
    </row>
    <row r="2443" spans="2:18">
      <c r="C2443" s="2" t="s">
        <v>4</v>
      </c>
      <c r="D2443" s="2" t="s">
        <v>773</v>
      </c>
      <c r="E2443" s="3">
        <v>5.5</v>
      </c>
      <c r="F2443" s="3">
        <v>3</v>
      </c>
      <c r="G2443" s="4">
        <v>44488</v>
      </c>
    </row>
    <row r="2444" spans="2:18">
      <c r="C2444" s="2" t="s">
        <v>5</v>
      </c>
      <c r="D2444" s="2" t="s">
        <v>298</v>
      </c>
      <c r="E2444" s="3">
        <v>15</v>
      </c>
      <c r="F2444" s="3">
        <v>5</v>
      </c>
      <c r="G2444" s="4">
        <v>44314</v>
      </c>
    </row>
    <row r="2445" spans="2:18">
      <c r="G2445" s="4"/>
    </row>
    <row r="2446" spans="2:18" s="12" customFormat="1">
      <c r="B2446" s="12" t="s">
        <v>7626</v>
      </c>
      <c r="C2446" s="13" t="s">
        <v>969</v>
      </c>
      <c r="D2446" s="13" t="s">
        <v>968</v>
      </c>
      <c r="E2446" s="15"/>
      <c r="F2446" s="15">
        <f>SUM(F2447:F2449)</f>
        <v>19.25</v>
      </c>
      <c r="G2446" s="14">
        <f>G2448</f>
        <v>44811</v>
      </c>
    </row>
    <row r="2447" spans="2:18">
      <c r="C2447" s="2" t="s">
        <v>5</v>
      </c>
      <c r="D2447" s="2" t="s">
        <v>548</v>
      </c>
      <c r="E2447" s="3">
        <v>10.5</v>
      </c>
      <c r="F2447" s="3">
        <f>5/5</f>
        <v>1</v>
      </c>
      <c r="G2447" s="4">
        <v>44341</v>
      </c>
      <c r="M2447" s="1"/>
      <c r="N2447" s="1"/>
      <c r="O2447" s="1"/>
      <c r="P2447" s="1"/>
      <c r="Q2447" s="1"/>
      <c r="R2447" s="1"/>
    </row>
    <row r="2448" spans="2:18">
      <c r="C2448" s="2" t="s">
        <v>7</v>
      </c>
      <c r="D2448" s="2" t="s">
        <v>542</v>
      </c>
      <c r="E2448" s="3">
        <v>40</v>
      </c>
      <c r="F2448" s="3">
        <f>25/4</f>
        <v>6.25</v>
      </c>
      <c r="G2448" s="4">
        <v>44811</v>
      </c>
      <c r="M2448" s="1"/>
      <c r="N2448" s="1"/>
      <c r="O2448" s="1"/>
      <c r="P2448" s="1"/>
      <c r="Q2448" s="1"/>
      <c r="R2448" s="1"/>
    </row>
    <row r="2449" spans="2:18">
      <c r="C2449" s="2" t="s">
        <v>18</v>
      </c>
      <c r="D2449" s="2" t="s">
        <v>2127</v>
      </c>
      <c r="E2449" s="3">
        <v>200</v>
      </c>
      <c r="F2449" s="3">
        <v>12</v>
      </c>
      <c r="G2449" s="4">
        <v>44557</v>
      </c>
      <c r="I2449" s="1">
        <v>1300</v>
      </c>
      <c r="J2449" s="1">
        <v>1300</v>
      </c>
      <c r="M2449" s="1"/>
      <c r="N2449" s="1"/>
      <c r="O2449" s="1"/>
      <c r="P2449" s="1"/>
      <c r="Q2449" s="1"/>
      <c r="R2449" s="1"/>
    </row>
    <row r="2450" spans="2:18">
      <c r="G2450" s="4"/>
      <c r="M2450" s="1"/>
      <c r="N2450" s="1"/>
      <c r="O2450" s="1"/>
      <c r="P2450" s="1"/>
      <c r="Q2450" s="1"/>
      <c r="R2450" s="1"/>
    </row>
    <row r="2451" spans="2:18" s="12" customFormat="1">
      <c r="B2451" s="12" t="s">
        <v>488</v>
      </c>
      <c r="C2451" s="13" t="s">
        <v>969</v>
      </c>
      <c r="D2451" s="13" t="s">
        <v>968</v>
      </c>
      <c r="E2451" s="15"/>
      <c r="F2451" s="15">
        <f>SUM(F2452:F2456)</f>
        <v>18.8</v>
      </c>
      <c r="G2451" s="14">
        <f>G2453</f>
        <v>44518</v>
      </c>
    </row>
    <row r="2452" spans="2:18">
      <c r="B2452" s="238" t="s">
        <v>7625</v>
      </c>
      <c r="C2452" s="2" t="s">
        <v>5</v>
      </c>
      <c r="D2452" s="2" t="s">
        <v>483</v>
      </c>
      <c r="E2452" s="3">
        <v>13</v>
      </c>
      <c r="F2452" s="3">
        <v>4</v>
      </c>
      <c r="G2452" s="4">
        <v>44516</v>
      </c>
      <c r="M2452" s="1"/>
      <c r="N2452" s="1"/>
      <c r="O2452" s="1"/>
      <c r="P2452" s="1"/>
      <c r="Q2452" s="1"/>
      <c r="R2452" s="1"/>
    </row>
    <row r="2453" spans="2:18">
      <c r="C2453" s="140" t="s">
        <v>7</v>
      </c>
      <c r="D2453" s="140" t="s">
        <v>2057</v>
      </c>
      <c r="E2453" s="3">
        <v>50</v>
      </c>
      <c r="F2453" s="3">
        <v>10</v>
      </c>
      <c r="G2453" s="4">
        <v>44518</v>
      </c>
      <c r="M2453" s="1"/>
      <c r="N2453" s="1"/>
      <c r="O2453" s="1"/>
      <c r="P2453" s="1"/>
      <c r="Q2453" s="1"/>
      <c r="R2453" s="1"/>
    </row>
    <row r="2454" spans="2:18">
      <c r="C2454" s="140" t="s">
        <v>5</v>
      </c>
      <c r="D2454" s="140" t="s">
        <v>2057</v>
      </c>
      <c r="E2454" s="3">
        <v>13</v>
      </c>
      <c r="F2454" s="3">
        <v>3</v>
      </c>
      <c r="G2454" s="4">
        <v>44294</v>
      </c>
      <c r="M2454" s="1"/>
      <c r="N2454" s="1"/>
      <c r="O2454" s="1"/>
      <c r="P2454" s="1"/>
      <c r="Q2454" s="1"/>
      <c r="R2454" s="1"/>
    </row>
    <row r="2455" spans="2:18">
      <c r="C2455" s="140" t="s">
        <v>4</v>
      </c>
      <c r="D2455" s="140" t="s">
        <v>2057</v>
      </c>
      <c r="E2455" s="3">
        <v>4.5</v>
      </c>
      <c r="F2455" s="3">
        <v>1.5</v>
      </c>
      <c r="G2455" s="4">
        <v>43943</v>
      </c>
      <c r="M2455" s="1"/>
      <c r="N2455" s="1"/>
      <c r="O2455" s="1"/>
      <c r="P2455" s="1"/>
      <c r="Q2455" s="1"/>
      <c r="R2455" s="1"/>
    </row>
    <row r="2456" spans="2:18">
      <c r="C2456" s="140" t="s">
        <v>4</v>
      </c>
      <c r="D2456" s="140" t="s">
        <v>2057</v>
      </c>
      <c r="E2456" s="3">
        <v>2.2999999999999998</v>
      </c>
      <c r="F2456" s="3">
        <v>0.3</v>
      </c>
      <c r="G2456" s="4">
        <v>43195</v>
      </c>
      <c r="M2456" s="1"/>
      <c r="N2456" s="1"/>
      <c r="O2456" s="1"/>
      <c r="P2456" s="1"/>
      <c r="Q2456" s="1"/>
      <c r="R2456" s="1"/>
    </row>
    <row r="2457" spans="2:18">
      <c r="G2457" s="4"/>
      <c r="M2457" s="1"/>
      <c r="N2457" s="1"/>
      <c r="O2457" s="1"/>
      <c r="P2457" s="1"/>
      <c r="Q2457" s="1"/>
      <c r="R2457" s="1"/>
    </row>
    <row r="2458" spans="2:18" s="12" customFormat="1">
      <c r="B2458" s="12" t="s">
        <v>4995</v>
      </c>
      <c r="C2458" s="13" t="s">
        <v>969</v>
      </c>
      <c r="D2458" s="13" t="s">
        <v>968</v>
      </c>
      <c r="E2458" s="15"/>
      <c r="F2458" s="15">
        <f>SUM(F2459:F2461)</f>
        <v>18.071428571428569</v>
      </c>
      <c r="G2458" s="14">
        <f>G2460</f>
        <v>44880</v>
      </c>
      <c r="M2458" s="13"/>
      <c r="N2458" s="13"/>
      <c r="O2458" s="13"/>
      <c r="P2458" s="13"/>
      <c r="Q2458" s="13"/>
      <c r="R2458" s="13"/>
    </row>
    <row r="2459" spans="2:18">
      <c r="C2459" s="2" t="s">
        <v>5</v>
      </c>
      <c r="D2459" s="2" t="s">
        <v>701</v>
      </c>
      <c r="E2459" s="3">
        <v>50</v>
      </c>
      <c r="F2459" s="3">
        <f>30/12</f>
        <v>2.5</v>
      </c>
      <c r="G2459" s="4">
        <v>44796</v>
      </c>
    </row>
    <row r="2460" spans="2:18">
      <c r="C2460" s="2" t="s">
        <v>8</v>
      </c>
      <c r="D2460" s="2" t="s">
        <v>131</v>
      </c>
      <c r="E2460" s="3">
        <v>135</v>
      </c>
      <c r="F2460" s="3">
        <v>8</v>
      </c>
      <c r="G2460" s="4">
        <v>44880</v>
      </c>
    </row>
    <row r="2461" spans="2:18">
      <c r="C2461" s="2" t="s">
        <v>18</v>
      </c>
      <c r="D2461" s="2" t="s">
        <v>131</v>
      </c>
      <c r="E2461" s="3">
        <v>73</v>
      </c>
      <c r="F2461" s="3">
        <f>53/7</f>
        <v>7.5714285714285712</v>
      </c>
      <c r="G2461" s="4">
        <v>44565</v>
      </c>
    </row>
    <row r="2462" spans="2:18">
      <c r="G2462" s="4"/>
    </row>
    <row r="2463" spans="2:18" s="12" customFormat="1">
      <c r="B2463" s="12" t="s">
        <v>480</v>
      </c>
      <c r="C2463" s="13" t="s">
        <v>969</v>
      </c>
      <c r="D2463" s="13" t="s">
        <v>968</v>
      </c>
      <c r="E2463" s="15"/>
      <c r="F2463" s="15">
        <f>SUM(F2464:F2465)</f>
        <v>18.3</v>
      </c>
      <c r="G2463" s="14">
        <f>G2464</f>
        <v>44398</v>
      </c>
    </row>
    <row r="2464" spans="2:18">
      <c r="C2464" s="2" t="s">
        <v>7</v>
      </c>
      <c r="D2464" s="2" t="s">
        <v>475</v>
      </c>
      <c r="E2464" s="3">
        <v>90</v>
      </c>
      <c r="F2464" s="3">
        <v>15</v>
      </c>
      <c r="G2464" s="4">
        <v>44398</v>
      </c>
      <c r="M2464" s="1"/>
      <c r="N2464" s="1"/>
      <c r="O2464" s="1"/>
      <c r="P2464" s="1"/>
      <c r="Q2464" s="1"/>
      <c r="R2464" s="1"/>
    </row>
    <row r="2465" spans="2:18">
      <c r="C2465" s="2" t="s">
        <v>5</v>
      </c>
      <c r="D2465" s="2" t="s">
        <v>475</v>
      </c>
      <c r="E2465" s="3">
        <v>22.8</v>
      </c>
      <c r="F2465" s="3">
        <v>3.3</v>
      </c>
      <c r="G2465" s="4">
        <v>43160</v>
      </c>
      <c r="M2465" s="1"/>
      <c r="N2465" s="1"/>
      <c r="O2465" s="1"/>
      <c r="P2465" s="1"/>
      <c r="Q2465" s="1"/>
      <c r="R2465" s="1"/>
    </row>
    <row r="2466" spans="2:18">
      <c r="G2466" s="4"/>
      <c r="M2466" s="1"/>
      <c r="N2466" s="1"/>
      <c r="O2466" s="1"/>
      <c r="P2466" s="1"/>
      <c r="Q2466" s="1"/>
      <c r="R2466" s="1"/>
    </row>
    <row r="2467" spans="2:18" s="12" customFormat="1">
      <c r="B2467" s="12" t="s">
        <v>1029</v>
      </c>
      <c r="C2467" s="13" t="s">
        <v>969</v>
      </c>
      <c r="D2467" s="13" t="s">
        <v>968</v>
      </c>
      <c r="E2467" s="15"/>
      <c r="F2467" s="15">
        <f>SUM(F2468:F2474)</f>
        <v>17.533333333333335</v>
      </c>
      <c r="G2467" s="14">
        <f>G2468</f>
        <v>44643</v>
      </c>
      <c r="M2467" s="13"/>
      <c r="N2467" s="13"/>
      <c r="O2467" s="13"/>
      <c r="P2467" s="13"/>
      <c r="Q2467" s="13"/>
      <c r="R2467" s="13"/>
    </row>
    <row r="2468" spans="2:18">
      <c r="C2468" s="2" t="s">
        <v>7</v>
      </c>
      <c r="D2468" s="2" t="s">
        <v>693</v>
      </c>
      <c r="E2468" s="3">
        <v>50</v>
      </c>
      <c r="F2468" s="3">
        <f>25/3</f>
        <v>8.3333333333333339</v>
      </c>
      <c r="G2468" s="4">
        <v>44643</v>
      </c>
    </row>
    <row r="2469" spans="2:18">
      <c r="C2469" s="2" t="s">
        <v>5</v>
      </c>
      <c r="D2469" s="2" t="s">
        <v>693</v>
      </c>
      <c r="E2469" s="3">
        <v>18.5</v>
      </c>
      <c r="F2469" s="3">
        <f>10/4</f>
        <v>2.5</v>
      </c>
      <c r="G2469" s="4">
        <v>44242</v>
      </c>
    </row>
    <row r="2470" spans="2:18">
      <c r="C2470" s="2" t="s">
        <v>4</v>
      </c>
      <c r="D2470" s="2" t="s">
        <v>693</v>
      </c>
      <c r="E2470" s="3">
        <v>3.5</v>
      </c>
      <c r="F2470" s="3">
        <v>1.5</v>
      </c>
      <c r="G2470" s="4">
        <v>43631</v>
      </c>
    </row>
    <row r="2471" spans="2:18">
      <c r="C2471" s="2" t="s">
        <v>5</v>
      </c>
      <c r="D2471" s="2" t="s">
        <v>656</v>
      </c>
      <c r="E2471" s="3">
        <v>12.6</v>
      </c>
      <c r="F2471" s="3">
        <v>2.2000000000000002</v>
      </c>
      <c r="G2471" s="4">
        <v>44579</v>
      </c>
    </row>
    <row r="2472" spans="2:18">
      <c r="C2472" s="2" t="s">
        <v>4</v>
      </c>
      <c r="D2472" s="2" t="s">
        <v>656</v>
      </c>
      <c r="E2472" s="3">
        <v>3</v>
      </c>
      <c r="F2472" s="3">
        <v>1</v>
      </c>
      <c r="G2472" s="4">
        <v>43999</v>
      </c>
    </row>
    <row r="2473" spans="2:18">
      <c r="C2473" s="2" t="s">
        <v>5</v>
      </c>
      <c r="D2473" s="2" t="s">
        <v>548</v>
      </c>
      <c r="E2473" s="3">
        <v>10.5</v>
      </c>
      <c r="F2473" s="3">
        <v>1</v>
      </c>
      <c r="G2473" s="4">
        <v>44341</v>
      </c>
    </row>
    <row r="2474" spans="2:18">
      <c r="C2474" s="2" t="s">
        <v>4</v>
      </c>
      <c r="D2474" s="2" t="s">
        <v>548</v>
      </c>
      <c r="E2474" s="3">
        <v>4</v>
      </c>
      <c r="F2474" s="3">
        <v>1</v>
      </c>
      <c r="G2474" s="4">
        <v>43671</v>
      </c>
    </row>
    <row r="2475" spans="2:18">
      <c r="G2475" s="4"/>
    </row>
    <row r="2476" spans="2:18">
      <c r="B2476" s="12" t="s">
        <v>1028</v>
      </c>
      <c r="C2476" s="13" t="s">
        <v>969</v>
      </c>
      <c r="D2476" s="13" t="s">
        <v>968</v>
      </c>
      <c r="E2476" s="15"/>
      <c r="F2476" s="15">
        <f>SUM(F2477:F2480)</f>
        <v>18</v>
      </c>
      <c r="G2476" s="14">
        <f>G2479</f>
        <v>44467</v>
      </c>
    </row>
    <row r="2477" spans="2:18">
      <c r="C2477" s="2" t="s">
        <v>7</v>
      </c>
      <c r="D2477" s="2" t="s">
        <v>962</v>
      </c>
      <c r="E2477" s="3">
        <v>45</v>
      </c>
      <c r="F2477" s="3">
        <v>10</v>
      </c>
      <c r="G2477" s="4">
        <v>44228</v>
      </c>
    </row>
    <row r="2478" spans="2:18">
      <c r="C2478" s="2" t="s">
        <v>5</v>
      </c>
      <c r="D2478" s="2" t="s">
        <v>962</v>
      </c>
      <c r="E2478" s="3">
        <v>5</v>
      </c>
      <c r="F2478" s="3">
        <v>2</v>
      </c>
      <c r="G2478" s="4">
        <v>43251</v>
      </c>
    </row>
    <row r="2479" spans="2:18">
      <c r="C2479" s="2" t="s">
        <v>5</v>
      </c>
      <c r="D2479" s="2" t="s">
        <v>984</v>
      </c>
      <c r="E2479" s="3">
        <v>19</v>
      </c>
      <c r="F2479" s="3">
        <v>4</v>
      </c>
      <c r="G2479" s="4">
        <v>44467</v>
      </c>
    </row>
    <row r="2480" spans="2:18">
      <c r="C2480" s="2" t="s">
        <v>4</v>
      </c>
      <c r="D2480" s="2" t="s">
        <v>984</v>
      </c>
      <c r="E2480" s="3">
        <v>4</v>
      </c>
      <c r="F2480" s="3">
        <v>2</v>
      </c>
      <c r="G2480" s="4">
        <v>43873</v>
      </c>
    </row>
    <row r="2481" spans="2:18">
      <c r="G2481" s="4"/>
    </row>
    <row r="2482" spans="2:18" s="12" customFormat="1">
      <c r="B2482" s="12" t="s">
        <v>472</v>
      </c>
      <c r="C2482" s="13" t="s">
        <v>969</v>
      </c>
      <c r="D2482" s="13" t="s">
        <v>968</v>
      </c>
      <c r="E2482" s="15"/>
      <c r="F2482" s="15">
        <f>SUM(F2483:F2487)</f>
        <v>17.5</v>
      </c>
      <c r="G2482" s="14">
        <f>G2483</f>
        <v>45104</v>
      </c>
    </row>
    <row r="2483" spans="2:18">
      <c r="C2483" s="2" t="s">
        <v>4</v>
      </c>
      <c r="D2483" s="2" t="s">
        <v>469</v>
      </c>
      <c r="E2483" s="3">
        <v>6</v>
      </c>
      <c r="F2483" s="3">
        <v>1</v>
      </c>
      <c r="G2483" s="4">
        <v>45104</v>
      </c>
      <c r="M2483" s="1"/>
      <c r="N2483" s="1"/>
      <c r="O2483" s="1"/>
      <c r="P2483" s="1"/>
      <c r="Q2483" s="1"/>
      <c r="R2483" s="1"/>
    </row>
    <row r="2484" spans="2:18">
      <c r="C2484" s="2" t="s">
        <v>7</v>
      </c>
      <c r="D2484" s="2" t="s">
        <v>403</v>
      </c>
      <c r="E2484" s="3">
        <v>50</v>
      </c>
      <c r="F2484" s="3">
        <v>5</v>
      </c>
      <c r="G2484" s="4">
        <v>44538</v>
      </c>
      <c r="M2484" s="1"/>
      <c r="N2484" s="1"/>
      <c r="O2484" s="1"/>
      <c r="P2484" s="1"/>
      <c r="Q2484" s="1"/>
      <c r="R2484" s="1"/>
    </row>
    <row r="2485" spans="2:18">
      <c r="C2485" s="2" t="s">
        <v>4</v>
      </c>
      <c r="D2485" s="2" t="s">
        <v>403</v>
      </c>
      <c r="E2485" s="3">
        <v>3.1</v>
      </c>
      <c r="F2485" s="3">
        <v>0.5</v>
      </c>
      <c r="G2485" s="4">
        <v>43580</v>
      </c>
      <c r="M2485" s="1"/>
      <c r="N2485" s="1"/>
      <c r="O2485" s="1"/>
      <c r="P2485" s="1"/>
      <c r="Q2485" s="1"/>
      <c r="R2485" s="1"/>
    </row>
    <row r="2486" spans="2:18">
      <c r="C2486" s="2" t="s">
        <v>5</v>
      </c>
      <c r="D2486" s="2" t="s">
        <v>381</v>
      </c>
      <c r="E2486" s="3">
        <v>86</v>
      </c>
      <c r="F2486" s="3">
        <v>10</v>
      </c>
      <c r="G2486" s="4">
        <v>44488</v>
      </c>
      <c r="M2486" s="1"/>
      <c r="N2486" s="1"/>
      <c r="O2486" s="1"/>
      <c r="P2486" s="1"/>
      <c r="Q2486" s="1"/>
      <c r="R2486" s="1"/>
    </row>
    <row r="2487" spans="2:18">
      <c r="C2487" s="2" t="s">
        <v>4</v>
      </c>
      <c r="D2487" s="2" t="s">
        <v>381</v>
      </c>
      <c r="E2487" s="3">
        <v>8.5</v>
      </c>
      <c r="F2487" s="3">
        <v>1</v>
      </c>
      <c r="G2487" s="4">
        <v>43796</v>
      </c>
      <c r="M2487" s="1"/>
      <c r="N2487" s="1"/>
      <c r="O2487" s="1"/>
      <c r="P2487" s="1"/>
      <c r="Q2487" s="1"/>
      <c r="R2487" s="1"/>
    </row>
    <row r="2488" spans="2:18">
      <c r="G2488" s="4"/>
      <c r="M2488" s="1"/>
      <c r="N2488" s="1"/>
      <c r="O2488" s="1"/>
      <c r="P2488" s="1"/>
      <c r="Q2488" s="1"/>
      <c r="R2488" s="1"/>
    </row>
    <row r="2489" spans="2:18">
      <c r="B2489" s="12" t="s">
        <v>1026</v>
      </c>
      <c r="C2489" s="13" t="s">
        <v>969</v>
      </c>
      <c r="D2489" s="13" t="s">
        <v>968</v>
      </c>
      <c r="F2489" s="15">
        <f>SUM(F2490:F2494)</f>
        <v>18.166666666666668</v>
      </c>
      <c r="G2489" s="14">
        <f>+G2490</f>
        <v>44812</v>
      </c>
    </row>
    <row r="2490" spans="2:18">
      <c r="C2490" s="2" t="s">
        <v>7</v>
      </c>
      <c r="D2490" s="2" t="s">
        <v>984</v>
      </c>
      <c r="E2490" s="3">
        <v>38</v>
      </c>
      <c r="F2490" s="3">
        <f>20/3</f>
        <v>6.666666666666667</v>
      </c>
      <c r="G2490" s="4">
        <v>44812</v>
      </c>
    </row>
    <row r="2491" spans="2:18">
      <c r="C2491" s="2" t="s">
        <v>5</v>
      </c>
      <c r="D2491" s="2" t="s">
        <v>984</v>
      </c>
      <c r="E2491" s="3">
        <v>19</v>
      </c>
      <c r="F2491" s="3">
        <v>4</v>
      </c>
      <c r="G2491" s="4">
        <v>44467</v>
      </c>
    </row>
    <row r="2492" spans="2:18">
      <c r="C2492" s="2" t="s">
        <v>5</v>
      </c>
      <c r="D2492" s="2" t="s">
        <v>999</v>
      </c>
      <c r="E2492" s="3">
        <v>25</v>
      </c>
      <c r="F2492" s="3">
        <v>5</v>
      </c>
      <c r="G2492" s="4">
        <v>44699</v>
      </c>
    </row>
    <row r="2493" spans="2:18">
      <c r="C2493" s="2" t="s">
        <v>5</v>
      </c>
      <c r="D2493" s="2" t="s">
        <v>825</v>
      </c>
      <c r="E2493" s="3">
        <v>20</v>
      </c>
      <c r="F2493" s="3">
        <v>2</v>
      </c>
      <c r="G2493" s="4">
        <v>44602</v>
      </c>
    </row>
    <row r="2494" spans="2:18">
      <c r="C2494" s="2" t="s">
        <v>4</v>
      </c>
      <c r="D2494" s="2" t="s">
        <v>663</v>
      </c>
      <c r="E2494" s="3">
        <v>4.5</v>
      </c>
      <c r="F2494" s="3">
        <v>0.5</v>
      </c>
      <c r="G2494" s="4">
        <v>44293</v>
      </c>
    </row>
    <row r="2495" spans="2:18">
      <c r="G2495" s="4"/>
    </row>
    <row r="2496" spans="2:18">
      <c r="B2496" s="12" t="s">
        <v>1025</v>
      </c>
      <c r="C2496" s="13" t="s">
        <v>969</v>
      </c>
      <c r="D2496" s="13" t="s">
        <v>968</v>
      </c>
      <c r="F2496" s="15">
        <f>SUM(F2497:F2500)</f>
        <v>18</v>
      </c>
      <c r="G2496" s="14">
        <f>G2497</f>
        <v>45036</v>
      </c>
    </row>
    <row r="2497" spans="2:18">
      <c r="C2497" s="2" t="s">
        <v>7</v>
      </c>
      <c r="D2497" s="2" t="s">
        <v>796</v>
      </c>
      <c r="E2497" s="3">
        <v>50</v>
      </c>
      <c r="F2497" s="3">
        <v>6</v>
      </c>
      <c r="G2497" s="4">
        <v>45036</v>
      </c>
    </row>
    <row r="2498" spans="2:18">
      <c r="C2498" s="2" t="s">
        <v>5</v>
      </c>
      <c r="D2498" s="2" t="s">
        <v>796</v>
      </c>
      <c r="E2498" s="3">
        <v>16.5</v>
      </c>
      <c r="F2498" s="3">
        <v>6</v>
      </c>
      <c r="G2498" s="4">
        <v>44614</v>
      </c>
    </row>
    <row r="2499" spans="2:18">
      <c r="C2499" s="2" t="s">
        <v>4</v>
      </c>
      <c r="D2499" s="2" t="s">
        <v>1024</v>
      </c>
      <c r="E2499" s="3">
        <v>2.8</v>
      </c>
      <c r="F2499" s="3">
        <v>1</v>
      </c>
      <c r="G2499" s="4">
        <v>44994</v>
      </c>
    </row>
    <row r="2500" spans="2:18">
      <c r="C2500" s="2" t="s">
        <v>4</v>
      </c>
      <c r="D2500" s="2" t="s">
        <v>686</v>
      </c>
      <c r="E2500" s="3">
        <v>30</v>
      </c>
      <c r="F2500" s="3">
        <v>5</v>
      </c>
      <c r="G2500" s="4">
        <v>44601</v>
      </c>
    </row>
    <row r="2501" spans="2:18">
      <c r="G2501" s="4"/>
    </row>
    <row r="2502" spans="2:18" s="12" customFormat="1">
      <c r="B2502" s="12" t="s">
        <v>379</v>
      </c>
      <c r="C2502" s="13" t="s">
        <v>969</v>
      </c>
      <c r="D2502" s="13" t="s">
        <v>968</v>
      </c>
      <c r="E2502" s="15"/>
      <c r="F2502" s="15">
        <f>SUM(F2503:F2504)</f>
        <v>17.285714285714285</v>
      </c>
      <c r="G2502" s="14">
        <f>G2503</f>
        <v>44323</v>
      </c>
    </row>
    <row r="2503" spans="2:18">
      <c r="C2503" s="2" t="s">
        <v>18</v>
      </c>
      <c r="D2503" s="2" t="s">
        <v>374</v>
      </c>
      <c r="E2503" s="3">
        <v>130</v>
      </c>
      <c r="F2503" s="3">
        <f>100/7</f>
        <v>14.285714285714286</v>
      </c>
      <c r="G2503" s="4">
        <v>44323</v>
      </c>
      <c r="M2503" s="1"/>
      <c r="N2503" s="1"/>
      <c r="O2503" s="1"/>
      <c r="P2503" s="1"/>
      <c r="Q2503" s="1"/>
      <c r="R2503" s="1"/>
    </row>
    <row r="2504" spans="2:18">
      <c r="C2504" s="2" t="s">
        <v>5</v>
      </c>
      <c r="D2504" s="2" t="s">
        <v>374</v>
      </c>
      <c r="E2504" s="3">
        <v>15</v>
      </c>
      <c r="F2504" s="3">
        <v>3</v>
      </c>
      <c r="G2504" s="4">
        <v>43452</v>
      </c>
      <c r="M2504" s="1"/>
      <c r="N2504" s="1"/>
      <c r="O2504" s="1"/>
      <c r="P2504" s="1"/>
      <c r="Q2504" s="1"/>
      <c r="R2504" s="1"/>
    </row>
    <row r="2505" spans="2:18">
      <c r="G2505" s="4"/>
      <c r="M2505" s="1"/>
      <c r="N2505" s="1"/>
      <c r="O2505" s="1"/>
      <c r="P2505" s="1"/>
      <c r="Q2505" s="1"/>
      <c r="R2505" s="1"/>
    </row>
    <row r="2506" spans="2:18" s="12" customFormat="1">
      <c r="B2506" s="12" t="s">
        <v>1023</v>
      </c>
      <c r="C2506" s="13" t="s">
        <v>969</v>
      </c>
      <c r="D2506" s="13" t="s">
        <v>968</v>
      </c>
      <c r="E2506" s="15"/>
      <c r="F2506" s="15">
        <f>SUM(F2507:F2510)</f>
        <v>17.166666666666664</v>
      </c>
      <c r="G2506" s="14">
        <f>G2508</f>
        <v>44903</v>
      </c>
      <c r="M2506" s="13"/>
      <c r="N2506" s="13"/>
      <c r="O2506" s="13"/>
      <c r="P2506" s="13"/>
      <c r="Q2506" s="13"/>
      <c r="R2506" s="13"/>
    </row>
    <row r="2507" spans="2:18">
      <c r="C2507" s="2" t="s">
        <v>5</v>
      </c>
      <c r="D2507" s="2" t="s">
        <v>932</v>
      </c>
      <c r="E2507" s="3">
        <v>30</v>
      </c>
      <c r="F2507" s="3">
        <v>10</v>
      </c>
      <c r="G2507" s="4">
        <v>44656</v>
      </c>
    </row>
    <row r="2508" spans="2:18">
      <c r="C2508" s="2" t="s">
        <v>5</v>
      </c>
      <c r="D2508" s="2" t="s">
        <v>722</v>
      </c>
      <c r="E2508" s="3">
        <v>20</v>
      </c>
      <c r="F2508" s="3">
        <f>13/6</f>
        <v>2.1666666666666665</v>
      </c>
      <c r="G2508" s="4">
        <v>44903</v>
      </c>
    </row>
    <row r="2509" spans="2:18">
      <c r="C2509" s="2" t="s">
        <v>5</v>
      </c>
      <c r="D2509" s="2" t="s">
        <v>722</v>
      </c>
      <c r="E2509" s="3">
        <v>11</v>
      </c>
      <c r="F2509" s="3">
        <v>3</v>
      </c>
      <c r="G2509" s="4">
        <v>44313</v>
      </c>
    </row>
    <row r="2510" spans="2:18">
      <c r="C2510" s="2" t="s">
        <v>4</v>
      </c>
      <c r="D2510" s="2" t="s">
        <v>722</v>
      </c>
      <c r="E2510" s="3">
        <v>3</v>
      </c>
      <c r="F2510" s="3">
        <v>2</v>
      </c>
      <c r="G2510" s="4">
        <v>44011</v>
      </c>
    </row>
    <row r="2511" spans="2:18">
      <c r="G2511" s="4"/>
    </row>
    <row r="2512" spans="2:18" s="12" customFormat="1">
      <c r="B2512" s="12" t="s">
        <v>604</v>
      </c>
      <c r="C2512" s="13" t="s">
        <v>969</v>
      </c>
      <c r="D2512" s="13" t="s">
        <v>968</v>
      </c>
      <c r="E2512" s="15"/>
      <c r="F2512" s="15">
        <f>SUM(F2513:F2514)</f>
        <v>17.375</v>
      </c>
      <c r="G2512" s="14">
        <f>G2513</f>
        <v>44663</v>
      </c>
    </row>
    <row r="2513" spans="2:18">
      <c r="C2513" s="2" t="s">
        <v>18</v>
      </c>
      <c r="D2513" s="2" t="s">
        <v>599</v>
      </c>
      <c r="E2513" s="3">
        <v>125</v>
      </c>
      <c r="F2513" s="3">
        <f>75/8</f>
        <v>9.375</v>
      </c>
      <c r="G2513" s="4">
        <v>44663</v>
      </c>
      <c r="M2513" s="1"/>
      <c r="N2513" s="1"/>
      <c r="O2513" s="1"/>
      <c r="P2513" s="1"/>
      <c r="Q2513" s="1"/>
      <c r="R2513" s="1"/>
    </row>
    <row r="2514" spans="2:18">
      <c r="C2514" s="2" t="s">
        <v>7</v>
      </c>
      <c r="D2514" s="2" t="s">
        <v>599</v>
      </c>
      <c r="E2514" s="3">
        <v>54</v>
      </c>
      <c r="F2514" s="3">
        <f>40/5</f>
        <v>8</v>
      </c>
      <c r="G2514" s="4">
        <v>44089</v>
      </c>
      <c r="M2514" s="1"/>
      <c r="N2514" s="1"/>
      <c r="O2514" s="1"/>
      <c r="P2514" s="1"/>
      <c r="Q2514" s="1"/>
      <c r="R2514" s="1"/>
    </row>
    <row r="2515" spans="2:18">
      <c r="G2515" s="4"/>
      <c r="M2515" s="1"/>
      <c r="N2515" s="1"/>
      <c r="O2515" s="1"/>
      <c r="P2515" s="1"/>
      <c r="Q2515" s="1"/>
      <c r="R2515" s="1"/>
    </row>
    <row r="2516" spans="2:18" s="12" customFormat="1">
      <c r="B2516" s="12" t="s">
        <v>4884</v>
      </c>
      <c r="C2516" s="13" t="s">
        <v>969</v>
      </c>
      <c r="D2516" s="13" t="s">
        <v>968</v>
      </c>
      <c r="E2516" s="15"/>
      <c r="F2516" s="15">
        <f>SUM(F2517:F2518)</f>
        <v>16.8</v>
      </c>
      <c r="G2516" s="14">
        <f>G2517</f>
        <v>44320</v>
      </c>
      <c r="M2516" s="13"/>
      <c r="N2516" s="13"/>
      <c r="O2516" s="13"/>
      <c r="P2516" s="13"/>
      <c r="Q2516" s="13"/>
      <c r="R2516" s="13"/>
    </row>
    <row r="2517" spans="2:18">
      <c r="B2517" s="51"/>
      <c r="C2517" s="52" t="s">
        <v>8</v>
      </c>
      <c r="D2517" s="52" t="s">
        <v>4882</v>
      </c>
      <c r="E2517" s="3">
        <v>83</v>
      </c>
      <c r="F2517" s="3">
        <f>68/10</f>
        <v>6.8</v>
      </c>
      <c r="G2517" s="4">
        <v>44320</v>
      </c>
      <c r="I2517" s="1">
        <v>3600</v>
      </c>
      <c r="J2517" s="1">
        <v>3600</v>
      </c>
    </row>
    <row r="2518" spans="2:18">
      <c r="B2518" s="51"/>
      <c r="C2518" s="52" t="s">
        <v>18</v>
      </c>
      <c r="D2518" s="52" t="s">
        <v>4882</v>
      </c>
      <c r="E2518" s="3">
        <v>100</v>
      </c>
      <c r="F2518" s="3">
        <f>80/8</f>
        <v>10</v>
      </c>
      <c r="G2518" s="4">
        <v>43937</v>
      </c>
      <c r="I2518" s="1">
        <v>1100</v>
      </c>
      <c r="J2518" s="1">
        <v>3600</v>
      </c>
    </row>
    <row r="2519" spans="2:18">
      <c r="B2519" s="51"/>
      <c r="C2519" s="52"/>
      <c r="D2519" s="52"/>
      <c r="G2519" s="4"/>
    </row>
    <row r="2520" spans="2:18">
      <c r="B2520" s="12" t="s">
        <v>1022</v>
      </c>
      <c r="C2520" s="13" t="s">
        <v>969</v>
      </c>
      <c r="D2520" s="13" t="s">
        <v>968</v>
      </c>
      <c r="F2520" s="15">
        <f>SUM(F2521:F2525)</f>
        <v>16.940000000000001</v>
      </c>
      <c r="G2520" s="14">
        <f>G2523</f>
        <v>44636</v>
      </c>
    </row>
    <row r="2521" spans="2:18">
      <c r="C2521" s="2" t="s">
        <v>7</v>
      </c>
      <c r="D2521" s="2" t="s">
        <v>1008</v>
      </c>
      <c r="E2521" s="3">
        <v>30</v>
      </c>
      <c r="F2521" s="3">
        <v>6</v>
      </c>
      <c r="G2521" s="4">
        <v>44539</v>
      </c>
    </row>
    <row r="2522" spans="2:18">
      <c r="C2522" s="2" t="s">
        <v>5</v>
      </c>
      <c r="D2522" s="2" t="s">
        <v>1008</v>
      </c>
      <c r="E2522" s="3">
        <v>11</v>
      </c>
      <c r="F2522" s="3">
        <v>3</v>
      </c>
      <c r="G2522" s="4">
        <v>43862</v>
      </c>
    </row>
    <row r="2523" spans="2:18">
      <c r="C2523" s="2" t="s">
        <v>7</v>
      </c>
      <c r="D2523" s="2" t="s">
        <v>860</v>
      </c>
      <c r="E2523" s="3">
        <v>25</v>
      </c>
      <c r="F2523" s="3">
        <v>3</v>
      </c>
      <c r="G2523" s="4">
        <v>44636</v>
      </c>
    </row>
    <row r="2524" spans="2:18">
      <c r="C2524" s="2" t="s">
        <v>5</v>
      </c>
      <c r="D2524" s="2" t="s">
        <v>860</v>
      </c>
      <c r="E2524" s="3">
        <v>12.2</v>
      </c>
      <c r="F2524" s="3">
        <f>8.2/5</f>
        <v>1.64</v>
      </c>
      <c r="G2524" s="4">
        <v>44179</v>
      </c>
    </row>
    <row r="2525" spans="2:18">
      <c r="C2525" s="2" t="s">
        <v>5</v>
      </c>
      <c r="D2525" s="2" t="s">
        <v>676</v>
      </c>
      <c r="E2525" s="3">
        <v>15</v>
      </c>
      <c r="F2525" s="3">
        <v>3.3</v>
      </c>
      <c r="G2525" s="4">
        <v>44482</v>
      </c>
    </row>
    <row r="2526" spans="2:18">
      <c r="G2526" s="4"/>
    </row>
    <row r="2527" spans="2:18" s="12" customFormat="1">
      <c r="B2527" s="12" t="s">
        <v>4885</v>
      </c>
      <c r="C2527" s="13" t="s">
        <v>969</v>
      </c>
      <c r="D2527" s="13" t="s">
        <v>968</v>
      </c>
      <c r="E2527" s="15"/>
      <c r="F2527" s="15">
        <f>SUM(F2528:F2529)</f>
        <v>16.8</v>
      </c>
      <c r="G2527" s="14">
        <f>G2528</f>
        <v>44320</v>
      </c>
      <c r="M2527" s="13"/>
      <c r="N2527" s="13"/>
      <c r="O2527" s="13"/>
      <c r="P2527" s="13"/>
      <c r="Q2527" s="13"/>
      <c r="R2527" s="13"/>
    </row>
    <row r="2528" spans="2:18">
      <c r="B2528" s="51"/>
      <c r="C2528" s="52" t="s">
        <v>8</v>
      </c>
      <c r="D2528" s="52" t="s">
        <v>4882</v>
      </c>
      <c r="E2528" s="3">
        <v>83</v>
      </c>
      <c r="F2528" s="3">
        <f>68/10</f>
        <v>6.8</v>
      </c>
      <c r="G2528" s="4">
        <v>44320</v>
      </c>
      <c r="I2528" s="1">
        <v>3600</v>
      </c>
      <c r="J2528" s="1">
        <v>3600</v>
      </c>
    </row>
    <row r="2529" spans="2:18">
      <c r="B2529" s="51"/>
      <c r="C2529" s="52" t="s">
        <v>18</v>
      </c>
      <c r="D2529" s="52" t="s">
        <v>4882</v>
      </c>
      <c r="E2529" s="3">
        <v>100</v>
      </c>
      <c r="F2529" s="3">
        <f>80/8</f>
        <v>10</v>
      </c>
      <c r="G2529" s="4">
        <v>43937</v>
      </c>
      <c r="I2529" s="1">
        <v>1100</v>
      </c>
      <c r="J2529" s="1">
        <v>3600</v>
      </c>
    </row>
    <row r="2530" spans="2:18">
      <c r="B2530" s="51"/>
      <c r="C2530" s="52"/>
      <c r="D2530" s="52"/>
      <c r="G2530" s="4"/>
    </row>
    <row r="2531" spans="2:18" s="12" customFormat="1">
      <c r="B2531" s="12" t="s">
        <v>6396</v>
      </c>
      <c r="C2531" s="13" t="s">
        <v>969</v>
      </c>
      <c r="D2531" s="13" t="s">
        <v>968</v>
      </c>
      <c r="E2531" s="15"/>
      <c r="F2531" s="15">
        <f>SUM(F2532:F2535)</f>
        <v>16.5</v>
      </c>
      <c r="G2531" s="14">
        <f>+G2535</f>
        <v>45147</v>
      </c>
      <c r="M2531" s="13"/>
      <c r="N2531" s="13"/>
      <c r="O2531" s="13"/>
      <c r="P2531" s="13"/>
      <c r="Q2531" s="13"/>
      <c r="R2531" s="13"/>
    </row>
    <row r="2532" spans="2:18">
      <c r="B2532" s="152"/>
      <c r="C2532" s="153" t="s">
        <v>7</v>
      </c>
      <c r="D2532" s="153" t="s">
        <v>6397</v>
      </c>
      <c r="E2532" s="3">
        <v>35</v>
      </c>
      <c r="F2532" s="3">
        <v>10</v>
      </c>
      <c r="G2532" s="4">
        <v>44468</v>
      </c>
    </row>
    <row r="2533" spans="2:18">
      <c r="B2533" s="152"/>
      <c r="C2533" s="153" t="s">
        <v>5</v>
      </c>
      <c r="D2533" s="153" t="s">
        <v>6397</v>
      </c>
      <c r="E2533" s="3">
        <v>8</v>
      </c>
      <c r="F2533" s="3">
        <v>1</v>
      </c>
      <c r="G2533" s="4">
        <v>44179</v>
      </c>
    </row>
    <row r="2534" spans="2:18">
      <c r="B2534" s="152"/>
      <c r="C2534" s="153" t="s">
        <v>4</v>
      </c>
      <c r="D2534" s="153" t="s">
        <v>6397</v>
      </c>
      <c r="E2534" s="3">
        <v>2</v>
      </c>
      <c r="F2534" s="3">
        <f>E2534/4</f>
        <v>0.5</v>
      </c>
      <c r="G2534" s="4">
        <v>43430</v>
      </c>
    </row>
    <row r="2535" spans="2:18">
      <c r="B2535" s="152"/>
      <c r="C2535" s="265" t="s">
        <v>1040</v>
      </c>
      <c r="D2535" s="265" t="s">
        <v>3662</v>
      </c>
      <c r="E2535" s="3">
        <v>50</v>
      </c>
      <c r="F2535" s="3">
        <v>5</v>
      </c>
      <c r="G2535" s="4">
        <v>45147</v>
      </c>
    </row>
    <row r="2536" spans="2:18">
      <c r="B2536" s="152"/>
      <c r="C2536" s="153"/>
      <c r="D2536" s="153"/>
      <c r="G2536" s="4"/>
    </row>
    <row r="2537" spans="2:18" s="12" customFormat="1">
      <c r="B2537" s="12" t="s">
        <v>167</v>
      </c>
      <c r="C2537" s="13" t="s">
        <v>969</v>
      </c>
      <c r="D2537" s="13" t="s">
        <v>968</v>
      </c>
      <c r="E2537" s="15"/>
      <c r="F2537" s="15">
        <f>SUM(F2538:F2539)</f>
        <v>17</v>
      </c>
      <c r="G2537" s="14">
        <f>G2538</f>
        <v>43292</v>
      </c>
      <c r="M2537" s="13"/>
      <c r="N2537" s="13"/>
      <c r="O2537" s="13"/>
      <c r="P2537" s="13"/>
      <c r="Q2537" s="13"/>
      <c r="R2537" s="13"/>
    </row>
    <row r="2538" spans="2:18">
      <c r="C2538" s="2" t="s">
        <v>5</v>
      </c>
      <c r="D2538" s="2" t="s">
        <v>161</v>
      </c>
      <c r="E2538" s="3">
        <v>102</v>
      </c>
      <c r="F2538" s="3">
        <v>8</v>
      </c>
      <c r="G2538" s="4">
        <v>43292</v>
      </c>
      <c r="J2538" s="1">
        <v>8400</v>
      </c>
    </row>
    <row r="2539" spans="2:18">
      <c r="C2539" s="2" t="s">
        <v>5</v>
      </c>
      <c r="D2539" s="2" t="s">
        <v>161</v>
      </c>
      <c r="E2539" s="3">
        <v>112</v>
      </c>
      <c r="F2539" s="3">
        <f>72/8</f>
        <v>9</v>
      </c>
      <c r="G2539" s="4">
        <v>43115</v>
      </c>
      <c r="J2539" s="1">
        <v>8400</v>
      </c>
    </row>
    <row r="2540" spans="2:18">
      <c r="G2540" s="4"/>
    </row>
    <row r="2541" spans="2:18" s="12" customFormat="1">
      <c r="B2541" s="12" t="s">
        <v>1021</v>
      </c>
      <c r="C2541" s="13" t="s">
        <v>969</v>
      </c>
      <c r="D2541" s="13" t="s">
        <v>968</v>
      </c>
      <c r="E2541" s="15"/>
      <c r="F2541" s="15">
        <f>SUM(F2542:F2543)</f>
        <v>16.833333333333336</v>
      </c>
      <c r="G2541" s="14">
        <f>G2542</f>
        <v>44643</v>
      </c>
      <c r="M2541" s="13"/>
      <c r="N2541" s="13"/>
      <c r="O2541" s="13"/>
      <c r="P2541" s="13"/>
      <c r="Q2541" s="13"/>
      <c r="R2541" s="13"/>
    </row>
    <row r="2542" spans="2:18">
      <c r="C2542" s="2" t="s">
        <v>7</v>
      </c>
      <c r="D2542" s="2" t="s">
        <v>693</v>
      </c>
      <c r="E2542" s="3">
        <v>50</v>
      </c>
      <c r="F2542" s="3">
        <f>25/3</f>
        <v>8.3333333333333339</v>
      </c>
      <c r="G2542" s="4">
        <v>44643</v>
      </c>
    </row>
    <row r="2543" spans="2:18">
      <c r="C2543" s="2" t="s">
        <v>5</v>
      </c>
      <c r="D2543" s="2" t="s">
        <v>693</v>
      </c>
      <c r="E2543" s="3">
        <v>18.5</v>
      </c>
      <c r="F2543" s="3">
        <v>8.5</v>
      </c>
      <c r="G2543" s="4">
        <v>44242</v>
      </c>
    </row>
    <row r="2544" spans="2:18">
      <c r="G2544" s="4"/>
    </row>
    <row r="2545" spans="2:18" s="12" customFormat="1">
      <c r="B2545" s="12" t="s">
        <v>352</v>
      </c>
      <c r="C2545" s="13" t="s">
        <v>969</v>
      </c>
      <c r="D2545" s="13" t="s">
        <v>968</v>
      </c>
      <c r="E2545" s="15"/>
      <c r="F2545" s="15">
        <f>SUM(F2546:F2548)</f>
        <v>17</v>
      </c>
      <c r="G2545" s="14">
        <f>G2546</f>
        <v>44861</v>
      </c>
    </row>
    <row r="2546" spans="2:18">
      <c r="C2546" s="2" t="s">
        <v>7</v>
      </c>
      <c r="D2546" s="2" t="s">
        <v>351</v>
      </c>
      <c r="E2546" s="3">
        <v>22</v>
      </c>
      <c r="F2546" s="3">
        <v>5</v>
      </c>
      <c r="G2546" s="4">
        <v>44861</v>
      </c>
      <c r="M2546" s="1"/>
      <c r="N2546" s="1"/>
      <c r="O2546" s="1"/>
      <c r="P2546" s="1"/>
      <c r="Q2546" s="1"/>
      <c r="R2546" s="1"/>
    </row>
    <row r="2547" spans="2:18">
      <c r="C2547" s="2" t="s">
        <v>5</v>
      </c>
      <c r="D2547" s="2" t="s">
        <v>351</v>
      </c>
      <c r="E2547" s="3">
        <v>15</v>
      </c>
      <c r="F2547" s="3">
        <v>5</v>
      </c>
      <c r="G2547" s="4">
        <v>44487</v>
      </c>
      <c r="M2547" s="1"/>
      <c r="N2547" s="1"/>
      <c r="O2547" s="1"/>
      <c r="P2547" s="1"/>
      <c r="Q2547" s="1"/>
      <c r="R2547" s="1"/>
    </row>
    <row r="2548" spans="2:18">
      <c r="C2548" s="2" t="s">
        <v>4</v>
      </c>
      <c r="D2548" s="2" t="s">
        <v>351</v>
      </c>
      <c r="E2548" s="3">
        <v>7</v>
      </c>
      <c r="F2548" s="3">
        <v>7</v>
      </c>
      <c r="G2548" s="4">
        <v>44117</v>
      </c>
      <c r="M2548" s="1"/>
      <c r="N2548" s="1"/>
      <c r="O2548" s="1"/>
      <c r="P2548" s="1"/>
      <c r="Q2548" s="1"/>
      <c r="R2548" s="1"/>
    </row>
    <row r="2549" spans="2:18">
      <c r="G2549" s="4"/>
      <c r="M2549" s="1"/>
      <c r="N2549" s="1"/>
      <c r="O2549" s="1"/>
      <c r="P2549" s="1"/>
      <c r="Q2549" s="1"/>
      <c r="R2549" s="1"/>
    </row>
    <row r="2550" spans="2:18">
      <c r="B2550" s="12" t="s">
        <v>1019</v>
      </c>
      <c r="C2550" s="13" t="s">
        <v>969</v>
      </c>
      <c r="D2550" s="13" t="s">
        <v>968</v>
      </c>
      <c r="E2550" s="15"/>
      <c r="F2550" s="15">
        <f>SUM(F2551:F2553)</f>
        <v>16.600000000000001</v>
      </c>
      <c r="G2550" s="14">
        <f>+G2553</f>
        <v>45020</v>
      </c>
    </row>
    <row r="2551" spans="2:18">
      <c r="C2551" s="2" t="s">
        <v>18</v>
      </c>
      <c r="D2551" s="2" t="s">
        <v>926</v>
      </c>
      <c r="E2551" s="3">
        <v>100</v>
      </c>
      <c r="F2551" s="3">
        <v>9</v>
      </c>
      <c r="G2551" s="4">
        <v>44690</v>
      </c>
      <c r="J2551" s="1">
        <v>4300</v>
      </c>
    </row>
    <row r="2552" spans="2:18">
      <c r="C2552" s="2" t="s">
        <v>4</v>
      </c>
      <c r="D2552" s="2" t="s">
        <v>771</v>
      </c>
      <c r="E2552" s="3">
        <v>4.5999999999999996</v>
      </c>
      <c r="F2552" s="3">
        <v>0.6</v>
      </c>
      <c r="G2552" s="4">
        <v>44530</v>
      </c>
    </row>
    <row r="2553" spans="2:18">
      <c r="C2553" s="2" t="s">
        <v>18</v>
      </c>
      <c r="D2553" s="2" t="s">
        <v>424</v>
      </c>
      <c r="E2553" s="3">
        <v>75</v>
      </c>
      <c r="F2553" s="3">
        <v>7</v>
      </c>
      <c r="G2553" s="4">
        <v>45020</v>
      </c>
    </row>
    <row r="2554" spans="2:18">
      <c r="G2554" s="4"/>
    </row>
    <row r="2555" spans="2:18" s="12" customFormat="1">
      <c r="B2555" s="12" t="s">
        <v>273</v>
      </c>
      <c r="C2555" s="13" t="s">
        <v>969</v>
      </c>
      <c r="D2555" s="13" t="s">
        <v>968</v>
      </c>
      <c r="E2555" s="15"/>
      <c r="F2555" s="15">
        <f>SUM(F2556:F2559)</f>
        <v>16.220238095238095</v>
      </c>
      <c r="G2555" s="14">
        <f>G2556</f>
        <v>44622</v>
      </c>
      <c r="M2555" s="13"/>
      <c r="N2555" s="13"/>
      <c r="O2555" s="13"/>
      <c r="P2555" s="13"/>
      <c r="Q2555" s="13"/>
      <c r="R2555" s="13"/>
    </row>
    <row r="2556" spans="2:18">
      <c r="C2556" s="2" t="s">
        <v>8</v>
      </c>
      <c r="D2556" s="2" t="s">
        <v>258</v>
      </c>
      <c r="E2556" s="3">
        <v>111</v>
      </c>
      <c r="F2556" s="3">
        <f>97/14</f>
        <v>6.9285714285714288</v>
      </c>
      <c r="G2556" s="4">
        <v>44622</v>
      </c>
    </row>
    <row r="2557" spans="2:18">
      <c r="C2557" s="2" t="s">
        <v>18</v>
      </c>
      <c r="D2557" s="2" t="s">
        <v>258</v>
      </c>
      <c r="E2557" s="3">
        <v>55</v>
      </c>
      <c r="F2557" s="3">
        <v>5.625</v>
      </c>
      <c r="G2557" s="4">
        <v>44314</v>
      </c>
    </row>
    <row r="2558" spans="2:18">
      <c r="C2558" s="2" t="s">
        <v>7</v>
      </c>
      <c r="D2558" s="2" t="s">
        <v>258</v>
      </c>
      <c r="E2558" s="3">
        <v>16</v>
      </c>
      <c r="F2558" s="3">
        <v>2</v>
      </c>
      <c r="G2558" s="4">
        <v>44009</v>
      </c>
    </row>
    <row r="2559" spans="2:18">
      <c r="C2559" s="2" t="s">
        <v>5</v>
      </c>
      <c r="D2559" s="2" t="s">
        <v>258</v>
      </c>
      <c r="E2559" s="3">
        <v>14</v>
      </c>
      <c r="F2559" s="3">
        <v>1.6666666666666667</v>
      </c>
      <c r="G2559" s="4">
        <v>43690</v>
      </c>
    </row>
    <row r="2560" spans="2:18">
      <c r="G2560" s="4"/>
    </row>
    <row r="2561" spans="2:18" s="12" customFormat="1">
      <c r="B2561" s="12" t="s">
        <v>6272</v>
      </c>
      <c r="C2561" s="13" t="s">
        <v>969</v>
      </c>
      <c r="D2561" s="13" t="s">
        <v>968</v>
      </c>
      <c r="E2561" s="15"/>
      <c r="F2561" s="15">
        <f>SUM(F2562:F2564)</f>
        <v>16.233333333333334</v>
      </c>
      <c r="G2561" s="14">
        <f>G2562</f>
        <v>44476</v>
      </c>
      <c r="M2561" s="13"/>
      <c r="N2561" s="13"/>
      <c r="O2561" s="13"/>
      <c r="P2561" s="13"/>
      <c r="Q2561" s="13"/>
      <c r="R2561" s="13"/>
    </row>
    <row r="2562" spans="2:18">
      <c r="B2562" s="134"/>
      <c r="C2562" s="140" t="s">
        <v>7</v>
      </c>
      <c r="D2562" s="140" t="s">
        <v>6271</v>
      </c>
      <c r="E2562" s="3">
        <v>52.2</v>
      </c>
      <c r="F2562" s="3">
        <f>32.2/3</f>
        <v>10.733333333333334</v>
      </c>
      <c r="G2562" s="4">
        <v>44476</v>
      </c>
    </row>
    <row r="2563" spans="2:18">
      <c r="C2563" s="140" t="s">
        <v>5</v>
      </c>
      <c r="D2563" s="140" t="s">
        <v>6271</v>
      </c>
      <c r="E2563" s="3">
        <v>12</v>
      </c>
      <c r="F2563" s="3">
        <v>4</v>
      </c>
      <c r="G2563" s="4">
        <v>44125</v>
      </c>
    </row>
    <row r="2564" spans="2:18">
      <c r="C2564" s="140" t="s">
        <v>4</v>
      </c>
      <c r="D2564" s="140" t="s">
        <v>6271</v>
      </c>
      <c r="E2564" s="3">
        <v>3.5</v>
      </c>
      <c r="F2564" s="3">
        <v>1.5</v>
      </c>
      <c r="G2564" s="4">
        <v>43831</v>
      </c>
    </row>
    <row r="2565" spans="2:18">
      <c r="C2565" s="140"/>
      <c r="D2565" s="140"/>
      <c r="G2565" s="4"/>
    </row>
    <row r="2566" spans="2:18" s="12" customFormat="1">
      <c r="B2566" s="12" t="s">
        <v>4980</v>
      </c>
      <c r="C2566" s="13" t="s">
        <v>969</v>
      </c>
      <c r="D2566" s="13" t="s">
        <v>968</v>
      </c>
      <c r="E2566" s="15"/>
      <c r="F2566" s="15">
        <f>SUM(F2567:F2568)</f>
        <v>15.714285714285714</v>
      </c>
      <c r="G2566" s="14">
        <f>G2567</f>
        <v>44507</v>
      </c>
      <c r="M2566" s="13"/>
      <c r="N2566" s="13"/>
      <c r="O2566" s="13"/>
      <c r="P2566" s="13"/>
      <c r="Q2566" s="13"/>
      <c r="R2566" s="13"/>
    </row>
    <row r="2567" spans="2:18">
      <c r="B2567" s="54"/>
      <c r="C2567" s="55" t="s">
        <v>9</v>
      </c>
      <c r="D2567" s="55" t="s">
        <v>2112</v>
      </c>
      <c r="E2567" s="3">
        <v>100</v>
      </c>
      <c r="F2567" s="3">
        <v>10.714285714285714</v>
      </c>
      <c r="G2567" s="4">
        <v>44507</v>
      </c>
      <c r="I2567" s="1">
        <v>1600</v>
      </c>
      <c r="J2567" s="1">
        <v>1600</v>
      </c>
    </row>
    <row r="2568" spans="2:18">
      <c r="B2568" s="54"/>
      <c r="C2568" s="55" t="s">
        <v>18</v>
      </c>
      <c r="D2568" s="55" t="s">
        <v>2112</v>
      </c>
      <c r="E2568" s="3">
        <v>40</v>
      </c>
      <c r="F2568" s="3">
        <f>30/6</f>
        <v>5</v>
      </c>
      <c r="G2568" s="4">
        <v>43069</v>
      </c>
      <c r="J2568" s="1">
        <v>1600</v>
      </c>
    </row>
    <row r="2569" spans="2:18">
      <c r="B2569" s="54"/>
      <c r="C2569" s="55"/>
      <c r="D2569" s="55"/>
      <c r="G2569" s="4"/>
    </row>
    <row r="2570" spans="2:18" s="12" customFormat="1">
      <c r="B2570" s="12" t="s">
        <v>104</v>
      </c>
      <c r="C2570" s="13" t="s">
        <v>969</v>
      </c>
      <c r="D2570" s="13" t="s">
        <v>968</v>
      </c>
      <c r="E2570" s="15"/>
      <c r="F2570" s="15">
        <f>SUM(F2571:F2572)</f>
        <v>15.857142857142858</v>
      </c>
      <c r="G2570" s="14">
        <f>G2571</f>
        <v>43178</v>
      </c>
      <c r="M2570" s="13"/>
      <c r="N2570" s="13"/>
      <c r="O2570" s="13"/>
      <c r="P2570" s="13"/>
      <c r="Q2570" s="13"/>
      <c r="R2570" s="13"/>
    </row>
    <row r="2571" spans="2:18">
      <c r="C2571" s="2" t="s">
        <v>8</v>
      </c>
      <c r="D2571" s="2" t="s">
        <v>102</v>
      </c>
      <c r="E2571" s="3">
        <v>30</v>
      </c>
      <c r="F2571" s="3">
        <f>20/7</f>
        <v>2.8571428571428572</v>
      </c>
      <c r="G2571" s="4">
        <v>43178</v>
      </c>
    </row>
    <row r="2572" spans="2:18">
      <c r="C2572" s="2" t="s">
        <v>8</v>
      </c>
      <c r="D2572" s="2" t="s">
        <v>102</v>
      </c>
      <c r="E2572" s="3">
        <v>40</v>
      </c>
      <c r="F2572" s="3">
        <v>13</v>
      </c>
      <c r="G2572" s="4">
        <v>42493</v>
      </c>
    </row>
    <row r="2573" spans="2:18">
      <c r="G2573" s="4"/>
    </row>
    <row r="2574" spans="2:18" s="12" customFormat="1">
      <c r="B2574" s="12" t="s">
        <v>6682</v>
      </c>
      <c r="C2574" s="13" t="s">
        <v>969</v>
      </c>
      <c r="D2574" s="13" t="s">
        <v>968</v>
      </c>
      <c r="E2574" s="15"/>
      <c r="F2574" s="15">
        <f>SUM(F2575:F2576)</f>
        <v>15.857142857142858</v>
      </c>
      <c r="G2574" s="14">
        <f>G2575</f>
        <v>43178</v>
      </c>
      <c r="M2574" s="13"/>
      <c r="N2574" s="13"/>
      <c r="O2574" s="13"/>
      <c r="P2574" s="13"/>
      <c r="Q2574" s="13"/>
      <c r="R2574" s="13"/>
    </row>
    <row r="2575" spans="2:18">
      <c r="C2575" s="2" t="s">
        <v>8</v>
      </c>
      <c r="D2575" s="2" t="s">
        <v>102</v>
      </c>
      <c r="E2575" s="3">
        <v>30</v>
      </c>
      <c r="F2575" s="3">
        <f>20/7</f>
        <v>2.8571428571428572</v>
      </c>
      <c r="G2575" s="4">
        <v>43178</v>
      </c>
    </row>
    <row r="2576" spans="2:18">
      <c r="C2576" s="2" t="s">
        <v>8</v>
      </c>
      <c r="D2576" s="2" t="s">
        <v>102</v>
      </c>
      <c r="E2576" s="3">
        <v>40</v>
      </c>
      <c r="F2576" s="3">
        <v>13</v>
      </c>
      <c r="G2576" s="4">
        <v>42493</v>
      </c>
    </row>
    <row r="2577" spans="2:18">
      <c r="G2577" s="4"/>
    </row>
    <row r="2578" spans="2:18" s="12" customFormat="1">
      <c r="B2578" s="12" t="s">
        <v>434</v>
      </c>
      <c r="C2578" s="13" t="s">
        <v>969</v>
      </c>
      <c r="D2578" s="13" t="s">
        <v>968</v>
      </c>
      <c r="E2578" s="15"/>
      <c r="F2578" s="15">
        <f>SUM(F2579:F2580)</f>
        <v>16</v>
      </c>
      <c r="G2578" s="14">
        <f>G2579</f>
        <v>43018</v>
      </c>
    </row>
    <row r="2579" spans="2:18">
      <c r="C2579" s="2" t="s">
        <v>7</v>
      </c>
      <c r="D2579" s="2" t="s">
        <v>431</v>
      </c>
      <c r="E2579" s="3">
        <v>93</v>
      </c>
      <c r="F2579" s="3">
        <v>10</v>
      </c>
      <c r="G2579" s="4">
        <v>43018</v>
      </c>
      <c r="M2579" s="1"/>
      <c r="N2579" s="1"/>
      <c r="O2579" s="1"/>
      <c r="P2579" s="1"/>
      <c r="Q2579" s="1"/>
      <c r="R2579" s="1"/>
    </row>
    <row r="2580" spans="2:18">
      <c r="C2580" s="2" t="s">
        <v>5</v>
      </c>
      <c r="D2580" s="2" t="s">
        <v>431</v>
      </c>
      <c r="E2580" s="3">
        <v>15</v>
      </c>
      <c r="F2580" s="3">
        <v>6</v>
      </c>
      <c r="G2580" s="4">
        <v>42690</v>
      </c>
      <c r="M2580" s="1"/>
      <c r="N2580" s="1"/>
      <c r="O2580" s="1"/>
      <c r="P2580" s="1"/>
      <c r="Q2580" s="1"/>
      <c r="R2580" s="1"/>
    </row>
    <row r="2581" spans="2:18">
      <c r="G2581" s="4"/>
      <c r="M2581" s="1"/>
      <c r="N2581" s="1"/>
      <c r="O2581" s="1"/>
      <c r="P2581" s="1"/>
      <c r="Q2581" s="1"/>
      <c r="R2581" s="1"/>
    </row>
    <row r="2582" spans="2:18" s="12" customFormat="1">
      <c r="B2582" s="12" t="s">
        <v>327</v>
      </c>
      <c r="C2582" s="13" t="s">
        <v>969</v>
      </c>
      <c r="D2582" s="13" t="s">
        <v>968</v>
      </c>
      <c r="E2582" s="15"/>
      <c r="F2582" s="15">
        <f>SUM(F2583:F2585)</f>
        <v>15.75</v>
      </c>
      <c r="G2582" s="14">
        <f>G2585</f>
        <v>44867</v>
      </c>
    </row>
    <row r="2583" spans="2:18">
      <c r="C2583" s="2" t="s">
        <v>5</v>
      </c>
      <c r="D2583" s="2" t="s">
        <v>318</v>
      </c>
      <c r="E2583" s="3">
        <v>16</v>
      </c>
      <c r="F2583" s="3">
        <v>2</v>
      </c>
      <c r="G2583" s="4">
        <v>43783</v>
      </c>
      <c r="L2583" s="1">
        <f>+F2583*5</f>
        <v>10</v>
      </c>
      <c r="M2583" s="1"/>
      <c r="N2583" s="1"/>
      <c r="O2583" s="1"/>
      <c r="P2583" s="1"/>
      <c r="Q2583" s="1"/>
      <c r="R2583" s="1"/>
    </row>
    <row r="2584" spans="2:18">
      <c r="C2584" s="2" t="s">
        <v>7</v>
      </c>
      <c r="D2584" s="2" t="s">
        <v>318</v>
      </c>
      <c r="E2584" s="3">
        <v>55</v>
      </c>
      <c r="F2584" s="3">
        <v>5</v>
      </c>
      <c r="G2584" s="4">
        <v>44200</v>
      </c>
      <c r="M2584" s="1"/>
      <c r="N2584" s="1"/>
      <c r="O2584" s="1"/>
      <c r="P2584" s="1"/>
      <c r="Q2584" s="1"/>
      <c r="R2584" s="1"/>
    </row>
    <row r="2585" spans="2:18">
      <c r="C2585" s="2" t="s">
        <v>18</v>
      </c>
      <c r="D2585" s="2" t="s">
        <v>318</v>
      </c>
      <c r="E2585" s="3">
        <v>91</v>
      </c>
      <c r="F2585" s="3">
        <f>70/8</f>
        <v>8.75</v>
      </c>
      <c r="G2585" s="4">
        <v>44867</v>
      </c>
      <c r="M2585" s="1"/>
      <c r="N2585" s="1"/>
      <c r="O2585" s="1"/>
      <c r="P2585" s="1"/>
      <c r="Q2585" s="1"/>
      <c r="R2585" s="1"/>
    </row>
    <row r="2586" spans="2:18">
      <c r="G2586" s="4"/>
      <c r="M2586" s="1"/>
      <c r="N2586" s="1"/>
      <c r="O2586" s="1"/>
      <c r="P2586" s="1"/>
      <c r="Q2586" s="1"/>
      <c r="R2586" s="1"/>
    </row>
    <row r="2587" spans="2:18" s="12" customFormat="1">
      <c r="B2587" s="12" t="s">
        <v>998</v>
      </c>
      <c r="C2587" s="13" t="s">
        <v>969</v>
      </c>
      <c r="D2587" s="13" t="s">
        <v>968</v>
      </c>
      <c r="E2587" s="15"/>
      <c r="F2587" s="15">
        <f>SUM(F2588:F2590)</f>
        <v>15.5</v>
      </c>
      <c r="G2587" s="14">
        <f>G2589</f>
        <v>44602</v>
      </c>
      <c r="M2587" s="13"/>
      <c r="N2587" s="13"/>
      <c r="O2587" s="13"/>
      <c r="P2587" s="13"/>
      <c r="Q2587" s="13"/>
      <c r="R2587" s="13"/>
    </row>
    <row r="2588" spans="2:18">
      <c r="C2588" s="2" t="s">
        <v>5</v>
      </c>
      <c r="D2588" s="2" t="s">
        <v>693</v>
      </c>
      <c r="E2588" s="3">
        <v>18.5</v>
      </c>
      <c r="F2588" s="3">
        <v>8.5</v>
      </c>
      <c r="G2588" s="4">
        <v>44242</v>
      </c>
    </row>
    <row r="2589" spans="2:18">
      <c r="C2589" s="2" t="s">
        <v>5</v>
      </c>
      <c r="D2589" s="2" t="s">
        <v>825</v>
      </c>
      <c r="E2589" s="3">
        <v>25</v>
      </c>
      <c r="F2589" s="3">
        <v>2</v>
      </c>
      <c r="G2589" s="4">
        <v>44602</v>
      </c>
    </row>
    <row r="2590" spans="2:18">
      <c r="C2590" s="153" t="s">
        <v>7</v>
      </c>
      <c r="D2590" s="153" t="s">
        <v>2035</v>
      </c>
      <c r="E2590" s="3">
        <v>21</v>
      </c>
      <c r="F2590" s="3">
        <v>5</v>
      </c>
      <c r="G2590" s="4">
        <v>44518</v>
      </c>
    </row>
    <row r="2591" spans="2:18">
      <c r="G2591" s="4"/>
    </row>
    <row r="2592" spans="2:18" s="12" customFormat="1">
      <c r="B2592" s="12" t="s">
        <v>479</v>
      </c>
      <c r="C2592" s="13" t="s">
        <v>969</v>
      </c>
      <c r="D2592" s="13" t="s">
        <v>968</v>
      </c>
      <c r="E2592" s="15"/>
      <c r="F2592" s="15">
        <f>SUM(F2593:F2596)</f>
        <v>16.375</v>
      </c>
      <c r="G2592" s="14">
        <f>G2594</f>
        <v>45008</v>
      </c>
    </row>
    <row r="2593" spans="2:18">
      <c r="C2593" s="2" t="s">
        <v>7</v>
      </c>
      <c r="D2593" s="2" t="s">
        <v>475</v>
      </c>
      <c r="E2593" s="3">
        <v>90</v>
      </c>
      <c r="F2593" s="3">
        <v>6</v>
      </c>
      <c r="G2593" s="4">
        <v>44398</v>
      </c>
      <c r="M2593" s="1"/>
      <c r="N2593" s="1"/>
      <c r="O2593" s="1"/>
      <c r="P2593" s="1"/>
      <c r="Q2593" s="1"/>
      <c r="R2593" s="1"/>
    </row>
    <row r="2594" spans="2:18">
      <c r="C2594" s="2" t="s">
        <v>7</v>
      </c>
      <c r="D2594" s="2" t="s">
        <v>128</v>
      </c>
      <c r="E2594" s="3">
        <v>23.5</v>
      </c>
      <c r="F2594" s="3">
        <f>13.5/4</f>
        <v>3.375</v>
      </c>
      <c r="G2594" s="4">
        <v>45008</v>
      </c>
      <c r="M2594" s="1"/>
      <c r="N2594" s="1"/>
      <c r="O2594" s="1"/>
      <c r="P2594" s="1"/>
      <c r="Q2594" s="1"/>
      <c r="R2594" s="1"/>
    </row>
    <row r="2595" spans="2:18">
      <c r="C2595" s="2" t="s">
        <v>5</v>
      </c>
      <c r="D2595" s="2" t="s">
        <v>128</v>
      </c>
      <c r="E2595" s="3">
        <v>16</v>
      </c>
      <c r="F2595" s="3">
        <v>5</v>
      </c>
      <c r="G2595" s="4">
        <v>44434</v>
      </c>
      <c r="M2595" s="1"/>
      <c r="N2595" s="1"/>
      <c r="O2595" s="1"/>
      <c r="P2595" s="1"/>
      <c r="Q2595" s="1"/>
      <c r="R2595" s="1"/>
    </row>
    <row r="2596" spans="2:18">
      <c r="C2596" s="2" t="s">
        <v>4</v>
      </c>
      <c r="D2596" s="2" t="s">
        <v>128</v>
      </c>
      <c r="E2596" s="3">
        <v>5</v>
      </c>
      <c r="F2596" s="3">
        <v>2</v>
      </c>
      <c r="G2596" s="4">
        <v>44176</v>
      </c>
      <c r="M2596" s="1"/>
      <c r="N2596" s="1"/>
      <c r="O2596" s="1"/>
      <c r="P2596" s="1"/>
      <c r="Q2596" s="1"/>
      <c r="R2596" s="1"/>
    </row>
    <row r="2597" spans="2:18">
      <c r="G2597" s="4"/>
      <c r="M2597" s="1"/>
      <c r="N2597" s="1"/>
      <c r="O2597" s="1"/>
      <c r="P2597" s="1"/>
      <c r="Q2597" s="1"/>
      <c r="R2597" s="1"/>
    </row>
    <row r="2598" spans="2:18" s="12" customFormat="1">
      <c r="B2598" s="12" t="s">
        <v>272</v>
      </c>
      <c r="C2598" s="13" t="s">
        <v>969</v>
      </c>
      <c r="D2598" s="13" t="s">
        <v>968</v>
      </c>
      <c r="E2598" s="15"/>
      <c r="F2598" s="15">
        <f>SUM(F2599:F2602)</f>
        <v>16.220238095238095</v>
      </c>
      <c r="G2598" s="14">
        <f>G2599</f>
        <v>44622</v>
      </c>
      <c r="M2598" s="13"/>
      <c r="N2598" s="13"/>
      <c r="O2598" s="13"/>
      <c r="P2598" s="13"/>
      <c r="Q2598" s="13"/>
      <c r="R2598" s="13"/>
    </row>
    <row r="2599" spans="2:18">
      <c r="C2599" s="2" t="s">
        <v>8</v>
      </c>
      <c r="D2599" s="2" t="s">
        <v>258</v>
      </c>
      <c r="E2599" s="3">
        <v>111</v>
      </c>
      <c r="F2599" s="3">
        <f>97/14</f>
        <v>6.9285714285714288</v>
      </c>
      <c r="G2599" s="4">
        <v>44622</v>
      </c>
    </row>
    <row r="2600" spans="2:18">
      <c r="C2600" s="2" t="s">
        <v>18</v>
      </c>
      <c r="D2600" s="2" t="s">
        <v>258</v>
      </c>
      <c r="E2600" s="3">
        <v>55</v>
      </c>
      <c r="F2600" s="3">
        <v>5.625</v>
      </c>
      <c r="G2600" s="4">
        <v>44314</v>
      </c>
    </row>
    <row r="2601" spans="2:18">
      <c r="C2601" s="2" t="s">
        <v>7</v>
      </c>
      <c r="D2601" s="2" t="s">
        <v>258</v>
      </c>
      <c r="E2601" s="3">
        <v>16</v>
      </c>
      <c r="F2601" s="3">
        <v>2</v>
      </c>
      <c r="G2601" s="4">
        <v>44009</v>
      </c>
    </row>
    <row r="2602" spans="2:18">
      <c r="C2602" s="2" t="s">
        <v>5</v>
      </c>
      <c r="D2602" s="2" t="s">
        <v>258</v>
      </c>
      <c r="E2602" s="3">
        <v>14</v>
      </c>
      <c r="F2602" s="3">
        <v>1.6666666666666667</v>
      </c>
      <c r="G2602" s="4">
        <v>43690</v>
      </c>
    </row>
    <row r="2603" spans="2:18">
      <c r="G2603" s="4"/>
    </row>
    <row r="2604" spans="2:18" s="12" customFormat="1">
      <c r="B2604" s="12" t="s">
        <v>396</v>
      </c>
      <c r="C2604" s="13" t="s">
        <v>969</v>
      </c>
      <c r="D2604" s="13" t="s">
        <v>968</v>
      </c>
      <c r="E2604" s="15"/>
      <c r="F2604" s="15">
        <f>SUM(F2605:F2607)</f>
        <v>15.5</v>
      </c>
      <c r="G2604" s="14">
        <f>G2605</f>
        <v>44286</v>
      </c>
    </row>
    <row r="2605" spans="2:18">
      <c r="C2605" s="2" t="s">
        <v>8</v>
      </c>
      <c r="D2605" s="2" t="s">
        <v>386</v>
      </c>
      <c r="E2605" s="3">
        <v>140</v>
      </c>
      <c r="F2605" s="3">
        <v>10</v>
      </c>
      <c r="G2605" s="4">
        <v>44286</v>
      </c>
      <c r="M2605" s="1"/>
      <c r="N2605" s="1"/>
      <c r="O2605" s="1"/>
      <c r="P2605" s="1"/>
      <c r="Q2605" s="1"/>
      <c r="R2605" s="1"/>
    </row>
    <row r="2606" spans="2:18">
      <c r="C2606" s="2" t="s">
        <v>5</v>
      </c>
      <c r="D2606" s="2" t="s">
        <v>154</v>
      </c>
      <c r="E2606" s="3">
        <v>14</v>
      </c>
      <c r="F2606" s="3">
        <v>4</v>
      </c>
      <c r="G2606" s="4">
        <v>42668</v>
      </c>
      <c r="M2606" s="1"/>
      <c r="N2606" s="1"/>
      <c r="O2606" s="1"/>
      <c r="P2606" s="1"/>
      <c r="Q2606" s="1"/>
      <c r="R2606" s="1"/>
    </row>
    <row r="2607" spans="2:18">
      <c r="C2607" s="2" t="s">
        <v>4</v>
      </c>
      <c r="D2607" s="2" t="s">
        <v>154</v>
      </c>
      <c r="E2607" s="3">
        <v>4</v>
      </c>
      <c r="F2607" s="3">
        <v>1.5</v>
      </c>
      <c r="G2607" s="4">
        <v>42023</v>
      </c>
      <c r="M2607" s="1"/>
      <c r="N2607" s="1"/>
      <c r="O2607" s="1"/>
      <c r="P2607" s="1"/>
      <c r="Q2607" s="1"/>
      <c r="R2607" s="1"/>
    </row>
    <row r="2608" spans="2:18">
      <c r="G2608" s="4"/>
      <c r="M2608" s="1"/>
      <c r="N2608" s="1"/>
      <c r="O2608" s="1"/>
      <c r="P2608" s="1"/>
      <c r="Q2608" s="1"/>
      <c r="R2608" s="1"/>
    </row>
    <row r="2609" spans="2:18" s="12" customFormat="1">
      <c r="B2609" s="12" t="s">
        <v>706</v>
      </c>
      <c r="C2609" s="13" t="s">
        <v>969</v>
      </c>
      <c r="D2609" s="13" t="s">
        <v>968</v>
      </c>
      <c r="E2609" s="15"/>
      <c r="F2609" s="15">
        <f>SUM(F2610:F2612)</f>
        <v>15.625</v>
      </c>
      <c r="G2609" s="14">
        <f>G2610</f>
        <v>45090</v>
      </c>
      <c r="M2609" s="13"/>
      <c r="N2609" s="13"/>
      <c r="O2609" s="13"/>
      <c r="P2609" s="13"/>
      <c r="Q2609" s="13"/>
      <c r="R2609" s="13"/>
    </row>
    <row r="2610" spans="2:18">
      <c r="C2610" s="2" t="s">
        <v>4</v>
      </c>
      <c r="D2610" s="2" t="s">
        <v>705</v>
      </c>
      <c r="E2610" s="3">
        <v>113</v>
      </c>
      <c r="F2610" s="3">
        <v>8</v>
      </c>
      <c r="G2610" s="4">
        <v>45090</v>
      </c>
    </row>
    <row r="2611" spans="2:18">
      <c r="C2611" s="2" t="s">
        <v>5</v>
      </c>
      <c r="D2611" s="2" t="s">
        <v>465</v>
      </c>
      <c r="E2611" s="3">
        <v>15.5</v>
      </c>
      <c r="F2611" s="3">
        <v>1.625</v>
      </c>
      <c r="G2611" s="4">
        <v>44727</v>
      </c>
    </row>
    <row r="2612" spans="2:18">
      <c r="C2612" s="2" t="s">
        <v>5</v>
      </c>
      <c r="D2612" s="2" t="s">
        <v>465</v>
      </c>
      <c r="E2612" s="3">
        <v>12</v>
      </c>
      <c r="F2612" s="3">
        <v>6</v>
      </c>
      <c r="G2612" s="4">
        <v>43948</v>
      </c>
    </row>
    <row r="2613" spans="2:18">
      <c r="G2613" s="4"/>
    </row>
    <row r="2614" spans="2:18" s="12" customFormat="1">
      <c r="B2614" s="12" t="s">
        <v>5421</v>
      </c>
      <c r="C2614" s="13" t="s">
        <v>969</v>
      </c>
      <c r="D2614" s="13" t="s">
        <v>968</v>
      </c>
      <c r="E2614" s="15"/>
      <c r="F2614" s="15">
        <f>SUM(F2615:F2616)</f>
        <v>15.75</v>
      </c>
      <c r="G2614" s="14">
        <f>G2615</f>
        <v>44637</v>
      </c>
      <c r="M2614" s="13"/>
      <c r="N2614" s="13"/>
      <c r="O2614" s="13"/>
      <c r="P2614" s="13"/>
      <c r="Q2614" s="13"/>
      <c r="R2614" s="13"/>
    </row>
    <row r="2615" spans="2:18">
      <c r="B2615" s="91"/>
      <c r="C2615" s="92" t="s">
        <v>18</v>
      </c>
      <c r="D2615" s="92" t="s">
        <v>2090</v>
      </c>
      <c r="E2615" s="3">
        <v>80</v>
      </c>
      <c r="F2615" s="3">
        <f>7</f>
        <v>7</v>
      </c>
      <c r="G2615" s="4">
        <v>44637</v>
      </c>
      <c r="I2615" s="1">
        <v>1500</v>
      </c>
      <c r="J2615" s="1">
        <v>1500</v>
      </c>
    </row>
    <row r="2616" spans="2:18">
      <c r="B2616" s="91"/>
      <c r="C2616" s="92" t="s">
        <v>7</v>
      </c>
      <c r="D2616" s="92" t="s">
        <v>2090</v>
      </c>
      <c r="E2616" s="3">
        <v>50</v>
      </c>
      <c r="F2616" s="3">
        <f>35/4</f>
        <v>8.75</v>
      </c>
      <c r="G2616" s="4">
        <v>44286</v>
      </c>
      <c r="J2616" s="1">
        <v>1500</v>
      </c>
    </row>
    <row r="2617" spans="2:18">
      <c r="B2617" s="91"/>
      <c r="C2617" s="92"/>
      <c r="D2617" s="92"/>
      <c r="G2617" s="4"/>
    </row>
    <row r="2618" spans="2:18" s="12" customFormat="1">
      <c r="B2618" s="12" t="s">
        <v>608</v>
      </c>
      <c r="C2618" s="13" t="s">
        <v>969</v>
      </c>
      <c r="D2618" s="13" t="s">
        <v>968</v>
      </c>
      <c r="E2618" s="15"/>
      <c r="F2618" s="15">
        <f>SUM(F2619:F2620)</f>
        <v>16</v>
      </c>
      <c r="G2618" s="14">
        <f>G2619</f>
        <v>43888</v>
      </c>
    </row>
    <row r="2619" spans="2:18">
      <c r="C2619" s="2" t="s">
        <v>18</v>
      </c>
      <c r="D2619" s="2" t="s">
        <v>606</v>
      </c>
      <c r="E2619" s="3">
        <v>48</v>
      </c>
      <c r="F2619" s="3">
        <v>4</v>
      </c>
      <c r="G2619" s="4">
        <v>43888</v>
      </c>
      <c r="M2619" s="1"/>
      <c r="N2619" s="1"/>
      <c r="O2619" s="1"/>
      <c r="P2619" s="1"/>
      <c r="Q2619" s="1"/>
      <c r="R2619" s="1"/>
    </row>
    <row r="2620" spans="2:18">
      <c r="C2620" s="2" t="s">
        <v>18</v>
      </c>
      <c r="D2620" s="2" t="s">
        <v>606</v>
      </c>
      <c r="E2620" s="3">
        <v>12</v>
      </c>
      <c r="F2620" s="3">
        <v>12</v>
      </c>
      <c r="G2620" s="4">
        <v>43648</v>
      </c>
      <c r="M2620" s="1"/>
      <c r="N2620" s="1"/>
      <c r="O2620" s="1"/>
      <c r="P2620" s="1"/>
      <c r="Q2620" s="1"/>
      <c r="R2620" s="1"/>
    </row>
    <row r="2621" spans="2:18">
      <c r="G2621" s="4"/>
      <c r="M2621" s="1"/>
      <c r="N2621" s="1"/>
      <c r="O2621" s="1"/>
      <c r="P2621" s="1"/>
      <c r="Q2621" s="1"/>
      <c r="R2621" s="1"/>
    </row>
    <row r="2622" spans="2:18" s="12" customFormat="1">
      <c r="B2622" s="12" t="s">
        <v>1018</v>
      </c>
      <c r="C2622" s="13" t="s">
        <v>969</v>
      </c>
      <c r="D2622" s="13" t="s">
        <v>968</v>
      </c>
      <c r="E2622" s="15"/>
      <c r="F2622" s="15">
        <f>SUM(F2623:F2624)</f>
        <v>15.5</v>
      </c>
      <c r="G2622" s="14">
        <f>G2624</f>
        <v>44510</v>
      </c>
      <c r="M2622" s="13"/>
      <c r="N2622" s="13"/>
      <c r="O2622" s="13"/>
      <c r="P2622" s="13"/>
      <c r="Q2622" s="13"/>
      <c r="R2622" s="13"/>
    </row>
    <row r="2623" spans="2:18">
      <c r="C2623" s="2" t="s">
        <v>5</v>
      </c>
      <c r="D2623" s="2" t="s">
        <v>693</v>
      </c>
      <c r="E2623" s="3">
        <v>18.5</v>
      </c>
      <c r="F2623" s="3">
        <v>8.5</v>
      </c>
      <c r="G2623" s="4">
        <v>44242</v>
      </c>
    </row>
    <row r="2624" spans="2:18">
      <c r="C2624" s="2" t="s">
        <v>7</v>
      </c>
      <c r="D2624" s="2" t="s">
        <v>871</v>
      </c>
      <c r="E2624" s="3">
        <v>30</v>
      </c>
      <c r="F2624" s="3">
        <v>7</v>
      </c>
      <c r="G2624" s="4">
        <v>44510</v>
      </c>
    </row>
    <row r="2625" spans="2:18">
      <c r="G2625" s="4"/>
    </row>
    <row r="2626" spans="2:18" s="12" customFormat="1">
      <c r="B2626" s="12" t="s">
        <v>1015</v>
      </c>
      <c r="C2626" s="13" t="s">
        <v>969</v>
      </c>
      <c r="D2626" s="13" t="s">
        <v>968</v>
      </c>
      <c r="E2626" s="15"/>
      <c r="F2626" s="15">
        <f>SUM(F2627:F2629)</f>
        <v>15.85</v>
      </c>
      <c r="G2626" s="14">
        <f>G2629</f>
        <v>44650</v>
      </c>
    </row>
    <row r="2627" spans="2:18">
      <c r="C2627" s="2" t="s">
        <v>4</v>
      </c>
      <c r="D2627" s="2" t="s">
        <v>676</v>
      </c>
      <c r="E2627" s="3">
        <v>4.5</v>
      </c>
      <c r="F2627" s="3">
        <v>0.5</v>
      </c>
      <c r="G2627" s="4">
        <v>44362</v>
      </c>
      <c r="M2627" s="1"/>
      <c r="N2627" s="1"/>
      <c r="O2627" s="1"/>
      <c r="P2627" s="1"/>
      <c r="Q2627" s="1"/>
      <c r="R2627" s="1"/>
    </row>
    <row r="2628" spans="2:18">
      <c r="C2628" s="2" t="s">
        <v>4</v>
      </c>
      <c r="D2628" s="2" t="s">
        <v>347</v>
      </c>
      <c r="E2628" s="3">
        <v>3.5</v>
      </c>
      <c r="F2628" s="3">
        <f>E2628/10</f>
        <v>0.35</v>
      </c>
      <c r="G2628" s="4">
        <v>43046</v>
      </c>
      <c r="L2628" s="1">
        <v>0</v>
      </c>
      <c r="M2628" s="1"/>
      <c r="N2628" s="1"/>
      <c r="O2628" s="1"/>
      <c r="P2628" s="1"/>
      <c r="Q2628" s="1"/>
      <c r="R2628" s="1"/>
    </row>
    <row r="2629" spans="2:18">
      <c r="C2629" s="2" t="s">
        <v>18</v>
      </c>
      <c r="D2629" s="2" t="s">
        <v>57</v>
      </c>
      <c r="E2629" s="3">
        <v>100</v>
      </c>
      <c r="F2629" s="3">
        <v>15</v>
      </c>
      <c r="G2629" s="4">
        <v>44650</v>
      </c>
      <c r="M2629" s="1"/>
      <c r="N2629" s="1"/>
      <c r="O2629" s="1"/>
      <c r="P2629" s="1"/>
      <c r="Q2629" s="1"/>
      <c r="R2629" s="1"/>
    </row>
    <row r="2630" spans="2:18">
      <c r="G2630" s="4"/>
      <c r="M2630" s="1"/>
      <c r="N2630" s="1"/>
      <c r="O2630" s="1"/>
      <c r="P2630" s="1"/>
      <c r="Q2630" s="1"/>
      <c r="R2630" s="1"/>
    </row>
    <row r="2631" spans="2:18" s="12" customFormat="1">
      <c r="B2631" s="12" t="s">
        <v>617</v>
      </c>
      <c r="C2631" s="13" t="s">
        <v>969</v>
      </c>
      <c r="D2631" s="13" t="s">
        <v>968</v>
      </c>
      <c r="E2631" s="15"/>
      <c r="F2631" s="15">
        <f>SUM(F2632:F2637)</f>
        <v>21.705555555555556</v>
      </c>
      <c r="G2631" s="14">
        <f>G2632</f>
        <v>44215</v>
      </c>
    </row>
    <row r="2632" spans="2:18">
      <c r="C2632" s="2" t="s">
        <v>9</v>
      </c>
      <c r="D2632" s="2" t="s">
        <v>606</v>
      </c>
      <c r="E2632" s="3">
        <v>132</v>
      </c>
      <c r="F2632" s="3">
        <f>72/10</f>
        <v>7.2</v>
      </c>
      <c r="G2632" s="4">
        <v>44215</v>
      </c>
      <c r="I2632" s="1">
        <v>1400</v>
      </c>
      <c r="J2632" s="1">
        <v>1200</v>
      </c>
      <c r="M2632" s="1"/>
      <c r="N2632" s="1"/>
      <c r="O2632" s="1"/>
      <c r="P2632" s="1"/>
      <c r="Q2632" s="1"/>
      <c r="R2632" s="1"/>
    </row>
    <row r="2633" spans="2:18">
      <c r="C2633" s="265" t="s">
        <v>7934</v>
      </c>
      <c r="D2633" s="2" t="s">
        <v>606</v>
      </c>
      <c r="E2633" s="3">
        <v>59</v>
      </c>
      <c r="F2633" s="3">
        <f>59/9</f>
        <v>6.5555555555555554</v>
      </c>
      <c r="G2633" s="4">
        <v>45124</v>
      </c>
      <c r="I2633" s="1">
        <v>1200</v>
      </c>
      <c r="J2633" s="1">
        <v>1200</v>
      </c>
      <c r="M2633" s="1"/>
      <c r="N2633" s="1"/>
      <c r="O2633" s="1"/>
      <c r="P2633" s="1"/>
      <c r="Q2633" s="1"/>
      <c r="R2633" s="1"/>
    </row>
    <row r="2634" spans="2:18">
      <c r="C2634" s="2" t="s">
        <v>18</v>
      </c>
      <c r="D2634" s="2" t="s">
        <v>606</v>
      </c>
      <c r="E2634" s="3">
        <v>48</v>
      </c>
      <c r="F2634" s="3">
        <f>28/7</f>
        <v>4</v>
      </c>
      <c r="G2634" s="4">
        <v>43888</v>
      </c>
      <c r="J2634" s="1">
        <v>1200</v>
      </c>
      <c r="M2634" s="1"/>
      <c r="N2634" s="1"/>
      <c r="O2634" s="1"/>
      <c r="P2634" s="1"/>
      <c r="Q2634" s="1"/>
      <c r="R2634" s="1"/>
    </row>
    <row r="2635" spans="2:18">
      <c r="C2635" s="2" t="s">
        <v>7</v>
      </c>
      <c r="D2635" s="2" t="s">
        <v>606</v>
      </c>
      <c r="E2635" s="3">
        <v>25</v>
      </c>
      <c r="F2635" s="3">
        <f>10/5</f>
        <v>2</v>
      </c>
      <c r="G2635" s="4">
        <v>43440</v>
      </c>
      <c r="J2635" s="1">
        <v>1200</v>
      </c>
      <c r="M2635" s="1"/>
      <c r="N2635" s="1"/>
      <c r="O2635" s="1"/>
      <c r="P2635" s="1"/>
      <c r="Q2635" s="1"/>
      <c r="R2635" s="1"/>
    </row>
    <row r="2636" spans="2:18">
      <c r="C2636" s="2" t="s">
        <v>5</v>
      </c>
      <c r="D2636" s="2" t="s">
        <v>606</v>
      </c>
      <c r="E2636" s="3">
        <v>5.8</v>
      </c>
      <c r="F2636" s="3">
        <f>E2636/4</f>
        <v>1.45</v>
      </c>
      <c r="G2636" s="4">
        <v>43117</v>
      </c>
      <c r="J2636" s="1">
        <v>1200</v>
      </c>
      <c r="M2636" s="1"/>
      <c r="N2636" s="1"/>
      <c r="O2636" s="1"/>
      <c r="P2636" s="1"/>
      <c r="Q2636" s="1"/>
      <c r="R2636" s="1"/>
    </row>
    <row r="2637" spans="2:18">
      <c r="C2637" s="2" t="s">
        <v>4</v>
      </c>
      <c r="D2637" s="2" t="s">
        <v>606</v>
      </c>
      <c r="E2637" s="3">
        <v>3.3</v>
      </c>
      <c r="F2637" s="3">
        <v>0.5</v>
      </c>
      <c r="G2637" s="4">
        <v>42678</v>
      </c>
      <c r="J2637" s="1">
        <v>1200</v>
      </c>
      <c r="M2637" s="1"/>
      <c r="N2637" s="1"/>
      <c r="O2637" s="1"/>
      <c r="P2637" s="1"/>
      <c r="Q2637" s="1"/>
      <c r="R2637" s="1"/>
    </row>
    <row r="2638" spans="2:18">
      <c r="G2638" s="4"/>
      <c r="M2638" s="1"/>
      <c r="N2638" s="1"/>
      <c r="O2638" s="1"/>
      <c r="P2638" s="1"/>
      <c r="Q2638" s="1"/>
      <c r="R2638" s="1"/>
    </row>
    <row r="2639" spans="2:18" s="12" customFormat="1">
      <c r="B2639" s="12" t="s">
        <v>6203</v>
      </c>
      <c r="C2639" s="13" t="s">
        <v>969</v>
      </c>
      <c r="D2639" s="13" t="s">
        <v>968</v>
      </c>
      <c r="E2639" s="15"/>
      <c r="F2639" s="15">
        <f>SUM(F2640:F2643)</f>
        <v>15.3</v>
      </c>
      <c r="G2639" s="14">
        <f>G2640</f>
        <v>44518</v>
      </c>
      <c r="M2639" s="13"/>
      <c r="N2639" s="13"/>
      <c r="O2639" s="13"/>
      <c r="P2639" s="13"/>
      <c r="Q2639" s="13"/>
      <c r="R2639" s="13"/>
    </row>
    <row r="2640" spans="2:18">
      <c r="B2640" s="134"/>
      <c r="C2640" s="140" t="s">
        <v>7</v>
      </c>
      <c r="D2640" s="140" t="s">
        <v>2057</v>
      </c>
      <c r="E2640" s="3">
        <v>50</v>
      </c>
      <c r="F2640" s="3">
        <v>10</v>
      </c>
      <c r="G2640" s="4">
        <v>44518</v>
      </c>
    </row>
    <row r="2641" spans="2:18">
      <c r="C2641" s="140" t="s">
        <v>5</v>
      </c>
      <c r="D2641" s="140" t="s">
        <v>2057</v>
      </c>
      <c r="E2641" s="3">
        <v>13</v>
      </c>
      <c r="F2641" s="3">
        <v>3</v>
      </c>
      <c r="G2641" s="4">
        <v>44294</v>
      </c>
    </row>
    <row r="2642" spans="2:18">
      <c r="C2642" s="140" t="s">
        <v>4</v>
      </c>
      <c r="D2642" s="140" t="s">
        <v>2057</v>
      </c>
      <c r="E2642" s="3">
        <v>4.5</v>
      </c>
      <c r="F2642" s="3">
        <v>1.5</v>
      </c>
      <c r="G2642" s="4">
        <v>43943</v>
      </c>
    </row>
    <row r="2643" spans="2:18">
      <c r="C2643" s="140" t="s">
        <v>4</v>
      </c>
      <c r="D2643" s="140" t="s">
        <v>2057</v>
      </c>
      <c r="E2643" s="3">
        <v>2.2999999999999998</v>
      </c>
      <c r="F2643" s="3">
        <v>0.8</v>
      </c>
      <c r="G2643" s="4">
        <v>43195</v>
      </c>
    </row>
    <row r="2644" spans="2:18">
      <c r="C2644" s="140"/>
      <c r="D2644" s="140"/>
      <c r="G2644" s="4"/>
    </row>
    <row r="2645" spans="2:18" s="12" customFormat="1">
      <c r="B2645" s="12" t="s">
        <v>485</v>
      </c>
      <c r="C2645" s="13" t="s">
        <v>969</v>
      </c>
      <c r="D2645" s="13" t="s">
        <v>968</v>
      </c>
      <c r="E2645" s="15"/>
      <c r="F2645" s="15">
        <f>SUM(F2646:F2650)</f>
        <v>15.25</v>
      </c>
      <c r="G2645" s="14">
        <f>G2646</f>
        <v>44516</v>
      </c>
    </row>
    <row r="2646" spans="2:18">
      <c r="C2646" s="2" t="s">
        <v>5</v>
      </c>
      <c r="D2646" s="2" t="s">
        <v>483</v>
      </c>
      <c r="E2646" s="3">
        <v>13</v>
      </c>
      <c r="F2646" s="3">
        <v>1.4</v>
      </c>
      <c r="G2646" s="4">
        <v>44516</v>
      </c>
      <c r="M2646" s="1"/>
      <c r="N2646" s="1"/>
      <c r="O2646" s="1"/>
      <c r="P2646" s="1"/>
      <c r="Q2646" s="1"/>
      <c r="R2646" s="1"/>
    </row>
    <row r="2647" spans="2:18">
      <c r="C2647" s="2" t="s">
        <v>4</v>
      </c>
      <c r="D2647" s="2" t="s">
        <v>347</v>
      </c>
      <c r="E2647" s="3">
        <v>3.5</v>
      </c>
      <c r="F2647" s="3">
        <f>E2647/10</f>
        <v>0.35</v>
      </c>
      <c r="G2647" s="4">
        <v>43046</v>
      </c>
      <c r="M2647" s="1"/>
      <c r="N2647" s="1"/>
      <c r="O2647" s="1"/>
      <c r="P2647" s="1"/>
      <c r="Q2647" s="1"/>
      <c r="R2647" s="1"/>
    </row>
    <row r="2648" spans="2:18">
      <c r="C2648" s="92" t="s">
        <v>7</v>
      </c>
      <c r="D2648" s="92" t="s">
        <v>2101</v>
      </c>
      <c r="E2648" s="3">
        <v>56</v>
      </c>
      <c r="F2648" s="3">
        <v>8</v>
      </c>
      <c r="G2648" s="4">
        <v>44319</v>
      </c>
      <c r="M2648" s="1"/>
      <c r="N2648" s="1"/>
      <c r="O2648" s="1"/>
      <c r="P2648" s="1"/>
      <c r="Q2648" s="1"/>
      <c r="R2648" s="1"/>
    </row>
    <row r="2649" spans="2:18">
      <c r="C2649" s="92" t="s">
        <v>5</v>
      </c>
      <c r="D2649" s="92" t="s">
        <v>2101</v>
      </c>
      <c r="E2649" s="3">
        <v>12.5</v>
      </c>
      <c r="F2649" s="3">
        <v>5</v>
      </c>
      <c r="G2649" s="4">
        <v>43453</v>
      </c>
      <c r="M2649" s="1"/>
      <c r="N2649" s="1"/>
      <c r="O2649" s="1"/>
      <c r="P2649" s="1"/>
      <c r="Q2649" s="1"/>
      <c r="R2649" s="1"/>
    </row>
    <row r="2650" spans="2:18">
      <c r="C2650" s="92" t="s">
        <v>4</v>
      </c>
      <c r="D2650" s="92" t="s">
        <v>2101</v>
      </c>
      <c r="E2650" s="3">
        <v>2.5</v>
      </c>
      <c r="F2650" s="3">
        <v>0.5</v>
      </c>
      <c r="G2650" s="4">
        <v>43401</v>
      </c>
      <c r="M2650" s="1"/>
      <c r="N2650" s="1"/>
      <c r="O2650" s="1"/>
      <c r="P2650" s="1"/>
      <c r="Q2650" s="1"/>
      <c r="R2650" s="1"/>
    </row>
    <row r="2651" spans="2:18">
      <c r="G2651" s="4"/>
      <c r="M2651" s="1"/>
      <c r="N2651" s="1"/>
      <c r="O2651" s="1"/>
      <c r="P2651" s="1"/>
      <c r="Q2651" s="1"/>
      <c r="R2651" s="1"/>
    </row>
    <row r="2652" spans="2:18" s="12" customFormat="1">
      <c r="B2652" s="12" t="s">
        <v>6683</v>
      </c>
      <c r="C2652" s="13" t="s">
        <v>969</v>
      </c>
      <c r="D2652" s="13" t="s">
        <v>968</v>
      </c>
      <c r="E2652" s="15"/>
      <c r="F2652" s="15">
        <f>SUM(F2653:F2655)</f>
        <v>14.857142857142858</v>
      </c>
      <c r="G2652" s="14">
        <f>G2653</f>
        <v>43178</v>
      </c>
      <c r="M2652" s="13"/>
      <c r="N2652" s="13"/>
      <c r="O2652" s="13"/>
      <c r="P2652" s="13"/>
      <c r="Q2652" s="13"/>
      <c r="R2652" s="13"/>
    </row>
    <row r="2653" spans="2:18">
      <c r="B2653" s="176"/>
      <c r="C2653" s="2" t="s">
        <v>8</v>
      </c>
      <c r="D2653" s="2" t="s">
        <v>102</v>
      </c>
      <c r="E2653" s="3">
        <v>30</v>
      </c>
      <c r="F2653" s="3">
        <f>20/7</f>
        <v>2.8571428571428572</v>
      </c>
      <c r="G2653" s="4">
        <v>43178</v>
      </c>
    </row>
    <row r="2654" spans="2:18">
      <c r="C2654" s="2" t="s">
        <v>8</v>
      </c>
      <c r="D2654" s="2" t="s">
        <v>102</v>
      </c>
      <c r="E2654" s="3">
        <v>40</v>
      </c>
      <c r="F2654" s="3">
        <v>7</v>
      </c>
      <c r="G2654" s="4">
        <v>42493</v>
      </c>
    </row>
    <row r="2655" spans="2:18">
      <c r="C2655" s="2" t="s">
        <v>8</v>
      </c>
      <c r="D2655" s="2" t="s">
        <v>102</v>
      </c>
      <c r="E2655" s="3">
        <v>5</v>
      </c>
      <c r="F2655" s="3">
        <v>5</v>
      </c>
      <c r="G2655" s="4">
        <v>42356</v>
      </c>
    </row>
    <row r="2656" spans="2:18">
      <c r="G2656" s="4"/>
    </row>
    <row r="2657" spans="2:18" s="12" customFormat="1">
      <c r="B2657" s="12" t="s">
        <v>724</v>
      </c>
      <c r="C2657" s="13" t="s">
        <v>969</v>
      </c>
      <c r="D2657" s="13" t="s">
        <v>968</v>
      </c>
      <c r="E2657" s="15"/>
      <c r="F2657" s="15">
        <f>SUM(F2658:F2660)</f>
        <v>15.166666666666666</v>
      </c>
      <c r="G2657" s="14">
        <f>G2658</f>
        <v>44903</v>
      </c>
    </row>
    <row r="2658" spans="2:18">
      <c r="C2658" s="2" t="s">
        <v>5</v>
      </c>
      <c r="D2658" s="2" t="s">
        <v>722</v>
      </c>
      <c r="E2658" s="3">
        <v>20</v>
      </c>
      <c r="F2658" s="3">
        <f>13/6</f>
        <v>2.1666666666666665</v>
      </c>
      <c r="G2658" s="4">
        <v>44903</v>
      </c>
    </row>
    <row r="2659" spans="2:18">
      <c r="C2659" s="2" t="s">
        <v>5</v>
      </c>
      <c r="D2659" s="2" t="s">
        <v>722</v>
      </c>
      <c r="E2659" s="3">
        <v>11</v>
      </c>
      <c r="F2659" s="3">
        <v>3</v>
      </c>
      <c r="G2659" s="4">
        <v>44313</v>
      </c>
    </row>
    <row r="2660" spans="2:18">
      <c r="C2660" s="2" t="s">
        <v>5</v>
      </c>
      <c r="D2660" s="2" t="s">
        <v>659</v>
      </c>
      <c r="E2660" s="3">
        <v>10</v>
      </c>
      <c r="F2660" s="3">
        <v>10</v>
      </c>
      <c r="G2660" s="4">
        <v>44854</v>
      </c>
    </row>
    <row r="2661" spans="2:18">
      <c r="G2661" s="4"/>
    </row>
    <row r="2662" spans="2:18" s="12" customFormat="1">
      <c r="B2662" s="12" t="s">
        <v>83</v>
      </c>
      <c r="C2662" s="13" t="s">
        <v>969</v>
      </c>
      <c r="D2662" s="13" t="s">
        <v>968</v>
      </c>
      <c r="E2662" s="15"/>
      <c r="F2662" s="15">
        <f>SUM(F2663:F2664)</f>
        <v>14.666666666666668</v>
      </c>
      <c r="G2662" s="14">
        <f>G2663</f>
        <v>43622</v>
      </c>
      <c r="M2662" s="13"/>
      <c r="N2662" s="13"/>
      <c r="O2662" s="13"/>
      <c r="P2662" s="13"/>
      <c r="Q2662" s="13"/>
      <c r="R2662" s="13"/>
    </row>
    <row r="2663" spans="2:18">
      <c r="C2663" s="2" t="s">
        <v>5</v>
      </c>
      <c r="D2663" s="2" t="s">
        <v>80</v>
      </c>
      <c r="E2663" s="3">
        <v>43</v>
      </c>
      <c r="F2663" s="3">
        <f>+E2663/6</f>
        <v>7.166666666666667</v>
      </c>
      <c r="G2663" s="4">
        <v>43622</v>
      </c>
    </row>
    <row r="2664" spans="2:18">
      <c r="C2664" s="2" t="s">
        <v>4</v>
      </c>
      <c r="D2664" s="2" t="s">
        <v>80</v>
      </c>
      <c r="E2664" s="3">
        <v>49</v>
      </c>
      <c r="F2664" s="3">
        <v>7.5</v>
      </c>
      <c r="G2664" s="4">
        <v>43319</v>
      </c>
    </row>
    <row r="2665" spans="2:18">
      <c r="G2665" s="4"/>
    </row>
    <row r="2666" spans="2:18">
      <c r="B2666" s="12" t="s">
        <v>5005</v>
      </c>
      <c r="C2666" s="13" t="s">
        <v>969</v>
      </c>
      <c r="D2666" s="13" t="s">
        <v>968</v>
      </c>
      <c r="F2666" s="15">
        <f>SUM(F2667:F2672)</f>
        <v>14.583333333333334</v>
      </c>
      <c r="G2666" s="14">
        <f>G2667</f>
        <v>44293</v>
      </c>
    </row>
    <row r="2667" spans="2:18">
      <c r="C2667" s="2" t="s">
        <v>7</v>
      </c>
      <c r="D2667" s="2" t="s">
        <v>877</v>
      </c>
      <c r="E2667" s="3">
        <v>35</v>
      </c>
      <c r="F2667" s="3">
        <f>25/6</f>
        <v>4.166666666666667</v>
      </c>
      <c r="G2667" s="4">
        <v>44293</v>
      </c>
    </row>
    <row r="2668" spans="2:18">
      <c r="C2668" s="2" t="s">
        <v>5</v>
      </c>
      <c r="D2668" s="2" t="s">
        <v>877</v>
      </c>
      <c r="E2668" s="3">
        <v>12</v>
      </c>
      <c r="F2668" s="3">
        <v>3</v>
      </c>
      <c r="G2668" s="4">
        <v>44026</v>
      </c>
    </row>
    <row r="2669" spans="2:18">
      <c r="C2669" s="2" t="s">
        <v>4</v>
      </c>
      <c r="D2669" s="2" t="s">
        <v>877</v>
      </c>
      <c r="E2669" s="3">
        <v>3.3</v>
      </c>
      <c r="F2669" s="3">
        <v>0.5</v>
      </c>
      <c r="G2669" s="4">
        <v>44026</v>
      </c>
    </row>
    <row r="2670" spans="2:18">
      <c r="C2670" s="2" t="s">
        <v>7</v>
      </c>
      <c r="D2670" s="2" t="s">
        <v>310</v>
      </c>
      <c r="E2670" s="3">
        <v>40</v>
      </c>
      <c r="F2670" s="3">
        <v>4</v>
      </c>
      <c r="G2670" s="4">
        <v>43419</v>
      </c>
    </row>
    <row r="2671" spans="2:18">
      <c r="C2671" s="2" t="s">
        <v>5</v>
      </c>
      <c r="D2671" s="2" t="s">
        <v>310</v>
      </c>
      <c r="E2671" s="3">
        <v>14.7</v>
      </c>
      <c r="F2671" s="3">
        <v>2.25</v>
      </c>
      <c r="G2671" s="4">
        <v>43032</v>
      </c>
    </row>
    <row r="2672" spans="2:18">
      <c r="C2672" s="2" t="s">
        <v>5</v>
      </c>
      <c r="D2672" s="55" t="s">
        <v>4996</v>
      </c>
      <c r="E2672" s="3">
        <v>3</v>
      </c>
      <c r="F2672" s="3">
        <f>2/3</f>
        <v>0.66666666666666663</v>
      </c>
      <c r="G2672" s="4">
        <v>42220</v>
      </c>
    </row>
    <row r="2673" spans="2:18">
      <c r="G2673" s="4"/>
    </row>
    <row r="2674" spans="2:18" s="12" customFormat="1">
      <c r="B2674" s="12" t="s">
        <v>740</v>
      </c>
      <c r="C2674" s="13" t="s">
        <v>969</v>
      </c>
      <c r="D2674" s="13" t="s">
        <v>968</v>
      </c>
      <c r="E2674" s="15"/>
      <c r="F2674" s="15">
        <f>SUM(F2675:F2676)</f>
        <v>14.5</v>
      </c>
      <c r="G2674" s="14">
        <f>G2675</f>
        <v>44469</v>
      </c>
    </row>
    <row r="2675" spans="2:18">
      <c r="C2675" s="2" t="s">
        <v>4</v>
      </c>
      <c r="D2675" s="2" t="s">
        <v>699</v>
      </c>
      <c r="E2675" s="3">
        <v>2.5</v>
      </c>
      <c r="F2675" s="3">
        <f>2/6</f>
        <v>0.33333333333333331</v>
      </c>
      <c r="G2675" s="4">
        <v>44469</v>
      </c>
      <c r="M2675" s="1"/>
      <c r="N2675" s="1"/>
      <c r="O2675" s="1"/>
      <c r="P2675" s="1"/>
      <c r="Q2675" s="1"/>
      <c r="R2675" s="1"/>
    </row>
    <row r="2676" spans="2:18">
      <c r="C2676" s="2" t="s">
        <v>8</v>
      </c>
      <c r="D2676" s="2" t="s">
        <v>47</v>
      </c>
      <c r="E2676" s="3">
        <v>145</v>
      </c>
      <c r="F2676" s="3">
        <f>85/6</f>
        <v>14.166666666666666</v>
      </c>
      <c r="G2676" s="4">
        <v>43228</v>
      </c>
      <c r="M2676" s="1"/>
      <c r="N2676" s="1"/>
      <c r="O2676" s="1"/>
      <c r="P2676" s="1"/>
      <c r="Q2676" s="1"/>
      <c r="R2676" s="1"/>
    </row>
    <row r="2677" spans="2:18">
      <c r="G2677" s="4"/>
      <c r="M2677" s="1"/>
      <c r="N2677" s="1"/>
      <c r="O2677" s="1"/>
      <c r="P2677" s="1"/>
      <c r="Q2677" s="1"/>
      <c r="R2677" s="1"/>
    </row>
    <row r="2678" spans="2:18" s="12" customFormat="1">
      <c r="B2678" s="12" t="s">
        <v>625</v>
      </c>
      <c r="C2678" s="13" t="s">
        <v>969</v>
      </c>
      <c r="D2678" s="13" t="s">
        <v>968</v>
      </c>
      <c r="E2678" s="15"/>
      <c r="F2678" s="15">
        <f>SUM(F2679:F2684)</f>
        <v>19.633333333333333</v>
      </c>
      <c r="G2678" s="14">
        <f>G2679</f>
        <v>44930</v>
      </c>
    </row>
    <row r="2679" spans="2:18">
      <c r="C2679" s="2" t="s">
        <v>5</v>
      </c>
      <c r="D2679" s="2" t="s">
        <v>624</v>
      </c>
      <c r="E2679" s="3">
        <v>10</v>
      </c>
      <c r="F2679" s="3">
        <v>2</v>
      </c>
      <c r="G2679" s="4">
        <v>44930</v>
      </c>
      <c r="M2679" s="1"/>
      <c r="N2679" s="1"/>
      <c r="O2679" s="1"/>
      <c r="P2679" s="1"/>
      <c r="Q2679" s="1"/>
      <c r="R2679" s="1"/>
    </row>
    <row r="2680" spans="2:18">
      <c r="C2680" s="52" t="s">
        <v>5</v>
      </c>
      <c r="D2680" s="52" t="s">
        <v>2118</v>
      </c>
      <c r="E2680" s="3">
        <v>52.3</v>
      </c>
      <c r="F2680" s="3">
        <f>22/3</f>
        <v>7.333333333333333</v>
      </c>
      <c r="G2680" s="4">
        <v>43348</v>
      </c>
      <c r="J2680" s="1">
        <v>700</v>
      </c>
      <c r="M2680" s="1"/>
      <c r="N2680" s="1"/>
      <c r="O2680" s="1"/>
      <c r="P2680" s="1"/>
      <c r="Q2680" s="1"/>
      <c r="R2680" s="1"/>
    </row>
    <row r="2681" spans="2:18">
      <c r="C2681" s="241" t="s">
        <v>4</v>
      </c>
      <c r="D2681" s="241" t="s">
        <v>2014</v>
      </c>
      <c r="E2681" s="3">
        <v>12</v>
      </c>
      <c r="F2681" s="3">
        <v>2</v>
      </c>
      <c r="G2681" s="4">
        <v>43872</v>
      </c>
      <c r="M2681" s="1"/>
      <c r="N2681" s="1"/>
      <c r="O2681" s="1"/>
      <c r="P2681" s="1"/>
      <c r="Q2681" s="1"/>
      <c r="R2681" s="1"/>
    </row>
    <row r="2682" spans="2:18">
      <c r="C2682" s="335" t="s">
        <v>18</v>
      </c>
      <c r="D2682" s="335" t="s">
        <v>8309</v>
      </c>
      <c r="E2682" s="3">
        <v>25</v>
      </c>
      <c r="F2682" s="3">
        <v>4</v>
      </c>
      <c r="G2682" s="4">
        <v>43888</v>
      </c>
      <c r="M2682" s="1"/>
      <c r="N2682" s="1"/>
      <c r="O2682" s="1"/>
      <c r="P2682" s="1"/>
      <c r="Q2682" s="1"/>
      <c r="R2682" s="1"/>
    </row>
    <row r="2683" spans="2:18">
      <c r="C2683" s="335" t="s">
        <v>7</v>
      </c>
      <c r="D2683" s="335" t="s">
        <v>8309</v>
      </c>
      <c r="E2683" s="3">
        <v>25</v>
      </c>
      <c r="F2683" s="3">
        <v>4</v>
      </c>
      <c r="G2683" s="4">
        <v>43287</v>
      </c>
      <c r="M2683" s="1"/>
      <c r="N2683" s="1"/>
      <c r="O2683" s="1"/>
      <c r="P2683" s="1"/>
      <c r="Q2683" s="1"/>
      <c r="R2683" s="1"/>
    </row>
    <row r="2684" spans="2:18">
      <c r="C2684" s="335" t="s">
        <v>5</v>
      </c>
      <c r="D2684" s="335" t="s">
        <v>8309</v>
      </c>
      <c r="E2684" s="3">
        <v>1.9</v>
      </c>
      <c r="F2684" s="3">
        <v>0.3</v>
      </c>
      <c r="G2684" s="4">
        <v>42185</v>
      </c>
      <c r="M2684" s="1"/>
      <c r="N2684" s="1"/>
      <c r="O2684" s="1"/>
      <c r="P2684" s="1"/>
      <c r="Q2684" s="1"/>
      <c r="R2684" s="1"/>
    </row>
    <row r="2685" spans="2:18">
      <c r="G2685" s="4"/>
      <c r="M2685" s="1"/>
      <c r="N2685" s="1"/>
      <c r="O2685" s="1"/>
      <c r="P2685" s="1"/>
      <c r="Q2685" s="1"/>
      <c r="R2685" s="1"/>
    </row>
    <row r="2686" spans="2:18" s="12" customFormat="1">
      <c r="B2686" s="12" t="s">
        <v>6544</v>
      </c>
      <c r="C2686" s="13" t="s">
        <v>969</v>
      </c>
      <c r="D2686" s="13" t="s">
        <v>968</v>
      </c>
      <c r="E2686" s="15"/>
      <c r="F2686" s="15">
        <f>SUM(F2687:F2688)</f>
        <v>14</v>
      </c>
      <c r="G2686" s="14">
        <f>G2687</f>
        <v>44518</v>
      </c>
      <c r="M2686" s="13"/>
      <c r="N2686" s="13"/>
      <c r="O2686" s="13"/>
      <c r="P2686" s="13"/>
      <c r="Q2686" s="13"/>
      <c r="R2686" s="13"/>
    </row>
    <row r="2687" spans="2:18">
      <c r="B2687" s="152"/>
      <c r="C2687" s="153" t="s">
        <v>7</v>
      </c>
      <c r="D2687" s="153" t="s">
        <v>2035</v>
      </c>
      <c r="E2687" s="3">
        <v>21</v>
      </c>
      <c r="F2687" s="3">
        <v>11</v>
      </c>
      <c r="G2687" s="4">
        <v>44518</v>
      </c>
    </row>
    <row r="2688" spans="2:18">
      <c r="B2688" s="152"/>
      <c r="C2688" s="153" t="s">
        <v>5</v>
      </c>
      <c r="D2688" s="153" t="s">
        <v>2035</v>
      </c>
      <c r="E2688" s="3">
        <v>9.1</v>
      </c>
      <c r="F2688" s="3">
        <v>3</v>
      </c>
      <c r="G2688" s="4">
        <v>42087</v>
      </c>
    </row>
    <row r="2689" spans="2:18">
      <c r="C2689" s="153"/>
      <c r="D2689" s="153"/>
      <c r="G2689" s="4"/>
    </row>
    <row r="2690" spans="2:18" s="12" customFormat="1">
      <c r="B2690" s="12" t="s">
        <v>677</v>
      </c>
      <c r="C2690" s="13" t="s">
        <v>969</v>
      </c>
      <c r="D2690" s="13" t="s">
        <v>968</v>
      </c>
      <c r="E2690" s="15"/>
      <c r="F2690" s="15">
        <f>SUM(F2691:F2693)</f>
        <v>14.214285714285714</v>
      </c>
      <c r="G2690" s="14">
        <f>G2691</f>
        <v>44482</v>
      </c>
      <c r="M2690" s="13"/>
      <c r="N2690" s="13"/>
      <c r="O2690" s="13"/>
      <c r="P2690" s="13"/>
      <c r="Q2690" s="13"/>
      <c r="R2690" s="13"/>
    </row>
    <row r="2691" spans="2:18">
      <c r="C2691" s="2" t="s">
        <v>5</v>
      </c>
      <c r="D2691" s="2" t="s">
        <v>676</v>
      </c>
      <c r="E2691" s="3">
        <v>15</v>
      </c>
      <c r="F2691" s="3">
        <v>3</v>
      </c>
      <c r="G2691" s="4">
        <v>44482</v>
      </c>
    </row>
    <row r="2692" spans="2:18">
      <c r="C2692" s="2" t="s">
        <v>4</v>
      </c>
      <c r="D2692" s="2" t="s">
        <v>676</v>
      </c>
      <c r="E2692" s="3">
        <v>4.5</v>
      </c>
      <c r="F2692" s="3">
        <v>0.5</v>
      </c>
      <c r="G2692" s="4">
        <v>44362</v>
      </c>
      <c r="M2692" s="1"/>
      <c r="N2692" s="1"/>
      <c r="O2692" s="1"/>
      <c r="P2692" s="1"/>
      <c r="Q2692" s="1"/>
      <c r="R2692" s="1"/>
    </row>
    <row r="2693" spans="2:18">
      <c r="C2693" s="55" t="s">
        <v>9</v>
      </c>
      <c r="D2693" s="55" t="s">
        <v>2112</v>
      </c>
      <c r="E2693" s="3">
        <v>100</v>
      </c>
      <c r="F2693" s="3">
        <f>75/7</f>
        <v>10.714285714285714</v>
      </c>
      <c r="G2693" s="4">
        <v>44507</v>
      </c>
      <c r="I2693" s="1">
        <v>1600</v>
      </c>
      <c r="J2693" s="1">
        <v>1600</v>
      </c>
      <c r="M2693" s="1"/>
      <c r="N2693" s="1"/>
      <c r="O2693" s="1"/>
      <c r="P2693" s="1"/>
      <c r="Q2693" s="1"/>
      <c r="R2693" s="1"/>
    </row>
    <row r="2694" spans="2:18">
      <c r="C2694" s="55" t="s">
        <v>18</v>
      </c>
      <c r="D2694" s="55" t="s">
        <v>2112</v>
      </c>
      <c r="E2694" s="3">
        <v>40</v>
      </c>
      <c r="F2694" s="3">
        <v>5</v>
      </c>
      <c r="G2694" s="56">
        <v>43069</v>
      </c>
      <c r="J2694" s="1">
        <v>1600</v>
      </c>
      <c r="M2694" s="1"/>
      <c r="N2694" s="1"/>
      <c r="O2694" s="1"/>
      <c r="P2694" s="1"/>
      <c r="Q2694" s="1"/>
      <c r="R2694" s="1"/>
    </row>
    <row r="2695" spans="2:18">
      <c r="G2695" s="4"/>
      <c r="M2695" s="1"/>
      <c r="N2695" s="1"/>
      <c r="O2695" s="1"/>
      <c r="P2695" s="1"/>
      <c r="Q2695" s="1"/>
      <c r="R2695" s="1"/>
    </row>
    <row r="2696" spans="2:18" s="12" customFormat="1">
      <c r="B2696" s="12" t="s">
        <v>515</v>
      </c>
      <c r="C2696" s="13" t="s">
        <v>969</v>
      </c>
      <c r="D2696" s="13" t="s">
        <v>968</v>
      </c>
      <c r="E2696" s="15"/>
      <c r="F2696" s="15">
        <f>SUM(F2697:F2703)</f>
        <v>13.805</v>
      </c>
      <c r="G2696" s="14">
        <f>G2697</f>
        <v>45037</v>
      </c>
    </row>
    <row r="2697" spans="2:18">
      <c r="B2697" s="253" t="s">
        <v>7632</v>
      </c>
      <c r="C2697" s="2" t="s">
        <v>4</v>
      </c>
      <c r="D2697" s="2" t="s">
        <v>509</v>
      </c>
      <c r="E2697" s="3">
        <v>3</v>
      </c>
      <c r="F2697" s="3">
        <v>1.5</v>
      </c>
      <c r="G2697" s="4">
        <v>45037</v>
      </c>
      <c r="M2697" s="1"/>
      <c r="N2697" s="1"/>
      <c r="O2697" s="1"/>
      <c r="P2697" s="1"/>
      <c r="Q2697" s="1"/>
      <c r="R2697" s="1"/>
    </row>
    <row r="2698" spans="2:18">
      <c r="C2698" s="2" t="s">
        <v>18</v>
      </c>
      <c r="D2698" s="2" t="s">
        <v>292</v>
      </c>
      <c r="E2698" s="3">
        <v>38</v>
      </c>
      <c r="F2698" s="3">
        <v>3</v>
      </c>
      <c r="G2698" s="4">
        <v>43104</v>
      </c>
      <c r="M2698" s="1"/>
      <c r="N2698" s="1"/>
      <c r="O2698" s="1"/>
      <c r="P2698" s="1"/>
      <c r="Q2698" s="1"/>
      <c r="R2698" s="1"/>
    </row>
    <row r="2699" spans="2:18">
      <c r="C2699" s="2" t="s">
        <v>7</v>
      </c>
      <c r="D2699" s="2" t="s">
        <v>292</v>
      </c>
      <c r="E2699" s="3">
        <v>6.9</v>
      </c>
      <c r="F2699" s="3">
        <f>E2699/5</f>
        <v>1.3800000000000001</v>
      </c>
      <c r="G2699" s="4">
        <v>42458</v>
      </c>
      <c r="M2699" s="1"/>
      <c r="N2699" s="1"/>
      <c r="O2699" s="1"/>
      <c r="P2699" s="1"/>
      <c r="Q2699" s="1"/>
      <c r="R2699" s="1"/>
    </row>
    <row r="2700" spans="2:18">
      <c r="C2700" s="2" t="s">
        <v>5</v>
      </c>
      <c r="D2700" s="2" t="s">
        <v>292</v>
      </c>
      <c r="E2700" s="3">
        <v>2.7</v>
      </c>
      <c r="F2700" s="3">
        <f>1.7/4</f>
        <v>0.42499999999999999</v>
      </c>
      <c r="G2700" s="4">
        <v>42139</v>
      </c>
      <c r="M2700" s="1"/>
      <c r="N2700" s="1"/>
      <c r="O2700" s="1"/>
      <c r="P2700" s="1"/>
      <c r="Q2700" s="1"/>
      <c r="R2700" s="1"/>
    </row>
    <row r="2701" spans="2:18">
      <c r="C2701" s="153" t="s">
        <v>7</v>
      </c>
      <c r="D2701" s="153" t="s">
        <v>2046</v>
      </c>
      <c r="E2701" s="3">
        <v>50</v>
      </c>
      <c r="F2701" s="3">
        <v>4</v>
      </c>
      <c r="G2701" s="4">
        <v>44252</v>
      </c>
      <c r="M2701" s="1"/>
      <c r="N2701" s="1"/>
      <c r="O2701" s="1"/>
      <c r="P2701" s="1"/>
      <c r="Q2701" s="1"/>
      <c r="R2701" s="1"/>
    </row>
    <row r="2702" spans="2:18">
      <c r="C2702" s="153" t="s">
        <v>5</v>
      </c>
      <c r="D2702" s="153" t="s">
        <v>2046</v>
      </c>
      <c r="E2702" s="3">
        <v>10</v>
      </c>
      <c r="F2702" s="3">
        <v>2.5</v>
      </c>
      <c r="G2702" s="4">
        <v>43059</v>
      </c>
      <c r="M2702" s="1"/>
      <c r="N2702" s="1"/>
      <c r="O2702" s="1"/>
      <c r="P2702" s="1"/>
      <c r="Q2702" s="1"/>
      <c r="R2702" s="1"/>
    </row>
    <row r="2703" spans="2:18">
      <c r="C2703" s="153" t="s">
        <v>4</v>
      </c>
      <c r="D2703" s="153" t="s">
        <v>2046</v>
      </c>
      <c r="E2703" s="3">
        <v>3</v>
      </c>
      <c r="F2703" s="3">
        <v>1</v>
      </c>
      <c r="G2703" s="4">
        <v>42628</v>
      </c>
      <c r="M2703" s="1"/>
      <c r="N2703" s="1"/>
      <c r="O2703" s="1"/>
      <c r="P2703" s="1"/>
      <c r="Q2703" s="1"/>
      <c r="R2703" s="1"/>
    </row>
    <row r="2704" spans="2:18">
      <c r="G2704" s="4"/>
      <c r="M2704" s="1"/>
      <c r="N2704" s="1"/>
      <c r="O2704" s="1"/>
      <c r="P2704" s="1"/>
      <c r="Q2704" s="1"/>
      <c r="R2704" s="1"/>
    </row>
    <row r="2705" spans="2:18">
      <c r="B2705" s="12" t="s">
        <v>1016</v>
      </c>
      <c r="C2705" s="13" t="s">
        <v>969</v>
      </c>
      <c r="D2705" s="13" t="s">
        <v>968</v>
      </c>
      <c r="F2705" s="15">
        <f>SUM(F2706:F2708)</f>
        <v>13</v>
      </c>
      <c r="G2705" s="14">
        <f>G2706</f>
        <v>44690</v>
      </c>
    </row>
    <row r="2706" spans="2:18">
      <c r="C2706" s="2" t="s">
        <v>18</v>
      </c>
      <c r="D2706" s="2" t="s">
        <v>926</v>
      </c>
      <c r="E2706" s="3">
        <v>100</v>
      </c>
      <c r="F2706" s="3">
        <v>9</v>
      </c>
      <c r="G2706" s="4">
        <v>44690</v>
      </c>
      <c r="J2706" s="1">
        <v>4300</v>
      </c>
    </row>
    <row r="2707" spans="2:18">
      <c r="C2707" s="2" t="s">
        <v>5</v>
      </c>
      <c r="D2707" s="2" t="s">
        <v>926</v>
      </c>
      <c r="E2707" s="3">
        <v>15</v>
      </c>
      <c r="F2707" s="3">
        <v>3</v>
      </c>
      <c r="G2707" s="4">
        <v>43816</v>
      </c>
      <c r="J2707" s="1">
        <v>4300</v>
      </c>
    </row>
    <row r="2708" spans="2:18">
      <c r="C2708" s="2" t="s">
        <v>4</v>
      </c>
      <c r="D2708" s="2" t="s">
        <v>926</v>
      </c>
      <c r="E2708" s="3">
        <v>4</v>
      </c>
      <c r="F2708" s="3">
        <v>1</v>
      </c>
      <c r="G2708" s="4">
        <v>43243</v>
      </c>
      <c r="J2708" s="1">
        <v>4300</v>
      </c>
    </row>
    <row r="2709" spans="2:18">
      <c r="G2709" s="4"/>
      <c r="M2709" s="1"/>
      <c r="N2709" s="1"/>
      <c r="O2709" s="1"/>
      <c r="P2709" s="1"/>
      <c r="Q2709" s="1"/>
      <c r="R2709" s="1"/>
    </row>
    <row r="2710" spans="2:18" s="12" customFormat="1">
      <c r="B2710" s="12" t="s">
        <v>139</v>
      </c>
      <c r="C2710" s="13" t="s">
        <v>969</v>
      </c>
      <c r="D2710" s="13" t="s">
        <v>968</v>
      </c>
      <c r="E2710" s="15"/>
      <c r="F2710" s="15">
        <f>SUM(F2711:F2712)</f>
        <v>13</v>
      </c>
      <c r="G2710" s="14">
        <f>G2711</f>
        <v>44880</v>
      </c>
      <c r="M2710" s="13"/>
      <c r="N2710" s="13"/>
      <c r="O2710" s="13"/>
      <c r="P2710" s="13"/>
      <c r="Q2710" s="13"/>
      <c r="R2710" s="13"/>
    </row>
    <row r="2711" spans="2:18">
      <c r="C2711" s="2" t="s">
        <v>8</v>
      </c>
      <c r="D2711" s="2" t="s">
        <v>131</v>
      </c>
      <c r="E2711" s="3">
        <v>135</v>
      </c>
      <c r="F2711" s="3">
        <v>8</v>
      </c>
      <c r="G2711" s="4">
        <v>44880</v>
      </c>
    </row>
    <row r="2712" spans="2:18">
      <c r="C2712" s="2" t="s">
        <v>7</v>
      </c>
      <c r="D2712" s="2" t="s">
        <v>131</v>
      </c>
      <c r="E2712" s="3">
        <v>32</v>
      </c>
      <c r="F2712" s="3">
        <v>5</v>
      </c>
      <c r="G2712" s="4">
        <v>42528</v>
      </c>
    </row>
    <row r="2713" spans="2:18">
      <c r="G2713" s="4"/>
    </row>
    <row r="2714" spans="2:18" s="12" customFormat="1">
      <c r="B2714" s="12" t="s">
        <v>1013</v>
      </c>
      <c r="C2714" s="13" t="s">
        <v>969</v>
      </c>
      <c r="D2714" s="13" t="s">
        <v>968</v>
      </c>
      <c r="E2714" s="15"/>
      <c r="F2714" s="15">
        <f>SUM(F2715:F2719)</f>
        <v>12.5</v>
      </c>
      <c r="G2714" s="14">
        <f>G2715</f>
        <v>44784</v>
      </c>
      <c r="M2714" s="13"/>
      <c r="N2714" s="13"/>
      <c r="O2714" s="13"/>
      <c r="P2714" s="13"/>
      <c r="Q2714" s="13"/>
      <c r="R2714" s="13"/>
    </row>
    <row r="2715" spans="2:18">
      <c r="C2715" s="2" t="s">
        <v>5</v>
      </c>
      <c r="D2715" s="2" t="s">
        <v>716</v>
      </c>
      <c r="E2715" s="3">
        <v>12.5</v>
      </c>
      <c r="F2715" s="3">
        <v>2</v>
      </c>
      <c r="G2715" s="4">
        <v>44784</v>
      </c>
    </row>
    <row r="2716" spans="2:18">
      <c r="C2716" s="2" t="s">
        <v>5</v>
      </c>
      <c r="D2716" s="2" t="s">
        <v>716</v>
      </c>
      <c r="E2716" s="3">
        <v>10</v>
      </c>
      <c r="F2716" s="3">
        <v>2</v>
      </c>
      <c r="G2716" s="4">
        <v>44110</v>
      </c>
    </row>
    <row r="2717" spans="2:18">
      <c r="C2717" s="2" t="s">
        <v>4</v>
      </c>
      <c r="D2717" s="2" t="s">
        <v>716</v>
      </c>
      <c r="E2717" s="3">
        <v>5</v>
      </c>
      <c r="F2717" s="3">
        <v>2</v>
      </c>
      <c r="G2717" s="4">
        <v>43392</v>
      </c>
    </row>
    <row r="2718" spans="2:18">
      <c r="C2718" s="2" t="s">
        <v>5</v>
      </c>
      <c r="D2718" s="2" t="s">
        <v>289</v>
      </c>
      <c r="E2718" s="3">
        <v>30</v>
      </c>
      <c r="F2718" s="3">
        <f>20/5</f>
        <v>4</v>
      </c>
      <c r="G2718" s="4">
        <v>44474</v>
      </c>
    </row>
    <row r="2719" spans="2:18">
      <c r="C2719" s="2" t="s">
        <v>4</v>
      </c>
      <c r="D2719" s="2" t="s">
        <v>289</v>
      </c>
      <c r="E2719" s="3">
        <v>15</v>
      </c>
      <c r="F2719" s="3">
        <f>10/4</f>
        <v>2.5</v>
      </c>
      <c r="G2719" s="4">
        <v>43775</v>
      </c>
    </row>
    <row r="2720" spans="2:18">
      <c r="G2720" s="4"/>
    </row>
    <row r="2721" spans="2:18" s="12" customFormat="1">
      <c r="B2721" s="12" t="s">
        <v>1012</v>
      </c>
      <c r="C2721" s="13" t="s">
        <v>969</v>
      </c>
      <c r="D2721" s="13" t="s">
        <v>968</v>
      </c>
      <c r="E2721" s="15"/>
      <c r="F2721" s="15">
        <f>SUM(F2722:F2723)</f>
        <v>12.5</v>
      </c>
      <c r="G2721" s="14">
        <f>G2722</f>
        <v>44978</v>
      </c>
      <c r="M2721" s="13"/>
      <c r="N2721" s="13"/>
      <c r="O2721" s="13"/>
      <c r="P2721" s="13"/>
      <c r="Q2721" s="13"/>
      <c r="R2721" s="13"/>
    </row>
    <row r="2722" spans="2:18">
      <c r="B2722" s="253" t="s">
        <v>7632</v>
      </c>
      <c r="C2722" s="2" t="s">
        <v>7</v>
      </c>
      <c r="D2722" s="2" t="s">
        <v>1011</v>
      </c>
      <c r="E2722" s="3">
        <v>43</v>
      </c>
      <c r="F2722" s="3">
        <v>6</v>
      </c>
      <c r="G2722" s="4">
        <v>44978</v>
      </c>
    </row>
    <row r="2723" spans="2:18">
      <c r="C2723" s="2" t="s">
        <v>5</v>
      </c>
      <c r="D2723" s="2" t="s">
        <v>1011</v>
      </c>
      <c r="E2723" s="3">
        <v>26</v>
      </c>
      <c r="F2723" s="3">
        <f>13/2</f>
        <v>6.5</v>
      </c>
      <c r="G2723" s="4">
        <v>44453</v>
      </c>
    </row>
    <row r="2724" spans="2:18">
      <c r="G2724" s="4"/>
    </row>
    <row r="2725" spans="2:18" s="12" customFormat="1">
      <c r="B2725" s="12" t="s">
        <v>413</v>
      </c>
      <c r="C2725" s="13" t="s">
        <v>969</v>
      </c>
      <c r="D2725" s="13" t="s">
        <v>968</v>
      </c>
      <c r="E2725" s="15"/>
      <c r="F2725" s="15">
        <f>SUM(F2726:F2727)</f>
        <v>13</v>
      </c>
      <c r="G2725" s="14">
        <f>G2726</f>
        <v>44740</v>
      </c>
    </row>
    <row r="2726" spans="2:18">
      <c r="C2726" s="2" t="s">
        <v>5</v>
      </c>
      <c r="D2726" s="2" t="s">
        <v>408</v>
      </c>
      <c r="E2726" s="3">
        <v>10</v>
      </c>
      <c r="F2726" s="3">
        <v>3</v>
      </c>
      <c r="G2726" s="4">
        <v>44740</v>
      </c>
      <c r="M2726" s="1"/>
      <c r="N2726" s="1"/>
      <c r="O2726" s="1"/>
      <c r="P2726" s="1"/>
      <c r="Q2726" s="1"/>
      <c r="R2726" s="1"/>
    </row>
    <row r="2727" spans="2:18">
      <c r="C2727" s="2" t="s">
        <v>8</v>
      </c>
      <c r="D2727" s="2" t="s">
        <v>3935</v>
      </c>
      <c r="E2727" s="3">
        <v>90</v>
      </c>
      <c r="F2727" s="3">
        <v>10</v>
      </c>
      <c r="G2727" s="4">
        <v>40354</v>
      </c>
      <c r="M2727" s="1"/>
      <c r="N2727" s="1"/>
      <c r="O2727" s="1"/>
      <c r="P2727" s="1"/>
      <c r="Q2727" s="1"/>
      <c r="R2727" s="1"/>
    </row>
    <row r="2728" spans="2:18">
      <c r="G2728" s="4"/>
      <c r="M2728" s="1"/>
      <c r="N2728" s="1"/>
      <c r="O2728" s="1"/>
      <c r="P2728" s="1"/>
      <c r="Q2728" s="1"/>
      <c r="R2728" s="1"/>
    </row>
    <row r="2729" spans="2:18" s="12" customFormat="1">
      <c r="B2729" s="12" t="s">
        <v>270</v>
      </c>
      <c r="C2729" s="13" t="s">
        <v>969</v>
      </c>
      <c r="D2729" s="13" t="s">
        <v>968</v>
      </c>
      <c r="E2729" s="15"/>
      <c r="F2729" s="15">
        <f>SUM(F2730:F2731)</f>
        <v>12.553571428571429</v>
      </c>
      <c r="G2729" s="14">
        <f>G2730</f>
        <v>44622</v>
      </c>
      <c r="M2729" s="13"/>
      <c r="N2729" s="13"/>
      <c r="O2729" s="13"/>
      <c r="P2729" s="13"/>
      <c r="Q2729" s="13"/>
      <c r="R2729" s="13"/>
    </row>
    <row r="2730" spans="2:18">
      <c r="C2730" s="2" t="s">
        <v>8</v>
      </c>
      <c r="D2730" s="2" t="s">
        <v>258</v>
      </c>
      <c r="E2730" s="3">
        <v>111</v>
      </c>
      <c r="F2730" s="3">
        <f>97/14</f>
        <v>6.9285714285714288</v>
      </c>
      <c r="G2730" s="4">
        <v>44622</v>
      </c>
    </row>
    <row r="2731" spans="2:18">
      <c r="C2731" s="2" t="s">
        <v>18</v>
      </c>
      <c r="D2731" s="2" t="s">
        <v>258</v>
      </c>
      <c r="E2731" s="3">
        <v>55</v>
      </c>
      <c r="F2731" s="3">
        <v>5.625</v>
      </c>
      <c r="G2731" s="4">
        <v>44314</v>
      </c>
    </row>
    <row r="2732" spans="2:18">
      <c r="G2732" s="4"/>
    </row>
    <row r="2733" spans="2:18" s="12" customFormat="1">
      <c r="B2733" s="12" t="s">
        <v>605</v>
      </c>
      <c r="C2733" s="13" t="s">
        <v>969</v>
      </c>
      <c r="D2733" s="13" t="s">
        <v>968</v>
      </c>
      <c r="E2733" s="15"/>
      <c r="F2733" s="15">
        <f>SUM(F2734:F2735)</f>
        <v>13.375</v>
      </c>
      <c r="G2733" s="14">
        <f>G2734</f>
        <v>44663</v>
      </c>
    </row>
    <row r="2734" spans="2:18">
      <c r="C2734" s="2" t="s">
        <v>18</v>
      </c>
      <c r="D2734" s="2" t="s">
        <v>599</v>
      </c>
      <c r="E2734" s="3">
        <v>125</v>
      </c>
      <c r="F2734" s="3">
        <f>75/8</f>
        <v>9.375</v>
      </c>
      <c r="G2734" s="4">
        <v>44663</v>
      </c>
      <c r="M2734" s="1"/>
      <c r="N2734" s="1"/>
      <c r="O2734" s="1"/>
      <c r="P2734" s="1"/>
      <c r="Q2734" s="1"/>
      <c r="R2734" s="1"/>
    </row>
    <row r="2735" spans="2:18">
      <c r="C2735" s="2" t="s">
        <v>5</v>
      </c>
      <c r="D2735" s="2" t="s">
        <v>599</v>
      </c>
      <c r="E2735" s="3">
        <v>26</v>
      </c>
      <c r="F2735" s="3">
        <f>16/4</f>
        <v>4</v>
      </c>
      <c r="G2735" s="4">
        <v>43809</v>
      </c>
      <c r="M2735" s="1"/>
      <c r="N2735" s="1"/>
      <c r="O2735" s="1"/>
      <c r="P2735" s="1"/>
      <c r="Q2735" s="1"/>
      <c r="R2735" s="1"/>
    </row>
    <row r="2736" spans="2:18">
      <c r="G2736" s="4"/>
      <c r="M2736" s="1"/>
      <c r="N2736" s="1"/>
      <c r="O2736" s="1"/>
      <c r="P2736" s="1"/>
      <c r="Q2736" s="1"/>
      <c r="R2736" s="1"/>
    </row>
    <row r="2737" spans="2:18" s="12" customFormat="1">
      <c r="B2737" s="12" t="s">
        <v>1009</v>
      </c>
      <c r="C2737" s="13" t="s">
        <v>969</v>
      </c>
      <c r="D2737" s="13" t="s">
        <v>968</v>
      </c>
      <c r="E2737" s="15"/>
      <c r="F2737" s="15">
        <f>SUM(F2738:F2742)</f>
        <v>13</v>
      </c>
      <c r="G2737" s="14">
        <f>G2741</f>
        <v>44964</v>
      </c>
      <c r="M2737" s="13"/>
      <c r="N2737" s="13"/>
      <c r="O2737" s="13"/>
      <c r="P2737" s="13"/>
      <c r="Q2737" s="13"/>
      <c r="R2737" s="13"/>
    </row>
    <row r="2738" spans="2:18">
      <c r="C2738" s="2" t="s">
        <v>7</v>
      </c>
      <c r="D2738" s="2" t="s">
        <v>1008</v>
      </c>
      <c r="E2738" s="3">
        <v>30</v>
      </c>
      <c r="F2738" s="3">
        <v>6</v>
      </c>
      <c r="G2738" s="4">
        <v>44539</v>
      </c>
    </row>
    <row r="2739" spans="2:18">
      <c r="C2739" s="2" t="s">
        <v>5</v>
      </c>
      <c r="D2739" s="2" t="s">
        <v>1008</v>
      </c>
      <c r="E2739" s="3">
        <v>11</v>
      </c>
      <c r="F2739" s="3">
        <v>3</v>
      </c>
      <c r="G2739" s="4">
        <v>43862</v>
      </c>
    </row>
    <row r="2740" spans="2:18">
      <c r="C2740" s="2" t="s">
        <v>4</v>
      </c>
      <c r="D2740" s="2" t="s">
        <v>1008</v>
      </c>
      <c r="E2740" s="3">
        <v>3</v>
      </c>
      <c r="F2740" s="3">
        <v>1.5</v>
      </c>
      <c r="G2740" s="4">
        <v>43525</v>
      </c>
    </row>
    <row r="2741" spans="2:18">
      <c r="C2741" s="2" t="s">
        <v>4</v>
      </c>
      <c r="D2741" s="2" t="s">
        <v>593</v>
      </c>
      <c r="E2741" s="3">
        <v>6.8</v>
      </c>
      <c r="F2741" s="3">
        <v>1.5</v>
      </c>
      <c r="G2741" s="4">
        <v>44964</v>
      </c>
    </row>
    <row r="2742" spans="2:18">
      <c r="C2742" s="2" t="s">
        <v>4</v>
      </c>
      <c r="D2742" s="2" t="s">
        <v>593</v>
      </c>
      <c r="E2742" s="3">
        <v>1.6</v>
      </c>
      <c r="F2742" s="3">
        <v>1</v>
      </c>
      <c r="G2742" s="4">
        <v>44197</v>
      </c>
    </row>
    <row r="2743" spans="2:18">
      <c r="G2743" s="4"/>
    </row>
    <row r="2744" spans="2:18" s="12" customFormat="1">
      <c r="B2744" s="12" t="s">
        <v>886</v>
      </c>
      <c r="C2744" s="13" t="s">
        <v>969</v>
      </c>
      <c r="D2744" s="13" t="s">
        <v>968</v>
      </c>
      <c r="E2744" s="15"/>
      <c r="F2744" s="15">
        <f>SUM(F2745:F2746)</f>
        <v>12.5</v>
      </c>
      <c r="G2744" s="14">
        <f>G2746</f>
        <v>45006</v>
      </c>
      <c r="M2744" s="13"/>
      <c r="N2744" s="13"/>
      <c r="O2744" s="13"/>
      <c r="P2744" s="13"/>
      <c r="Q2744" s="13"/>
      <c r="R2744" s="13"/>
    </row>
    <row r="2745" spans="2:18">
      <c r="C2745" s="2" t="s">
        <v>5</v>
      </c>
      <c r="D2745" s="2" t="s">
        <v>716</v>
      </c>
      <c r="E2745" s="3">
        <v>12.5</v>
      </c>
      <c r="F2745" s="3">
        <v>5</v>
      </c>
      <c r="G2745" s="4">
        <v>44784</v>
      </c>
    </row>
    <row r="2746" spans="2:18">
      <c r="C2746" s="92" t="s">
        <v>18</v>
      </c>
      <c r="D2746" s="92" t="s">
        <v>5988</v>
      </c>
      <c r="E2746" s="3">
        <v>15</v>
      </c>
      <c r="F2746" s="3">
        <f>E2746/2</f>
        <v>7.5</v>
      </c>
      <c r="G2746" s="4">
        <v>45006</v>
      </c>
    </row>
    <row r="2747" spans="2:18">
      <c r="G2747" s="4"/>
    </row>
    <row r="2748" spans="2:18" s="12" customFormat="1">
      <c r="B2748" s="12" t="s">
        <v>98</v>
      </c>
      <c r="C2748" s="13" t="s">
        <v>969</v>
      </c>
      <c r="D2748" s="13" t="s">
        <v>968</v>
      </c>
      <c r="E2748" s="15"/>
      <c r="F2748" s="15">
        <f>SUM(F2749:F2751)</f>
        <v>13</v>
      </c>
      <c r="G2748" s="14">
        <f>G2751</f>
        <v>44642</v>
      </c>
      <c r="M2748" s="13"/>
      <c r="N2748" s="13"/>
      <c r="O2748" s="13"/>
      <c r="P2748" s="13"/>
      <c r="Q2748" s="13"/>
      <c r="R2748" s="13"/>
    </row>
    <row r="2749" spans="2:18">
      <c r="C2749" s="2" t="s">
        <v>7</v>
      </c>
      <c r="D2749" s="2" t="s">
        <v>95</v>
      </c>
      <c r="E2749" s="3">
        <v>25</v>
      </c>
      <c r="F2749" s="3">
        <f>15/5</f>
        <v>3</v>
      </c>
      <c r="G2749" s="4">
        <v>43783</v>
      </c>
    </row>
    <row r="2750" spans="2:18">
      <c r="C2750" s="2" t="s">
        <v>7</v>
      </c>
      <c r="D2750" s="2" t="s">
        <v>95</v>
      </c>
      <c r="E2750" s="3">
        <v>15</v>
      </c>
      <c r="F2750" s="3">
        <v>7.5</v>
      </c>
      <c r="G2750" s="4">
        <v>43559</v>
      </c>
    </row>
    <row r="2751" spans="2:18">
      <c r="C2751" s="2" t="s">
        <v>7</v>
      </c>
      <c r="D2751" s="2" t="s">
        <v>87</v>
      </c>
      <c r="E2751" s="3">
        <v>25</v>
      </c>
      <c r="F2751" s="3">
        <f>15/6</f>
        <v>2.5</v>
      </c>
      <c r="G2751" s="4">
        <v>44642</v>
      </c>
    </row>
    <row r="2752" spans="2:18">
      <c r="G2752" s="4"/>
    </row>
    <row r="2753" spans="2:18">
      <c r="B2753" s="12" t="s">
        <v>1007</v>
      </c>
      <c r="C2753" s="13" t="s">
        <v>969</v>
      </c>
      <c r="D2753" s="13" t="s">
        <v>968</v>
      </c>
      <c r="F2753" s="15">
        <f>SUM(F2754:F2757)</f>
        <v>12.5</v>
      </c>
      <c r="G2753" s="14">
        <f>G2754</f>
        <v>45036</v>
      </c>
    </row>
    <row r="2754" spans="2:18">
      <c r="C2754" s="2" t="s">
        <v>7</v>
      </c>
      <c r="D2754" s="2" t="s">
        <v>796</v>
      </c>
      <c r="E2754" s="3">
        <v>50</v>
      </c>
      <c r="F2754" s="3">
        <v>6</v>
      </c>
      <c r="G2754" s="4">
        <v>45036</v>
      </c>
    </row>
    <row r="2755" spans="2:18">
      <c r="C2755" s="2" t="s">
        <v>5</v>
      </c>
      <c r="D2755" s="2" t="s">
        <v>796</v>
      </c>
      <c r="E2755" s="3">
        <v>16.5</v>
      </c>
      <c r="F2755" s="3">
        <v>1</v>
      </c>
      <c r="G2755" s="4">
        <v>44614</v>
      </c>
    </row>
    <row r="2756" spans="2:18">
      <c r="C2756" s="2" t="s">
        <v>4</v>
      </c>
      <c r="D2756" s="2" t="s">
        <v>796</v>
      </c>
      <c r="E2756" s="3">
        <v>1.2</v>
      </c>
      <c r="F2756" s="3">
        <v>0.5</v>
      </c>
      <c r="G2756" s="4">
        <v>44044</v>
      </c>
    </row>
    <row r="2757" spans="2:18">
      <c r="C2757" s="2" t="s">
        <v>7</v>
      </c>
      <c r="D2757" s="2" t="s">
        <v>108</v>
      </c>
      <c r="E2757" s="3">
        <v>5</v>
      </c>
      <c r="F2757" s="3">
        <v>5</v>
      </c>
      <c r="G2757" s="4">
        <v>43903</v>
      </c>
    </row>
    <row r="2758" spans="2:18">
      <c r="G2758" s="4"/>
    </row>
    <row r="2759" spans="2:18" s="12" customFormat="1">
      <c r="B2759" s="12" t="s">
        <v>721</v>
      </c>
      <c r="C2759" s="13" t="s">
        <v>969</v>
      </c>
      <c r="D2759" s="13" t="s">
        <v>968</v>
      </c>
      <c r="E2759" s="15"/>
      <c r="F2759" s="15">
        <f>SUM(F2760:F2764)</f>
        <v>12.733333333333334</v>
      </c>
      <c r="G2759" s="14">
        <f>G2762</f>
        <v>44483</v>
      </c>
      <c r="M2759" s="13"/>
      <c r="N2759" s="13"/>
      <c r="O2759" s="13"/>
      <c r="P2759" s="13"/>
      <c r="Q2759" s="13"/>
      <c r="R2759" s="13"/>
    </row>
    <row r="2760" spans="2:18">
      <c r="C2760" s="2" t="s">
        <v>5</v>
      </c>
      <c r="D2760" s="2" t="s">
        <v>720</v>
      </c>
      <c r="E2760" s="3">
        <v>20</v>
      </c>
      <c r="F2760" s="3">
        <v>7</v>
      </c>
      <c r="G2760" s="4">
        <v>44455</v>
      </c>
    </row>
    <row r="2761" spans="2:18">
      <c r="C2761" s="2" t="s">
        <v>4</v>
      </c>
      <c r="D2761" s="2" t="s">
        <v>720</v>
      </c>
      <c r="E2761" s="3">
        <v>2.1</v>
      </c>
      <c r="F2761" s="3">
        <v>1</v>
      </c>
      <c r="G2761" s="4">
        <v>44455</v>
      </c>
    </row>
    <row r="2762" spans="2:18">
      <c r="C2762" s="2" t="s">
        <v>5</v>
      </c>
      <c r="D2762" s="2" t="s">
        <v>719</v>
      </c>
      <c r="E2762" s="3">
        <v>11</v>
      </c>
      <c r="F2762" s="3">
        <f>7/3</f>
        <v>2.3333333333333335</v>
      </c>
      <c r="G2762" s="4">
        <v>44483</v>
      </c>
    </row>
    <row r="2763" spans="2:18">
      <c r="C2763" s="2" t="s">
        <v>4</v>
      </c>
      <c r="D2763" s="2" t="s">
        <v>719</v>
      </c>
      <c r="E2763" s="3">
        <v>2.9</v>
      </c>
      <c r="F2763" s="3">
        <v>1.9</v>
      </c>
      <c r="G2763" s="4">
        <v>44272</v>
      </c>
    </row>
    <row r="2764" spans="2:18">
      <c r="C2764" s="2" t="s">
        <v>4</v>
      </c>
      <c r="D2764" s="2" t="s">
        <v>481</v>
      </c>
      <c r="E2764" s="3">
        <v>2</v>
      </c>
      <c r="F2764" s="3">
        <v>0.5</v>
      </c>
      <c r="G2764" s="4">
        <v>43876</v>
      </c>
    </row>
    <row r="2765" spans="2:18">
      <c r="G2765" s="4"/>
    </row>
    <row r="2766" spans="2:18" s="12" customFormat="1">
      <c r="B2766" s="12" t="s">
        <v>5409</v>
      </c>
      <c r="C2766" s="13" t="s">
        <v>969</v>
      </c>
      <c r="D2766" s="13" t="s">
        <v>968</v>
      </c>
      <c r="E2766" s="15"/>
      <c r="F2766" s="15">
        <f>SUM(F2767:F2768)</f>
        <v>13.25</v>
      </c>
      <c r="G2766" s="14">
        <f>G2767</f>
        <v>44307</v>
      </c>
      <c r="M2766" s="13"/>
      <c r="N2766" s="13"/>
      <c r="O2766" s="13"/>
      <c r="P2766" s="13"/>
      <c r="Q2766" s="13"/>
      <c r="R2766" s="13"/>
    </row>
    <row r="2767" spans="2:18">
      <c r="B2767" s="91"/>
      <c r="C2767" s="92" t="s">
        <v>8</v>
      </c>
      <c r="D2767" s="92" t="s">
        <v>5407</v>
      </c>
      <c r="E2767" s="3">
        <v>50</v>
      </c>
      <c r="F2767" s="3">
        <f>30/4</f>
        <v>7.5</v>
      </c>
      <c r="G2767" s="4">
        <v>44307</v>
      </c>
      <c r="I2767" s="1">
        <v>2000</v>
      </c>
      <c r="J2767" s="1">
        <v>2000</v>
      </c>
    </row>
    <row r="2768" spans="2:18">
      <c r="C2768" s="92" t="s">
        <v>18</v>
      </c>
      <c r="D2768" s="92" t="s">
        <v>5407</v>
      </c>
      <c r="E2768" s="3">
        <v>37</v>
      </c>
      <c r="F2768" s="3">
        <f>23/4</f>
        <v>5.75</v>
      </c>
      <c r="G2768" s="4">
        <v>43831</v>
      </c>
      <c r="J2768" s="1">
        <v>2000</v>
      </c>
    </row>
    <row r="2770" spans="2:18" s="12" customFormat="1">
      <c r="B2770" s="12" t="s">
        <v>650</v>
      </c>
      <c r="C2770" s="13" t="s">
        <v>969</v>
      </c>
      <c r="D2770" s="13" t="s">
        <v>968</v>
      </c>
      <c r="E2770" s="15"/>
      <c r="F2770" s="15">
        <f>SUM(F2771:F2775)</f>
        <v>12.75</v>
      </c>
      <c r="G2770" s="14">
        <f>G2775</f>
        <v>44833</v>
      </c>
    </row>
    <row r="2771" spans="2:18">
      <c r="C2771" s="2" t="s">
        <v>4</v>
      </c>
      <c r="D2771" s="2" t="s">
        <v>649</v>
      </c>
      <c r="E2771" s="3">
        <v>8</v>
      </c>
      <c r="F2771" s="3">
        <v>3</v>
      </c>
      <c r="G2771" s="4">
        <v>44677</v>
      </c>
      <c r="M2771" s="1"/>
      <c r="N2771" s="1"/>
      <c r="O2771" s="1"/>
      <c r="P2771" s="1"/>
      <c r="Q2771" s="1"/>
      <c r="R2771" s="1"/>
    </row>
    <row r="2772" spans="2:18">
      <c r="C2772" s="2" t="s">
        <v>5</v>
      </c>
      <c r="D2772" s="2" t="s">
        <v>483</v>
      </c>
      <c r="E2772" s="3">
        <v>13</v>
      </c>
      <c r="F2772" s="3">
        <v>1.4</v>
      </c>
      <c r="G2772" s="4">
        <v>44516</v>
      </c>
      <c r="M2772" s="1"/>
      <c r="N2772" s="1"/>
      <c r="O2772" s="1"/>
      <c r="P2772" s="1"/>
      <c r="Q2772" s="1"/>
      <c r="R2772" s="1"/>
    </row>
    <row r="2773" spans="2:18">
      <c r="C2773" s="2" t="s">
        <v>4</v>
      </c>
      <c r="D2773" s="2" t="s">
        <v>347</v>
      </c>
      <c r="E2773" s="3">
        <v>3.5</v>
      </c>
      <c r="F2773" s="3">
        <f>E2773/10</f>
        <v>0.35</v>
      </c>
      <c r="G2773" s="4">
        <v>43046</v>
      </c>
      <c r="L2773" s="1">
        <v>0</v>
      </c>
      <c r="M2773" s="1"/>
      <c r="N2773" s="1"/>
      <c r="O2773" s="1"/>
      <c r="P2773" s="1"/>
      <c r="Q2773" s="1"/>
      <c r="R2773" s="1"/>
    </row>
    <row r="2774" spans="2:18">
      <c r="C2774" s="2" t="s">
        <v>7</v>
      </c>
      <c r="D2774" s="2" t="s">
        <v>52</v>
      </c>
      <c r="E2774" s="3">
        <v>18</v>
      </c>
      <c r="F2774" s="3">
        <v>6</v>
      </c>
      <c r="G2774" s="4">
        <v>43207</v>
      </c>
      <c r="M2774" s="1"/>
      <c r="N2774" s="1"/>
      <c r="O2774" s="1"/>
      <c r="P2774" s="1"/>
      <c r="Q2774" s="1"/>
      <c r="R2774" s="1"/>
    </row>
    <row r="2775" spans="2:18">
      <c r="C2775" s="177" t="s">
        <v>5</v>
      </c>
      <c r="D2775" s="177" t="s">
        <v>2018</v>
      </c>
      <c r="E2775" s="3">
        <v>16</v>
      </c>
      <c r="F2775" s="3">
        <v>2</v>
      </c>
      <c r="G2775" s="4">
        <v>44833</v>
      </c>
      <c r="M2775" s="1"/>
      <c r="N2775" s="1"/>
      <c r="O2775" s="1"/>
      <c r="P2775" s="1"/>
      <c r="Q2775" s="1"/>
      <c r="R2775" s="1"/>
    </row>
    <row r="2776" spans="2:18">
      <c r="C2776" s="177" t="s">
        <v>4</v>
      </c>
      <c r="D2776" s="177" t="s">
        <v>2018</v>
      </c>
      <c r="E2776" s="3">
        <v>4.8</v>
      </c>
      <c r="F2776" s="3">
        <f>E2776/3</f>
        <v>1.5999999999999999</v>
      </c>
      <c r="G2776" s="4">
        <v>44720</v>
      </c>
      <c r="M2776" s="1"/>
      <c r="N2776" s="1"/>
      <c r="O2776" s="1"/>
      <c r="P2776" s="1"/>
      <c r="Q2776" s="1"/>
      <c r="R2776" s="1"/>
    </row>
    <row r="2777" spans="2:18">
      <c r="G2777" s="4"/>
      <c r="M2777" s="1"/>
      <c r="N2777" s="1"/>
      <c r="O2777" s="1"/>
      <c r="P2777" s="1"/>
      <c r="Q2777" s="1"/>
      <c r="R2777" s="1"/>
    </row>
    <row r="2778" spans="2:18">
      <c r="B2778" s="12" t="s">
        <v>1001</v>
      </c>
      <c r="C2778" s="13" t="s">
        <v>969</v>
      </c>
      <c r="D2778" s="13" t="s">
        <v>968</v>
      </c>
      <c r="F2778" s="15">
        <f>SUM(F2779:F2783)</f>
        <v>12.6</v>
      </c>
      <c r="G2778" s="14">
        <f>G2779</f>
        <v>44796</v>
      </c>
    </row>
    <row r="2779" spans="2:18">
      <c r="C2779" s="2" t="s">
        <v>5</v>
      </c>
      <c r="D2779" s="2" t="s">
        <v>701</v>
      </c>
      <c r="E2779" s="3">
        <v>50</v>
      </c>
      <c r="F2779" s="3">
        <f>30/12</f>
        <v>2.5</v>
      </c>
      <c r="G2779" s="4">
        <v>44796</v>
      </c>
    </row>
    <row r="2780" spans="2:18">
      <c r="C2780" s="2" t="s">
        <v>4</v>
      </c>
      <c r="D2780" s="2" t="s">
        <v>701</v>
      </c>
      <c r="E2780" s="3">
        <v>12.5</v>
      </c>
      <c r="F2780" s="3">
        <f>8/5</f>
        <v>1.6</v>
      </c>
      <c r="G2780" s="4">
        <v>44623</v>
      </c>
    </row>
    <row r="2781" spans="2:18">
      <c r="C2781" s="2" t="s">
        <v>4</v>
      </c>
      <c r="D2781" s="2" t="s">
        <v>701</v>
      </c>
      <c r="E2781" s="3">
        <v>7.2</v>
      </c>
      <c r="F2781" s="3">
        <v>2</v>
      </c>
      <c r="G2781" s="4">
        <v>44508</v>
      </c>
    </row>
    <row r="2782" spans="2:18">
      <c r="C2782" s="2" t="s">
        <v>5</v>
      </c>
      <c r="D2782" s="2" t="s">
        <v>676</v>
      </c>
      <c r="E2782" s="3">
        <v>15</v>
      </c>
      <c r="F2782" s="3">
        <v>5</v>
      </c>
      <c r="G2782" s="4">
        <v>44482</v>
      </c>
    </row>
    <row r="2783" spans="2:18">
      <c r="C2783" s="2" t="s">
        <v>4</v>
      </c>
      <c r="D2783" s="2" t="s">
        <v>676</v>
      </c>
      <c r="E2783" s="3">
        <v>4.5</v>
      </c>
      <c r="F2783" s="3">
        <v>1.5</v>
      </c>
      <c r="G2783" s="4">
        <v>44362</v>
      </c>
    </row>
    <row r="2784" spans="2:18">
      <c r="G2784" s="4"/>
    </row>
    <row r="2785" spans="2:18" s="12" customFormat="1">
      <c r="B2785" s="12" t="s">
        <v>660</v>
      </c>
      <c r="C2785" s="13" t="s">
        <v>969</v>
      </c>
      <c r="D2785" s="13" t="s">
        <v>968</v>
      </c>
      <c r="E2785" s="15"/>
      <c r="F2785" s="15">
        <f>SUM(F2786:F2787)</f>
        <v>11.5</v>
      </c>
      <c r="G2785" s="14">
        <f>G2787</f>
        <v>44984</v>
      </c>
      <c r="M2785" s="13"/>
      <c r="N2785" s="13"/>
      <c r="O2785" s="13"/>
      <c r="P2785" s="13"/>
      <c r="Q2785" s="13"/>
      <c r="R2785" s="13"/>
    </row>
    <row r="2786" spans="2:18">
      <c r="C2786" s="2" t="s">
        <v>4</v>
      </c>
      <c r="D2786" s="2" t="s">
        <v>659</v>
      </c>
      <c r="E2786" s="3">
        <v>5</v>
      </c>
      <c r="F2786" s="3">
        <v>5</v>
      </c>
      <c r="G2786" s="4">
        <v>44873</v>
      </c>
      <c r="M2786" s="1"/>
      <c r="N2786" s="1"/>
      <c r="O2786" s="1"/>
      <c r="P2786" s="1"/>
      <c r="Q2786" s="1"/>
      <c r="R2786" s="1"/>
    </row>
    <row r="2787" spans="2:18">
      <c r="C2787" s="2" t="s">
        <v>5</v>
      </c>
      <c r="D2787" s="2" t="s">
        <v>632</v>
      </c>
      <c r="E2787" s="3">
        <v>10.5</v>
      </c>
      <c r="F2787" s="3">
        <v>6.5</v>
      </c>
      <c r="G2787" s="4">
        <v>44984</v>
      </c>
      <c r="M2787" s="1"/>
      <c r="N2787" s="1"/>
      <c r="O2787" s="1"/>
      <c r="P2787" s="1"/>
      <c r="Q2787" s="1"/>
      <c r="R2787" s="1"/>
    </row>
    <row r="2788" spans="2:18">
      <c r="G2788" s="4"/>
      <c r="M2788" s="1"/>
      <c r="N2788" s="1"/>
      <c r="O2788" s="1"/>
      <c r="P2788" s="1"/>
      <c r="Q2788" s="1"/>
      <c r="R2788" s="1"/>
    </row>
    <row r="2789" spans="2:18" s="12" customFormat="1">
      <c r="B2789" s="12" t="s">
        <v>6373</v>
      </c>
      <c r="C2789" s="13" t="s">
        <v>969</v>
      </c>
      <c r="D2789" s="13" t="s">
        <v>968</v>
      </c>
      <c r="E2789" s="15"/>
      <c r="F2789" s="15">
        <f>SUM(F2790:F2791)</f>
        <v>12</v>
      </c>
      <c r="G2789" s="14">
        <f>G2790</f>
        <v>44831</v>
      </c>
      <c r="M2789" s="13"/>
      <c r="N2789" s="13"/>
      <c r="O2789" s="13"/>
      <c r="P2789" s="13"/>
      <c r="Q2789" s="13"/>
      <c r="R2789" s="13"/>
    </row>
    <row r="2790" spans="2:18">
      <c r="B2790" s="152"/>
      <c r="C2790" s="153" t="s">
        <v>7</v>
      </c>
      <c r="D2790" s="153" t="s">
        <v>2041</v>
      </c>
      <c r="E2790" s="3">
        <v>42</v>
      </c>
      <c r="F2790" s="3">
        <v>10</v>
      </c>
      <c r="G2790" s="4">
        <v>44831</v>
      </c>
    </row>
    <row r="2791" spans="2:18">
      <c r="B2791" s="152"/>
      <c r="C2791" s="153" t="s">
        <v>5</v>
      </c>
      <c r="D2791" s="153" t="s">
        <v>2041</v>
      </c>
      <c r="E2791" s="3">
        <v>15</v>
      </c>
      <c r="F2791" s="3">
        <f>10/5</f>
        <v>2</v>
      </c>
      <c r="G2791" s="4">
        <v>44174</v>
      </c>
    </row>
    <row r="2792" spans="2:18">
      <c r="B2792" s="152"/>
      <c r="C2792" s="153"/>
      <c r="D2792" s="153"/>
      <c r="G2792" s="4"/>
    </row>
    <row r="2793" spans="2:18" s="12" customFormat="1">
      <c r="B2793" s="12" t="s">
        <v>6690</v>
      </c>
      <c r="C2793" s="13" t="s">
        <v>969</v>
      </c>
      <c r="D2793" s="13" t="s">
        <v>968</v>
      </c>
      <c r="E2793" s="15"/>
      <c r="F2793" s="15">
        <f>SUM(F2794:F2796)</f>
        <v>11.8</v>
      </c>
      <c r="G2793" s="14">
        <f>G2794</f>
        <v>44650</v>
      </c>
      <c r="M2793" s="13"/>
      <c r="N2793" s="13"/>
      <c r="O2793" s="13"/>
      <c r="P2793" s="13"/>
      <c r="Q2793" s="13"/>
      <c r="R2793" s="13"/>
    </row>
    <row r="2794" spans="2:18">
      <c r="C2794" s="2" t="s">
        <v>7</v>
      </c>
      <c r="D2794" s="2" t="s">
        <v>891</v>
      </c>
      <c r="E2794" s="3">
        <v>40</v>
      </c>
      <c r="F2794" s="3">
        <v>5</v>
      </c>
      <c r="G2794" s="4">
        <v>44650</v>
      </c>
    </row>
    <row r="2795" spans="2:18">
      <c r="C2795" s="2" t="s">
        <v>5</v>
      </c>
      <c r="D2795" s="2" t="s">
        <v>891</v>
      </c>
      <c r="E2795" s="3">
        <v>14</v>
      </c>
      <c r="F2795" s="3">
        <f>9/5</f>
        <v>1.8</v>
      </c>
      <c r="G2795" s="4">
        <v>44131</v>
      </c>
    </row>
    <row r="2796" spans="2:18">
      <c r="C2796" s="153" t="s">
        <v>7</v>
      </c>
      <c r="D2796" s="153" t="s">
        <v>2034</v>
      </c>
      <c r="E2796" s="3">
        <v>25</v>
      </c>
      <c r="F2796" s="3">
        <v>5</v>
      </c>
      <c r="G2796" s="4">
        <v>44572</v>
      </c>
    </row>
    <row r="2797" spans="2:18">
      <c r="G2797" s="4"/>
    </row>
    <row r="2798" spans="2:18" s="12" customFormat="1">
      <c r="B2798" s="12" t="s">
        <v>6398</v>
      </c>
      <c r="C2798" s="13" t="s">
        <v>969</v>
      </c>
      <c r="D2798" s="13" t="s">
        <v>968</v>
      </c>
      <c r="E2798" s="15"/>
      <c r="F2798" s="15">
        <f>SUM(F2799:F2801)</f>
        <v>11.5</v>
      </c>
      <c r="G2798" s="14">
        <f>G2799</f>
        <v>44468</v>
      </c>
      <c r="M2798" s="13"/>
      <c r="N2798" s="13"/>
      <c r="O2798" s="13"/>
      <c r="P2798" s="13"/>
      <c r="Q2798" s="13"/>
      <c r="R2798" s="13"/>
    </row>
    <row r="2799" spans="2:18">
      <c r="B2799" s="152"/>
      <c r="C2799" s="153" t="s">
        <v>7</v>
      </c>
      <c r="D2799" s="153" t="s">
        <v>6397</v>
      </c>
      <c r="E2799" s="3">
        <v>35</v>
      </c>
      <c r="F2799" s="3">
        <v>10</v>
      </c>
      <c r="G2799" s="4">
        <v>44468</v>
      </c>
    </row>
    <row r="2800" spans="2:18">
      <c r="B2800" s="152"/>
      <c r="C2800" s="153" t="s">
        <v>5</v>
      </c>
      <c r="D2800" s="153" t="s">
        <v>6397</v>
      </c>
      <c r="E2800" s="3">
        <v>8</v>
      </c>
      <c r="F2800" s="3">
        <v>1</v>
      </c>
      <c r="G2800" s="4">
        <v>44179</v>
      </c>
    </row>
    <row r="2801" spans="2:18">
      <c r="B2801" s="152"/>
      <c r="C2801" s="153" t="s">
        <v>4</v>
      </c>
      <c r="D2801" s="153" t="s">
        <v>6397</v>
      </c>
      <c r="E2801" s="3">
        <v>2</v>
      </c>
      <c r="F2801" s="3">
        <f>E2801/4</f>
        <v>0.5</v>
      </c>
      <c r="G2801" s="4">
        <v>43430</v>
      </c>
    </row>
    <row r="2802" spans="2:18">
      <c r="B2802" s="152"/>
      <c r="C2802" s="153"/>
      <c r="D2802" s="153"/>
      <c r="G2802" s="4"/>
    </row>
    <row r="2803" spans="2:18" s="12" customFormat="1">
      <c r="B2803" s="12" t="s">
        <v>990</v>
      </c>
      <c r="C2803" s="13" t="s">
        <v>969</v>
      </c>
      <c r="D2803" s="13" t="s">
        <v>968</v>
      </c>
      <c r="E2803" s="15"/>
      <c r="F2803" s="15">
        <f>SUM(F2804:F2808)</f>
        <v>11.8</v>
      </c>
      <c r="G2803" s="14">
        <f>+G2808</f>
        <v>45209</v>
      </c>
      <c r="M2803" s="13"/>
      <c r="N2803" s="13"/>
      <c r="O2803" s="13"/>
      <c r="P2803" s="13"/>
      <c r="Q2803" s="13"/>
      <c r="R2803" s="13"/>
    </row>
    <row r="2804" spans="2:18">
      <c r="C2804" s="2" t="s">
        <v>5</v>
      </c>
      <c r="D2804" s="2" t="s">
        <v>871</v>
      </c>
      <c r="E2804" s="3">
        <v>21.4</v>
      </c>
      <c r="F2804" s="3">
        <f>11.4/3</f>
        <v>3.8000000000000003</v>
      </c>
      <c r="G2804" s="4">
        <v>44232</v>
      </c>
    </row>
    <row r="2805" spans="2:18">
      <c r="C2805" s="2" t="s">
        <v>5</v>
      </c>
      <c r="D2805" s="2" t="s">
        <v>720</v>
      </c>
      <c r="E2805" s="3">
        <v>20</v>
      </c>
      <c r="F2805" s="3">
        <v>5</v>
      </c>
      <c r="G2805" s="4">
        <v>44455</v>
      </c>
    </row>
    <row r="2806" spans="2:18">
      <c r="C2806" s="153" t="s">
        <v>5</v>
      </c>
      <c r="D2806" s="153" t="s">
        <v>2039</v>
      </c>
      <c r="E2806" s="3">
        <v>18</v>
      </c>
      <c r="F2806" s="3">
        <v>1</v>
      </c>
      <c r="G2806" s="4">
        <v>43445</v>
      </c>
    </row>
    <row r="2807" spans="2:18">
      <c r="C2807" s="335" t="s">
        <v>4</v>
      </c>
      <c r="D2807" s="335" t="s">
        <v>8303</v>
      </c>
      <c r="E2807" s="3">
        <v>8</v>
      </c>
      <c r="F2807" s="3">
        <v>1</v>
      </c>
      <c r="G2807" s="4">
        <v>44482</v>
      </c>
    </row>
    <row r="2808" spans="2:18">
      <c r="C2808" s="398" t="s">
        <v>5</v>
      </c>
      <c r="D2808" s="398" t="s">
        <v>9716</v>
      </c>
      <c r="E2808" s="3">
        <v>16</v>
      </c>
      <c r="F2808" s="3">
        <v>1</v>
      </c>
      <c r="G2808" s="4">
        <v>45209</v>
      </c>
    </row>
    <row r="2809" spans="2:18">
      <c r="G2809" s="4"/>
    </row>
    <row r="2810" spans="2:18" s="12" customFormat="1">
      <c r="B2810" s="12" t="s">
        <v>6360</v>
      </c>
      <c r="C2810" s="13" t="s">
        <v>969</v>
      </c>
      <c r="D2810" s="13" t="s">
        <v>968</v>
      </c>
      <c r="E2810" s="15"/>
      <c r="F2810" s="15">
        <f>SUM(F2811:F2813)</f>
        <v>12</v>
      </c>
      <c r="G2810" s="14">
        <f>G2813</f>
        <v>44540</v>
      </c>
      <c r="M2810" s="13"/>
      <c r="N2810" s="13"/>
      <c r="O2810" s="13"/>
      <c r="P2810" s="13"/>
      <c r="Q2810" s="13"/>
      <c r="R2810" s="13"/>
    </row>
    <row r="2811" spans="2:18">
      <c r="B2811" s="152"/>
      <c r="C2811" s="153" t="s">
        <v>7</v>
      </c>
      <c r="D2811" s="153" t="s">
        <v>2046</v>
      </c>
      <c r="E2811" s="3">
        <v>50</v>
      </c>
      <c r="F2811" s="3">
        <v>4</v>
      </c>
      <c r="G2811" s="4">
        <v>44252</v>
      </c>
    </row>
    <row r="2812" spans="2:18">
      <c r="B2812" s="152"/>
      <c r="C2812" s="153" t="s">
        <v>5</v>
      </c>
      <c r="D2812" s="153" t="s">
        <v>2046</v>
      </c>
      <c r="E2812" s="3">
        <v>10</v>
      </c>
      <c r="F2812" s="3">
        <v>5</v>
      </c>
      <c r="G2812" s="4">
        <v>43059</v>
      </c>
    </row>
    <row r="2813" spans="2:18">
      <c r="B2813" s="152"/>
      <c r="C2813" s="241" t="s">
        <v>5</v>
      </c>
      <c r="D2813" s="241" t="s">
        <v>2010</v>
      </c>
      <c r="E2813" s="3">
        <v>9</v>
      </c>
      <c r="F2813" s="3">
        <v>3</v>
      </c>
      <c r="G2813" s="4">
        <v>44540</v>
      </c>
    </row>
    <row r="2814" spans="2:18">
      <c r="B2814" s="152"/>
      <c r="C2814" s="153"/>
      <c r="D2814" s="153"/>
      <c r="G2814" s="4"/>
    </row>
    <row r="2815" spans="2:18" s="12" customFormat="1">
      <c r="B2815" s="12" t="s">
        <v>405</v>
      </c>
      <c r="C2815" s="13" t="s">
        <v>969</v>
      </c>
      <c r="D2815" s="13" t="s">
        <v>968</v>
      </c>
      <c r="E2815" s="15"/>
      <c r="F2815" s="15">
        <f>SUM(F2816:F2818)</f>
        <v>12.25</v>
      </c>
      <c r="G2815" s="14">
        <f>G2816</f>
        <v>44538</v>
      </c>
    </row>
    <row r="2816" spans="2:18">
      <c r="C2816" s="2" t="s">
        <v>7</v>
      </c>
      <c r="D2816" s="2" t="s">
        <v>403</v>
      </c>
      <c r="E2816" s="3">
        <v>50</v>
      </c>
      <c r="F2816" s="3">
        <f>30/6</f>
        <v>5</v>
      </c>
      <c r="G2816" s="4">
        <v>44538</v>
      </c>
      <c r="M2816" s="1"/>
      <c r="N2816" s="1"/>
      <c r="O2816" s="1"/>
      <c r="P2816" s="1"/>
      <c r="Q2816" s="1"/>
      <c r="R2816" s="1"/>
    </row>
    <row r="2817" spans="2:18">
      <c r="C2817" s="2" t="s">
        <v>5</v>
      </c>
      <c r="D2817" s="2" t="s">
        <v>403</v>
      </c>
      <c r="E2817" s="3">
        <v>12.5</v>
      </c>
      <c r="F2817" s="3">
        <f>+E2817/2</f>
        <v>6.25</v>
      </c>
      <c r="G2817" s="4">
        <v>44306</v>
      </c>
      <c r="M2817" s="1"/>
      <c r="N2817" s="1"/>
      <c r="O2817" s="1"/>
      <c r="P2817" s="1"/>
      <c r="Q2817" s="1"/>
      <c r="R2817" s="1"/>
    </row>
    <row r="2818" spans="2:18">
      <c r="C2818" s="2" t="s">
        <v>4</v>
      </c>
      <c r="D2818" s="2" t="s">
        <v>403</v>
      </c>
      <c r="E2818" s="3">
        <v>3.1</v>
      </c>
      <c r="F2818" s="3">
        <v>1</v>
      </c>
      <c r="G2818" s="4">
        <v>43580</v>
      </c>
      <c r="M2818" s="1"/>
      <c r="N2818" s="1"/>
      <c r="O2818" s="1"/>
      <c r="P2818" s="1"/>
      <c r="Q2818" s="1"/>
      <c r="R2818" s="1"/>
    </row>
    <row r="2819" spans="2:18">
      <c r="G2819" s="4"/>
      <c r="M2819" s="1"/>
      <c r="N2819" s="1"/>
      <c r="O2819" s="1"/>
      <c r="P2819" s="1"/>
      <c r="Q2819" s="1"/>
      <c r="R2819" s="1"/>
    </row>
    <row r="2820" spans="2:18" s="12" customFormat="1">
      <c r="B2820" s="12" t="s">
        <v>451</v>
      </c>
      <c r="C2820" s="13" t="s">
        <v>969</v>
      </c>
      <c r="D2820" s="13" t="s">
        <v>968</v>
      </c>
      <c r="E2820" s="15"/>
      <c r="F2820" s="15">
        <f>SUM(F2821:F2823)</f>
        <v>11.295454545454547</v>
      </c>
      <c r="G2820" s="14">
        <f>G2821</f>
        <v>44776</v>
      </c>
    </row>
    <row r="2821" spans="2:18">
      <c r="C2821" s="2" t="s">
        <v>8</v>
      </c>
      <c r="D2821" s="2" t="s">
        <v>448</v>
      </c>
      <c r="E2821" s="3">
        <v>90</v>
      </c>
      <c r="F2821" s="3">
        <f>50/11</f>
        <v>4.5454545454545459</v>
      </c>
      <c r="G2821" s="4">
        <v>44776</v>
      </c>
      <c r="M2821" s="1"/>
      <c r="N2821" s="1"/>
      <c r="O2821" s="1"/>
      <c r="P2821" s="1"/>
      <c r="Q2821" s="1"/>
      <c r="R2821" s="1"/>
    </row>
    <row r="2822" spans="2:18">
      <c r="C2822" s="2" t="s">
        <v>18</v>
      </c>
      <c r="D2822" s="2" t="s">
        <v>448</v>
      </c>
      <c r="E2822" s="3">
        <v>40</v>
      </c>
      <c r="F2822" s="3">
        <v>3.75</v>
      </c>
      <c r="G2822" s="4">
        <v>44176</v>
      </c>
      <c r="M2822" s="1"/>
      <c r="N2822" s="1"/>
      <c r="O2822" s="1"/>
      <c r="P2822" s="1"/>
      <c r="Q2822" s="1"/>
      <c r="R2822" s="1"/>
    </row>
    <row r="2823" spans="2:18">
      <c r="C2823" s="2" t="s">
        <v>7</v>
      </c>
      <c r="D2823" s="2" t="s">
        <v>448</v>
      </c>
      <c r="E2823" s="3">
        <v>20</v>
      </c>
      <c r="F2823" s="3">
        <v>3</v>
      </c>
      <c r="G2823" s="4">
        <v>43879</v>
      </c>
      <c r="M2823" s="1"/>
      <c r="N2823" s="1"/>
      <c r="O2823" s="1"/>
      <c r="P2823" s="1"/>
      <c r="Q2823" s="1"/>
      <c r="R2823" s="1"/>
    </row>
    <row r="2824" spans="2:18">
      <c r="G2824" s="4"/>
      <c r="M2824" s="1"/>
      <c r="N2824" s="1"/>
      <c r="O2824" s="1"/>
      <c r="P2824" s="1"/>
      <c r="Q2824" s="1"/>
      <c r="R2824" s="1"/>
    </row>
    <row r="2825" spans="2:18" s="12" customFormat="1">
      <c r="B2825" s="12" t="s">
        <v>4985</v>
      </c>
      <c r="C2825" s="13" t="s">
        <v>969</v>
      </c>
      <c r="D2825" s="13" t="s">
        <v>968</v>
      </c>
      <c r="E2825" s="15"/>
      <c r="F2825" s="15">
        <f>SUM(F2826:F2828)</f>
        <v>10.816666666666666</v>
      </c>
      <c r="G2825" s="14">
        <f>G2826</f>
        <v>43069</v>
      </c>
      <c r="M2825" s="13"/>
      <c r="N2825" s="13"/>
      <c r="O2825" s="13"/>
      <c r="P2825" s="13"/>
      <c r="Q2825" s="13"/>
      <c r="R2825" s="13"/>
    </row>
    <row r="2826" spans="2:18">
      <c r="B2826" s="54"/>
      <c r="C2826" s="55" t="s">
        <v>18</v>
      </c>
      <c r="D2826" s="55" t="s">
        <v>2112</v>
      </c>
      <c r="E2826" s="3">
        <v>40</v>
      </c>
      <c r="F2826" s="3">
        <f>30/6</f>
        <v>5</v>
      </c>
      <c r="G2826" s="4">
        <v>43069</v>
      </c>
      <c r="J2826" s="1">
        <v>1600</v>
      </c>
    </row>
    <row r="2827" spans="2:18">
      <c r="B2827" s="54"/>
      <c r="C2827" s="55" t="s">
        <v>7</v>
      </c>
      <c r="D2827" s="55" t="s">
        <v>2112</v>
      </c>
      <c r="E2827" s="3">
        <v>20</v>
      </c>
      <c r="F2827" s="3">
        <f>13/3</f>
        <v>4.333333333333333</v>
      </c>
      <c r="G2827" s="4">
        <v>42317</v>
      </c>
      <c r="J2827" s="1">
        <v>1600</v>
      </c>
    </row>
    <row r="2828" spans="2:18">
      <c r="B2828" s="54"/>
      <c r="C2828" s="55" t="s">
        <v>5</v>
      </c>
      <c r="D2828" s="55" t="s">
        <v>2112</v>
      </c>
      <c r="E2828" s="3">
        <v>8.9</v>
      </c>
      <c r="F2828" s="3">
        <f>E2828/6</f>
        <v>1.4833333333333334</v>
      </c>
      <c r="G2828" s="4">
        <v>41839</v>
      </c>
      <c r="J2828" s="1">
        <v>1600</v>
      </c>
    </row>
    <row r="2829" spans="2:18">
      <c r="B2829" s="54"/>
      <c r="C2829" s="55"/>
      <c r="D2829" s="55"/>
      <c r="G2829" s="4"/>
    </row>
    <row r="2830" spans="2:18" s="12" customFormat="1">
      <c r="B2830" s="12" t="s">
        <v>97</v>
      </c>
      <c r="C2830" s="13" t="s">
        <v>969</v>
      </c>
      <c r="D2830" s="13" t="s">
        <v>968</v>
      </c>
      <c r="E2830" s="15"/>
      <c r="F2830" s="15">
        <f>SUM(F2831:F2833)</f>
        <v>11.2</v>
      </c>
      <c r="G2830" s="14">
        <f>G2831</f>
        <v>43783</v>
      </c>
      <c r="M2830" s="13"/>
      <c r="N2830" s="13"/>
      <c r="O2830" s="13"/>
      <c r="P2830" s="13"/>
      <c r="Q2830" s="13"/>
      <c r="R2830" s="13"/>
    </row>
    <row r="2831" spans="2:18">
      <c r="C2831" s="2" t="s">
        <v>7</v>
      </c>
      <c r="D2831" s="2" t="s">
        <v>95</v>
      </c>
      <c r="E2831" s="3">
        <v>25</v>
      </c>
      <c r="F2831" s="3">
        <f>15/5</f>
        <v>3</v>
      </c>
      <c r="G2831" s="4">
        <v>43783</v>
      </c>
    </row>
    <row r="2832" spans="2:18">
      <c r="C2832" s="2" t="s">
        <v>7</v>
      </c>
      <c r="D2832" s="2" t="s">
        <v>95</v>
      </c>
      <c r="E2832" s="3">
        <v>15</v>
      </c>
      <c r="F2832" s="3">
        <v>3.2</v>
      </c>
      <c r="G2832" s="4">
        <v>43559</v>
      </c>
    </row>
    <row r="2833" spans="2:18">
      <c r="C2833" s="2" t="s">
        <v>5</v>
      </c>
      <c r="D2833" s="2" t="s">
        <v>95</v>
      </c>
      <c r="E2833" s="3">
        <v>10</v>
      </c>
      <c r="F2833" s="3">
        <v>5</v>
      </c>
      <c r="G2833" s="4">
        <v>42304</v>
      </c>
    </row>
    <row r="2834" spans="2:18">
      <c r="G2834" s="4"/>
    </row>
    <row r="2835" spans="2:18" s="12" customFormat="1">
      <c r="B2835" s="12" t="s">
        <v>691</v>
      </c>
      <c r="C2835" s="13" t="s">
        <v>969</v>
      </c>
      <c r="D2835" s="13" t="s">
        <v>968</v>
      </c>
      <c r="E2835" s="15"/>
      <c r="F2835" s="15">
        <f>SUM(F2836:F2838)</f>
        <v>11</v>
      </c>
      <c r="G2835" s="14">
        <f>G2838</f>
        <v>45005</v>
      </c>
      <c r="M2835" s="13"/>
      <c r="N2835" s="13"/>
      <c r="O2835" s="13"/>
      <c r="P2835" s="13"/>
      <c r="Q2835" s="13"/>
      <c r="R2835" s="13"/>
    </row>
    <row r="2836" spans="2:18">
      <c r="C2836" s="2" t="s">
        <v>4</v>
      </c>
      <c r="D2836" s="2" t="s">
        <v>690</v>
      </c>
      <c r="E2836" s="3">
        <v>30</v>
      </c>
      <c r="F2836" s="3">
        <v>5</v>
      </c>
      <c r="G2836" s="4">
        <v>44742</v>
      </c>
    </row>
    <row r="2837" spans="2:18">
      <c r="C2837" s="2" t="s">
        <v>5</v>
      </c>
      <c r="D2837" s="2" t="s">
        <v>689</v>
      </c>
      <c r="E2837" s="3">
        <v>29</v>
      </c>
      <c r="F2837" s="3">
        <v>3</v>
      </c>
      <c r="G2837" s="4">
        <v>44691</v>
      </c>
    </row>
    <row r="2838" spans="2:18">
      <c r="C2838" s="2" t="s">
        <v>5</v>
      </c>
      <c r="D2838" s="2" t="s">
        <v>688</v>
      </c>
      <c r="E2838" s="3">
        <v>13</v>
      </c>
      <c r="F2838" s="3">
        <v>3</v>
      </c>
      <c r="G2838" s="4">
        <v>45005</v>
      </c>
    </row>
    <row r="2839" spans="2:18">
      <c r="G2839" s="4"/>
    </row>
    <row r="2840" spans="2:18" s="12" customFormat="1">
      <c r="B2840" s="12" t="s">
        <v>384</v>
      </c>
      <c r="C2840" s="13" t="s">
        <v>969</v>
      </c>
      <c r="D2840" s="13" t="s">
        <v>968</v>
      </c>
      <c r="E2840" s="15"/>
      <c r="F2840" s="15">
        <f>SUM(F2841:F2843)</f>
        <v>11.375</v>
      </c>
      <c r="G2840" s="14">
        <f>G2841</f>
        <v>44488</v>
      </c>
    </row>
    <row r="2841" spans="2:18">
      <c r="C2841" s="2" t="s">
        <v>5</v>
      </c>
      <c r="D2841" s="2" t="s">
        <v>381</v>
      </c>
      <c r="E2841" s="3">
        <v>86</v>
      </c>
      <c r="F2841" s="3">
        <v>10</v>
      </c>
      <c r="G2841" s="4">
        <v>44488</v>
      </c>
      <c r="M2841" s="1"/>
      <c r="N2841" s="1"/>
      <c r="O2841" s="1"/>
      <c r="P2841" s="1"/>
      <c r="Q2841" s="1"/>
      <c r="R2841" s="1"/>
    </row>
    <row r="2842" spans="2:18">
      <c r="C2842" s="2" t="s">
        <v>4</v>
      </c>
      <c r="D2842" s="2" t="s">
        <v>381</v>
      </c>
      <c r="E2842" s="3">
        <v>8.5</v>
      </c>
      <c r="F2842" s="3">
        <v>1</v>
      </c>
      <c r="G2842" s="4">
        <v>43796</v>
      </c>
      <c r="M2842" s="1"/>
      <c r="N2842" s="1"/>
      <c r="O2842" s="1"/>
      <c r="P2842" s="1"/>
      <c r="Q2842" s="1"/>
      <c r="R2842" s="1"/>
    </row>
    <row r="2843" spans="2:18">
      <c r="C2843" s="2" t="s">
        <v>4</v>
      </c>
      <c r="D2843" s="2" t="s">
        <v>381</v>
      </c>
      <c r="E2843" s="3">
        <v>0.75</v>
      </c>
      <c r="F2843" s="3">
        <f>+E2843/2</f>
        <v>0.375</v>
      </c>
      <c r="G2843" s="4">
        <v>43166</v>
      </c>
      <c r="M2843" s="1"/>
      <c r="N2843" s="1"/>
      <c r="O2843" s="1"/>
      <c r="P2843" s="1"/>
      <c r="Q2843" s="1"/>
      <c r="R2843" s="1"/>
    </row>
    <row r="2844" spans="2:18">
      <c r="G2844" s="4"/>
      <c r="M2844" s="1"/>
      <c r="N2844" s="1"/>
      <c r="O2844" s="1"/>
      <c r="P2844" s="1"/>
      <c r="Q2844" s="1"/>
      <c r="R2844" s="1"/>
    </row>
    <row r="2845" spans="2:18" s="12" customFormat="1">
      <c r="B2845" s="12" t="s">
        <v>452</v>
      </c>
      <c r="C2845" s="13" t="s">
        <v>969</v>
      </c>
      <c r="D2845" s="13" t="s">
        <v>968</v>
      </c>
      <c r="E2845" s="15"/>
      <c r="F2845" s="15">
        <f>SUM(F2846:F2848)</f>
        <v>11.295454545454547</v>
      </c>
      <c r="G2845" s="14">
        <f>G2846</f>
        <v>44776</v>
      </c>
    </row>
    <row r="2846" spans="2:18">
      <c r="C2846" s="2" t="s">
        <v>8</v>
      </c>
      <c r="D2846" s="2" t="s">
        <v>448</v>
      </c>
      <c r="E2846" s="3">
        <v>90</v>
      </c>
      <c r="F2846" s="3">
        <f>50/11</f>
        <v>4.5454545454545459</v>
      </c>
      <c r="G2846" s="4">
        <v>44776</v>
      </c>
      <c r="M2846" s="1"/>
      <c r="N2846" s="1"/>
      <c r="O2846" s="1"/>
      <c r="P2846" s="1"/>
      <c r="Q2846" s="1"/>
      <c r="R2846" s="1"/>
    </row>
    <row r="2847" spans="2:18">
      <c r="C2847" s="2" t="s">
        <v>18</v>
      </c>
      <c r="D2847" s="2" t="s">
        <v>448</v>
      </c>
      <c r="E2847" s="3">
        <v>40</v>
      </c>
      <c r="F2847" s="3">
        <v>3.75</v>
      </c>
      <c r="G2847" s="4">
        <v>44176</v>
      </c>
      <c r="M2847" s="1"/>
      <c r="N2847" s="1"/>
      <c r="O2847" s="1"/>
      <c r="P2847" s="1"/>
      <c r="Q2847" s="1"/>
      <c r="R2847" s="1"/>
    </row>
    <row r="2848" spans="2:18">
      <c r="C2848" s="2" t="s">
        <v>7</v>
      </c>
      <c r="D2848" s="2" t="s">
        <v>448</v>
      </c>
      <c r="E2848" s="3">
        <v>20</v>
      </c>
      <c r="F2848" s="3">
        <v>3</v>
      </c>
      <c r="G2848" s="4">
        <v>43879</v>
      </c>
      <c r="M2848" s="1"/>
      <c r="N2848" s="1"/>
      <c r="O2848" s="1"/>
      <c r="P2848" s="1"/>
      <c r="Q2848" s="1"/>
      <c r="R2848" s="1"/>
    </row>
    <row r="2849" spans="2:18">
      <c r="G2849" s="4"/>
      <c r="M2849" s="1"/>
      <c r="N2849" s="1"/>
      <c r="O2849" s="1"/>
      <c r="P2849" s="1"/>
      <c r="Q2849" s="1"/>
      <c r="R2849" s="1"/>
    </row>
    <row r="2850" spans="2:18" s="12" customFormat="1">
      <c r="B2850" s="12" t="s">
        <v>447</v>
      </c>
      <c r="C2850" s="13" t="s">
        <v>969</v>
      </c>
      <c r="D2850" s="13" t="s">
        <v>968</v>
      </c>
      <c r="E2850" s="15"/>
      <c r="F2850" s="15">
        <f>SUM(F2851:F2853)</f>
        <v>11</v>
      </c>
      <c r="G2850" s="14">
        <f>G2851</f>
        <v>44756</v>
      </c>
    </row>
    <row r="2851" spans="2:18">
      <c r="C2851" s="2" t="s">
        <v>7</v>
      </c>
      <c r="D2851" s="2" t="s">
        <v>446</v>
      </c>
      <c r="E2851" s="3">
        <v>30</v>
      </c>
      <c r="F2851" s="3">
        <v>5</v>
      </c>
      <c r="G2851" s="4">
        <v>44756</v>
      </c>
      <c r="M2851" s="1"/>
      <c r="N2851" s="1"/>
      <c r="O2851" s="1"/>
      <c r="P2851" s="1"/>
      <c r="Q2851" s="1"/>
      <c r="R2851" s="1"/>
    </row>
    <row r="2852" spans="2:18">
      <c r="C2852" s="2" t="s">
        <v>5</v>
      </c>
      <c r="D2852" s="2" t="s">
        <v>446</v>
      </c>
      <c r="E2852" s="3">
        <v>28</v>
      </c>
      <c r="F2852" s="3">
        <v>5</v>
      </c>
      <c r="G2852" s="4">
        <v>44624</v>
      </c>
      <c r="M2852" s="1"/>
      <c r="N2852" s="1"/>
      <c r="O2852" s="1"/>
      <c r="P2852" s="1"/>
      <c r="Q2852" s="1"/>
      <c r="R2852" s="1"/>
    </row>
    <row r="2853" spans="2:18">
      <c r="C2853" s="2" t="s">
        <v>4</v>
      </c>
      <c r="D2853" s="2" t="s">
        <v>446</v>
      </c>
      <c r="E2853" s="3">
        <v>5</v>
      </c>
      <c r="F2853" s="3">
        <v>1</v>
      </c>
      <c r="G2853" s="4">
        <v>44136</v>
      </c>
      <c r="M2853" s="1"/>
      <c r="N2853" s="1"/>
      <c r="O2853" s="1"/>
      <c r="P2853" s="1"/>
      <c r="Q2853" s="1"/>
      <c r="R2853" s="1"/>
    </row>
    <row r="2854" spans="2:18">
      <c r="G2854" s="4"/>
      <c r="M2854" s="1"/>
      <c r="N2854" s="1"/>
      <c r="O2854" s="1"/>
      <c r="P2854" s="1"/>
      <c r="Q2854" s="1"/>
      <c r="R2854" s="1"/>
    </row>
    <row r="2855" spans="2:18" s="12" customFormat="1">
      <c r="B2855" s="12" t="s">
        <v>718</v>
      </c>
      <c r="C2855" s="13" t="s">
        <v>969</v>
      </c>
      <c r="D2855" s="13" t="s">
        <v>968</v>
      </c>
      <c r="E2855" s="15"/>
      <c r="F2855" s="15">
        <f>SUM(F2856:F2858)</f>
        <v>10.7</v>
      </c>
      <c r="G2855" s="14">
        <f>G2858</f>
        <v>44952</v>
      </c>
      <c r="M2855" s="13"/>
      <c r="N2855" s="13"/>
      <c r="O2855" s="13"/>
      <c r="P2855" s="13"/>
      <c r="Q2855" s="13"/>
      <c r="R2855" s="13"/>
    </row>
    <row r="2856" spans="2:18">
      <c r="B2856" s="253" t="s">
        <v>7632</v>
      </c>
      <c r="C2856" s="2" t="s">
        <v>5</v>
      </c>
      <c r="D2856" s="2" t="s">
        <v>716</v>
      </c>
      <c r="E2856" s="3">
        <v>12.5</v>
      </c>
      <c r="F2856" s="3">
        <v>2</v>
      </c>
      <c r="G2856" s="4">
        <v>44784</v>
      </c>
    </row>
    <row r="2857" spans="2:18">
      <c r="C2857" s="2" t="s">
        <v>5</v>
      </c>
      <c r="D2857" s="2" t="s">
        <v>716</v>
      </c>
      <c r="E2857" s="3">
        <v>10</v>
      </c>
      <c r="F2857" s="3">
        <v>4</v>
      </c>
      <c r="G2857" s="4">
        <v>44110</v>
      </c>
    </row>
    <row r="2858" spans="2:18">
      <c r="C2858" s="2" t="s">
        <v>5</v>
      </c>
      <c r="D2858" s="2" t="s">
        <v>666</v>
      </c>
      <c r="E2858" s="3">
        <v>12.7</v>
      </c>
      <c r="F2858" s="3">
        <v>4.7</v>
      </c>
      <c r="G2858" s="4">
        <v>44952</v>
      </c>
    </row>
    <row r="2859" spans="2:18">
      <c r="G2859" s="4"/>
    </row>
    <row r="2860" spans="2:18" s="12" customFormat="1">
      <c r="B2860" s="12" t="s">
        <v>759</v>
      </c>
      <c r="C2860" s="13" t="s">
        <v>969</v>
      </c>
      <c r="D2860" s="13" t="s">
        <v>968</v>
      </c>
      <c r="E2860" s="15"/>
      <c r="F2860" s="15">
        <f>SUM(F2861:F2863)</f>
        <v>10.833333333333332</v>
      </c>
      <c r="G2860" s="14">
        <f>G2861</f>
        <v>43979</v>
      </c>
    </row>
    <row r="2861" spans="2:18">
      <c r="C2861" s="2" t="s">
        <v>4</v>
      </c>
      <c r="D2861" s="2" t="s">
        <v>730</v>
      </c>
      <c r="E2861" s="3">
        <v>1.5</v>
      </c>
      <c r="F2861" s="3">
        <v>0.5</v>
      </c>
      <c r="G2861" s="4">
        <v>43979</v>
      </c>
      <c r="M2861" s="1"/>
      <c r="N2861" s="1"/>
      <c r="O2861" s="1"/>
      <c r="P2861" s="1"/>
      <c r="Q2861" s="1"/>
      <c r="R2861" s="1"/>
    </row>
    <row r="2862" spans="2:18">
      <c r="C2862" s="52" t="s">
        <v>5</v>
      </c>
      <c r="D2862" s="52" t="s">
        <v>2118</v>
      </c>
      <c r="E2862" s="3">
        <f>52.3</f>
        <v>52.3</v>
      </c>
      <c r="F2862" s="3">
        <f>22/3</f>
        <v>7.333333333333333</v>
      </c>
      <c r="G2862" s="4">
        <v>43348</v>
      </c>
      <c r="J2862" s="1">
        <v>700</v>
      </c>
      <c r="M2862" s="1"/>
      <c r="N2862" s="1"/>
      <c r="O2862" s="1"/>
      <c r="P2862" s="1"/>
      <c r="Q2862" s="1"/>
      <c r="R2862" s="1"/>
    </row>
    <row r="2863" spans="2:18">
      <c r="C2863" s="52" t="s">
        <v>7</v>
      </c>
      <c r="D2863" s="52" t="s">
        <v>2116</v>
      </c>
      <c r="E2863" s="3">
        <v>40</v>
      </c>
      <c r="F2863" s="3">
        <v>3</v>
      </c>
      <c r="G2863" s="4">
        <v>43720</v>
      </c>
      <c r="J2863" s="1">
        <v>3400</v>
      </c>
      <c r="M2863" s="1"/>
      <c r="N2863" s="1"/>
      <c r="O2863" s="1"/>
      <c r="P2863" s="1"/>
      <c r="Q2863" s="1"/>
      <c r="R2863" s="1"/>
    </row>
    <row r="2864" spans="2:18">
      <c r="G2864" s="4"/>
      <c r="M2864" s="1"/>
      <c r="N2864" s="1"/>
      <c r="O2864" s="1"/>
      <c r="P2864" s="1"/>
      <c r="Q2864" s="1"/>
      <c r="R2864" s="1"/>
    </row>
    <row r="2865" spans="2:18" s="12" customFormat="1">
      <c r="B2865" s="12" t="s">
        <v>921</v>
      </c>
      <c r="C2865" s="13" t="s">
        <v>969</v>
      </c>
      <c r="D2865" s="13" t="s">
        <v>968</v>
      </c>
      <c r="E2865" s="15"/>
      <c r="F2865" s="15">
        <f>SUM(F2866:F2867)</f>
        <v>11</v>
      </c>
      <c r="G2865" s="14">
        <f>G2866</f>
        <v>45090</v>
      </c>
      <c r="M2865" s="13"/>
      <c r="N2865" s="13"/>
      <c r="O2865" s="13"/>
      <c r="P2865" s="13"/>
      <c r="Q2865" s="13"/>
      <c r="R2865" s="13"/>
    </row>
    <row r="2866" spans="2:18">
      <c r="C2866" s="2" t="s">
        <v>4</v>
      </c>
      <c r="D2866" s="2" t="s">
        <v>705</v>
      </c>
      <c r="E2866" s="3">
        <v>113</v>
      </c>
      <c r="F2866" s="3">
        <v>8</v>
      </c>
      <c r="G2866" s="4">
        <v>45090</v>
      </c>
    </row>
    <row r="2867" spans="2:18">
      <c r="C2867" s="2" t="s">
        <v>5</v>
      </c>
      <c r="D2867" s="2" t="s">
        <v>2129</v>
      </c>
      <c r="E2867" s="3">
        <v>20</v>
      </c>
      <c r="F2867" s="3">
        <v>3</v>
      </c>
      <c r="G2867" s="4">
        <v>44044</v>
      </c>
    </row>
    <row r="2868" spans="2:18">
      <c r="G2868" s="4"/>
    </row>
    <row r="2869" spans="2:18">
      <c r="B2869" s="12" t="s">
        <v>997</v>
      </c>
      <c r="C2869" s="13" t="s">
        <v>969</v>
      </c>
      <c r="D2869" s="13" t="s">
        <v>968</v>
      </c>
      <c r="E2869" s="15"/>
      <c r="F2869" s="15">
        <f>+F2870+F2871</f>
        <v>10.166666666666668</v>
      </c>
      <c r="G2869" s="14">
        <f>+G2870</f>
        <v>44417</v>
      </c>
    </row>
    <row r="2870" spans="2:18">
      <c r="C2870" s="2" t="s">
        <v>18</v>
      </c>
      <c r="D2870" s="2" t="s">
        <v>877</v>
      </c>
      <c r="E2870" s="3">
        <v>85</v>
      </c>
      <c r="F2870" s="3">
        <v>6</v>
      </c>
      <c r="G2870" s="4">
        <v>44417</v>
      </c>
    </row>
    <row r="2871" spans="2:18">
      <c r="C2871" s="2" t="s">
        <v>7</v>
      </c>
      <c r="D2871" s="2" t="s">
        <v>877</v>
      </c>
      <c r="E2871" s="3">
        <v>35</v>
      </c>
      <c r="F2871" s="3">
        <f>25/6</f>
        <v>4.166666666666667</v>
      </c>
      <c r="G2871" s="4">
        <v>44293</v>
      </c>
    </row>
    <row r="2872" spans="2:18">
      <c r="G2872" s="4"/>
    </row>
    <row r="2873" spans="2:18" s="12" customFormat="1">
      <c r="B2873" s="12" t="s">
        <v>738</v>
      </c>
      <c r="C2873" s="13" t="s">
        <v>969</v>
      </c>
      <c r="D2873" s="13" t="s">
        <v>968</v>
      </c>
      <c r="E2873" s="15"/>
      <c r="F2873" s="15">
        <f>SUM(F2874:F2876)</f>
        <v>9.8000000000000007</v>
      </c>
      <c r="G2873" s="14">
        <f>G2874</f>
        <v>44755</v>
      </c>
    </row>
    <row r="2874" spans="2:18">
      <c r="C2874" s="2" t="s">
        <v>7</v>
      </c>
      <c r="D2874" s="2" t="s">
        <v>735</v>
      </c>
      <c r="E2874" s="3">
        <v>25</v>
      </c>
      <c r="F2874" s="3">
        <f>15/5</f>
        <v>3</v>
      </c>
      <c r="G2874" s="4">
        <v>44755</v>
      </c>
    </row>
    <row r="2875" spans="2:18">
      <c r="C2875" s="2" t="s">
        <v>5</v>
      </c>
      <c r="D2875" s="2" t="s">
        <v>735</v>
      </c>
      <c r="E2875" s="3">
        <v>21</v>
      </c>
      <c r="F2875" s="3">
        <f>14/5</f>
        <v>2.8</v>
      </c>
      <c r="G2875" s="4">
        <v>44489</v>
      </c>
    </row>
    <row r="2876" spans="2:18">
      <c r="C2876" s="2" t="s">
        <v>4</v>
      </c>
      <c r="D2876" s="2" t="s">
        <v>735</v>
      </c>
      <c r="E2876" s="3">
        <v>9.1</v>
      </c>
      <c r="F2876" s="3">
        <v>4</v>
      </c>
      <c r="G2876" s="4">
        <v>44131</v>
      </c>
    </row>
    <row r="2877" spans="2:18">
      <c r="G2877" s="4"/>
    </row>
    <row r="2878" spans="2:18" s="12" customFormat="1">
      <c r="B2878" s="12" t="s">
        <v>658</v>
      </c>
      <c r="C2878" s="13" t="s">
        <v>969</v>
      </c>
      <c r="D2878" s="13" t="s">
        <v>968</v>
      </c>
      <c r="E2878" s="15"/>
      <c r="F2878" s="15">
        <f>SUM(F2879:F2883)</f>
        <v>10.45</v>
      </c>
      <c r="G2878" s="14">
        <f>G2879</f>
        <v>44579</v>
      </c>
      <c r="M2878" s="13"/>
      <c r="N2878" s="13"/>
      <c r="O2878" s="13"/>
      <c r="P2878" s="13"/>
      <c r="Q2878" s="13"/>
      <c r="R2878" s="13"/>
    </row>
    <row r="2879" spans="2:18">
      <c r="C2879" s="2" t="s">
        <v>5</v>
      </c>
      <c r="D2879" s="2" t="s">
        <v>656</v>
      </c>
      <c r="E2879" s="3">
        <v>12.6</v>
      </c>
      <c r="F2879" s="3">
        <v>3</v>
      </c>
      <c r="G2879" s="4">
        <v>44579</v>
      </c>
      <c r="M2879" s="1"/>
      <c r="N2879" s="1"/>
      <c r="O2879" s="1"/>
      <c r="P2879" s="1"/>
      <c r="Q2879" s="1"/>
      <c r="R2879" s="1"/>
    </row>
    <row r="2880" spans="2:18">
      <c r="C2880" s="2" t="s">
        <v>4</v>
      </c>
      <c r="D2880" s="2" t="s">
        <v>656</v>
      </c>
      <c r="E2880" s="3">
        <v>3</v>
      </c>
      <c r="F2880" s="3">
        <v>1</v>
      </c>
      <c r="G2880" s="4">
        <v>43999</v>
      </c>
      <c r="M2880" s="1"/>
      <c r="N2880" s="1"/>
      <c r="O2880" s="1"/>
      <c r="P2880" s="1"/>
      <c r="Q2880" s="1"/>
      <c r="R2880" s="1"/>
    </row>
    <row r="2881" spans="2:18">
      <c r="C2881" s="2" t="s">
        <v>7</v>
      </c>
      <c r="D2881" s="2" t="s">
        <v>310</v>
      </c>
      <c r="E2881" s="3">
        <v>40</v>
      </c>
      <c r="F2881" s="3">
        <v>4</v>
      </c>
      <c r="G2881" s="4">
        <v>43419</v>
      </c>
      <c r="M2881" s="1"/>
      <c r="N2881" s="1"/>
      <c r="O2881" s="1"/>
      <c r="P2881" s="1"/>
      <c r="Q2881" s="1"/>
      <c r="R2881" s="1"/>
    </row>
    <row r="2882" spans="2:18">
      <c r="C2882" s="2" t="s">
        <v>5</v>
      </c>
      <c r="D2882" s="2" t="s">
        <v>310</v>
      </c>
      <c r="E2882" s="3">
        <v>14.7</v>
      </c>
      <c r="F2882" s="3">
        <v>2.25</v>
      </c>
      <c r="G2882" s="4">
        <v>43032</v>
      </c>
      <c r="M2882" s="1"/>
      <c r="N2882" s="1"/>
      <c r="O2882" s="1"/>
      <c r="P2882" s="1"/>
      <c r="Q2882" s="1"/>
      <c r="R2882" s="1"/>
    </row>
    <row r="2883" spans="2:18">
      <c r="C2883" s="2" t="s">
        <v>4</v>
      </c>
      <c r="D2883" s="2" t="s">
        <v>302</v>
      </c>
      <c r="E2883" s="3">
        <v>1.8</v>
      </c>
      <c r="F2883" s="3">
        <v>0.2</v>
      </c>
      <c r="G2883" s="4">
        <v>42690</v>
      </c>
      <c r="M2883" s="1"/>
      <c r="N2883" s="1"/>
      <c r="O2883" s="1"/>
      <c r="P2883" s="1"/>
      <c r="Q2883" s="1"/>
      <c r="R2883" s="1"/>
    </row>
    <row r="2884" spans="2:18">
      <c r="G2884" s="4"/>
      <c r="M2884" s="1"/>
      <c r="N2884" s="1"/>
      <c r="O2884" s="1"/>
      <c r="P2884" s="1"/>
      <c r="Q2884" s="1"/>
      <c r="R2884" s="1"/>
    </row>
    <row r="2885" spans="2:18" s="12" customFormat="1">
      <c r="B2885" s="12" t="s">
        <v>996</v>
      </c>
      <c r="C2885" s="13" t="s">
        <v>969</v>
      </c>
      <c r="D2885" s="13" t="s">
        <v>968</v>
      </c>
      <c r="E2885" s="15"/>
      <c r="F2885" s="15">
        <f>SUM(F2886:F2887)</f>
        <v>10.142857142857142</v>
      </c>
      <c r="G2885" s="14">
        <f>G2886</f>
        <v>44628</v>
      </c>
      <c r="M2885" s="13"/>
      <c r="N2885" s="13"/>
      <c r="O2885" s="13"/>
      <c r="P2885" s="13"/>
      <c r="Q2885" s="13"/>
      <c r="R2885" s="13"/>
    </row>
    <row r="2886" spans="2:18">
      <c r="C2886" s="2" t="s">
        <v>7</v>
      </c>
      <c r="D2886" s="2" t="s">
        <v>864</v>
      </c>
      <c r="E2886" s="3">
        <v>50</v>
      </c>
      <c r="F2886" s="3">
        <f>E2886/7</f>
        <v>7.1428571428571432</v>
      </c>
      <c r="G2886" s="4">
        <v>44628</v>
      </c>
    </row>
    <row r="2887" spans="2:18">
      <c r="C2887" s="2" t="s">
        <v>5</v>
      </c>
      <c r="D2887" s="2" t="s">
        <v>864</v>
      </c>
      <c r="E2887" s="3">
        <v>10</v>
      </c>
      <c r="F2887" s="3">
        <v>3</v>
      </c>
      <c r="G2887" s="4">
        <v>44378</v>
      </c>
    </row>
    <row r="2888" spans="2:18">
      <c r="G2888" s="4"/>
    </row>
    <row r="2889" spans="2:18" s="12" customFormat="1">
      <c r="B2889" s="12" t="s">
        <v>995</v>
      </c>
      <c r="C2889" s="18" t="s">
        <v>969</v>
      </c>
      <c r="D2889" s="18" t="s">
        <v>968</v>
      </c>
      <c r="E2889" s="17"/>
      <c r="F2889" s="17">
        <f>SUM(F2890:F2892)</f>
        <v>10</v>
      </c>
      <c r="G2889" s="16">
        <f>G2890</f>
        <v>44963</v>
      </c>
      <c r="M2889" s="13"/>
      <c r="N2889" s="13"/>
      <c r="O2889" s="13"/>
      <c r="P2889" s="13"/>
      <c r="Q2889" s="13"/>
      <c r="R2889" s="13"/>
    </row>
    <row r="2890" spans="2:18">
      <c r="C2890" s="2" t="s">
        <v>5</v>
      </c>
      <c r="D2890" s="2" t="s">
        <v>994</v>
      </c>
      <c r="E2890" s="3">
        <v>23</v>
      </c>
      <c r="F2890" s="3">
        <v>5</v>
      </c>
      <c r="G2890" s="4">
        <v>44963</v>
      </c>
    </row>
    <row r="2891" spans="2:18">
      <c r="C2891" s="2" t="s">
        <v>5</v>
      </c>
      <c r="D2891" s="2" t="s">
        <v>669</v>
      </c>
      <c r="E2891" s="3">
        <v>14</v>
      </c>
      <c r="F2891" s="3">
        <v>3</v>
      </c>
      <c r="G2891" s="4">
        <v>44705</v>
      </c>
    </row>
    <row r="2892" spans="2:18">
      <c r="C2892" s="2" t="s">
        <v>4</v>
      </c>
      <c r="D2892" s="2" t="s">
        <v>669</v>
      </c>
      <c r="E2892" s="3">
        <v>5</v>
      </c>
      <c r="F2892" s="3">
        <v>2</v>
      </c>
      <c r="G2892" s="4">
        <v>44578</v>
      </c>
    </row>
    <row r="2893" spans="2:18">
      <c r="G2893" s="4"/>
    </row>
    <row r="2894" spans="2:18" s="12" customFormat="1">
      <c r="B2894" s="12" t="s">
        <v>664</v>
      </c>
      <c r="C2894" s="13" t="s">
        <v>969</v>
      </c>
      <c r="D2894" s="13" t="s">
        <v>968</v>
      </c>
      <c r="E2894" s="15"/>
      <c r="F2894" s="15">
        <f>SUM(F2895:F2898)</f>
        <v>10.944444444444445</v>
      </c>
      <c r="G2894" s="14">
        <f>G2896</f>
        <v>44887</v>
      </c>
      <c r="M2894" s="13"/>
      <c r="N2894" s="13"/>
      <c r="O2894" s="13"/>
      <c r="P2894" s="13"/>
      <c r="Q2894" s="13"/>
      <c r="R2894" s="13"/>
    </row>
    <row r="2895" spans="2:18">
      <c r="C2895" s="2" t="s">
        <v>5</v>
      </c>
      <c r="D2895" s="2" t="s">
        <v>663</v>
      </c>
      <c r="E2895" s="3">
        <v>17</v>
      </c>
      <c r="F2895" s="3">
        <v>6</v>
      </c>
      <c r="G2895" s="4">
        <v>44679</v>
      </c>
      <c r="M2895" s="1"/>
      <c r="N2895" s="1"/>
      <c r="O2895" s="1"/>
      <c r="P2895" s="1"/>
      <c r="Q2895" s="1"/>
      <c r="R2895" s="1"/>
    </row>
    <row r="2896" spans="2:18">
      <c r="C2896" s="2" t="s">
        <v>4</v>
      </c>
      <c r="D2896" s="2" t="s">
        <v>573</v>
      </c>
      <c r="E2896" s="3">
        <v>10</v>
      </c>
      <c r="F2896" s="3">
        <v>3</v>
      </c>
      <c r="G2896" s="4">
        <v>44887</v>
      </c>
      <c r="M2896" s="1"/>
      <c r="N2896" s="1"/>
      <c r="O2896" s="1"/>
      <c r="P2896" s="1"/>
      <c r="Q2896" s="1"/>
      <c r="R2896" s="1"/>
    </row>
    <row r="2897" spans="2:18">
      <c r="C2897" s="177" t="s">
        <v>4</v>
      </c>
      <c r="D2897" s="177" t="s">
        <v>2023</v>
      </c>
      <c r="E2897" s="3">
        <v>3.5</v>
      </c>
      <c r="F2897" s="3">
        <v>1.5</v>
      </c>
      <c r="G2897" s="4">
        <v>44609</v>
      </c>
      <c r="M2897" s="1"/>
      <c r="N2897" s="1"/>
      <c r="O2897" s="1"/>
      <c r="P2897" s="1"/>
      <c r="Q2897" s="1"/>
      <c r="R2897" s="1"/>
    </row>
    <row r="2898" spans="2:18">
      <c r="C2898" s="398" t="s">
        <v>278</v>
      </c>
      <c r="D2898" s="398" t="s">
        <v>9780</v>
      </c>
      <c r="E2898" s="3">
        <v>6</v>
      </c>
      <c r="F2898" s="3">
        <f>4/9</f>
        <v>0.44444444444444442</v>
      </c>
      <c r="G2898" s="4">
        <v>44348</v>
      </c>
      <c r="M2898" s="1"/>
      <c r="N2898" s="1"/>
      <c r="O2898" s="1"/>
      <c r="P2898" s="1"/>
      <c r="Q2898" s="1"/>
      <c r="R2898" s="1"/>
    </row>
    <row r="2899" spans="2:18">
      <c r="G2899" s="4"/>
      <c r="M2899" s="1"/>
      <c r="N2899" s="1"/>
      <c r="O2899" s="1"/>
      <c r="P2899" s="1"/>
      <c r="Q2899" s="1"/>
      <c r="R2899" s="1"/>
    </row>
    <row r="2900" spans="2:18" s="12" customFormat="1">
      <c r="B2900" s="12" t="s">
        <v>739</v>
      </c>
      <c r="C2900" s="13" t="s">
        <v>969</v>
      </c>
      <c r="D2900" s="13" t="s">
        <v>968</v>
      </c>
      <c r="E2900" s="15"/>
      <c r="F2900" s="15">
        <f>SUM(F2901:F2903)</f>
        <v>9.8000000000000007</v>
      </c>
      <c r="G2900" s="14">
        <f>G2901</f>
        <v>44755</v>
      </c>
    </row>
    <row r="2901" spans="2:18">
      <c r="C2901" s="2" t="s">
        <v>7</v>
      </c>
      <c r="D2901" s="2" t="s">
        <v>735</v>
      </c>
      <c r="E2901" s="3">
        <v>25</v>
      </c>
      <c r="F2901" s="3">
        <f>15/5</f>
        <v>3</v>
      </c>
      <c r="G2901" s="4">
        <v>44755</v>
      </c>
    </row>
    <row r="2902" spans="2:18">
      <c r="C2902" s="2" t="s">
        <v>5</v>
      </c>
      <c r="D2902" s="2" t="s">
        <v>735</v>
      </c>
      <c r="E2902" s="3">
        <v>21</v>
      </c>
      <c r="F2902" s="3">
        <f>14/5</f>
        <v>2.8</v>
      </c>
      <c r="G2902" s="4">
        <v>44489</v>
      </c>
    </row>
    <row r="2903" spans="2:18">
      <c r="C2903" s="2" t="s">
        <v>4</v>
      </c>
      <c r="D2903" s="2" t="s">
        <v>735</v>
      </c>
      <c r="E2903" s="3">
        <v>9.1</v>
      </c>
      <c r="F2903" s="3">
        <v>4</v>
      </c>
      <c r="G2903" s="4">
        <v>44131</v>
      </c>
    </row>
    <row r="2904" spans="2:18">
      <c r="G2904" s="4"/>
    </row>
    <row r="2905" spans="2:18" s="12" customFormat="1">
      <c r="B2905" s="12" t="s">
        <v>993</v>
      </c>
      <c r="C2905" s="13" t="s">
        <v>969</v>
      </c>
      <c r="D2905" s="13" t="s">
        <v>968</v>
      </c>
      <c r="E2905" s="15"/>
      <c r="F2905" s="15">
        <f>SUM(F2906:F2907)</f>
        <v>10.142857142857142</v>
      </c>
      <c r="G2905" s="14">
        <f>G2906</f>
        <v>44628</v>
      </c>
      <c r="M2905" s="13"/>
      <c r="N2905" s="13"/>
      <c r="O2905" s="13"/>
      <c r="P2905" s="13"/>
      <c r="Q2905" s="13"/>
      <c r="R2905" s="13"/>
    </row>
    <row r="2906" spans="2:18">
      <c r="C2906" s="2" t="s">
        <v>7</v>
      </c>
      <c r="D2906" s="2" t="s">
        <v>864</v>
      </c>
      <c r="E2906" s="3">
        <v>50</v>
      </c>
      <c r="F2906" s="3">
        <f>E2906/7</f>
        <v>7.1428571428571432</v>
      </c>
      <c r="G2906" s="4">
        <v>44628</v>
      </c>
    </row>
    <row r="2907" spans="2:18">
      <c r="C2907" s="2" t="s">
        <v>5</v>
      </c>
      <c r="D2907" s="2" t="s">
        <v>864</v>
      </c>
      <c r="E2907" s="3">
        <v>10</v>
      </c>
      <c r="F2907" s="3">
        <v>3</v>
      </c>
      <c r="G2907" s="4">
        <v>44378</v>
      </c>
    </row>
    <row r="2908" spans="2:18">
      <c r="G2908" s="4"/>
    </row>
    <row r="2909" spans="2:18" s="12" customFormat="1">
      <c r="B2909" s="12" t="s">
        <v>992</v>
      </c>
      <c r="C2909" s="13" t="s">
        <v>969</v>
      </c>
      <c r="D2909" s="13" t="s">
        <v>968</v>
      </c>
      <c r="E2909" s="15"/>
      <c r="F2909" s="15">
        <f>SUM(F2910:F2913)</f>
        <v>10</v>
      </c>
      <c r="G2909" s="14">
        <f>G2913</f>
        <v>44578</v>
      </c>
      <c r="M2909" s="13"/>
      <c r="N2909" s="13"/>
      <c r="O2909" s="13"/>
      <c r="P2909" s="13"/>
      <c r="Q2909" s="13"/>
      <c r="R2909" s="13"/>
    </row>
    <row r="2910" spans="2:18">
      <c r="C2910" s="2" t="s">
        <v>5</v>
      </c>
      <c r="D2910" s="2" t="s">
        <v>873</v>
      </c>
      <c r="E2910" s="3">
        <v>30</v>
      </c>
      <c r="F2910" s="3">
        <v>4</v>
      </c>
      <c r="G2910" s="4">
        <v>44522</v>
      </c>
    </row>
    <row r="2911" spans="2:18">
      <c r="C2911" s="2" t="s">
        <v>4</v>
      </c>
      <c r="D2911" s="2" t="s">
        <v>873</v>
      </c>
      <c r="E2911" s="3">
        <v>5.5</v>
      </c>
      <c r="F2911" s="3">
        <v>1</v>
      </c>
      <c r="G2911" s="4">
        <v>44096</v>
      </c>
    </row>
    <row r="2912" spans="2:18">
      <c r="C2912" s="2" t="s">
        <v>4</v>
      </c>
      <c r="D2912" s="2" t="s">
        <v>873</v>
      </c>
      <c r="E2912" s="3">
        <v>2</v>
      </c>
      <c r="F2912" s="3">
        <v>2</v>
      </c>
      <c r="G2912" s="4">
        <v>43862</v>
      </c>
    </row>
    <row r="2913" spans="2:18">
      <c r="C2913" s="2" t="s">
        <v>5</v>
      </c>
      <c r="D2913" s="2" t="s">
        <v>819</v>
      </c>
      <c r="E2913" s="3">
        <v>20</v>
      </c>
      <c r="F2913" s="3">
        <v>3</v>
      </c>
      <c r="G2913" s="4">
        <v>44578</v>
      </c>
    </row>
    <row r="2915" spans="2:18" s="12" customFormat="1">
      <c r="B2915" s="12" t="s">
        <v>294</v>
      </c>
      <c r="C2915" s="13" t="s">
        <v>969</v>
      </c>
      <c r="D2915" s="13" t="s">
        <v>968</v>
      </c>
      <c r="E2915" s="15"/>
      <c r="F2915" s="15">
        <f>SUM(F2916:F2921)</f>
        <v>10.213333333333335</v>
      </c>
      <c r="G2915" s="14">
        <f>+G2921</f>
        <v>45106</v>
      </c>
      <c r="M2915" s="13"/>
      <c r="N2915" s="13"/>
      <c r="O2915" s="13"/>
      <c r="P2915" s="13"/>
      <c r="Q2915" s="13"/>
      <c r="R2915" s="13"/>
    </row>
    <row r="2916" spans="2:18">
      <c r="C2916" s="2" t="s">
        <v>18</v>
      </c>
      <c r="D2916" s="2" t="s">
        <v>292</v>
      </c>
      <c r="E2916" s="3">
        <v>38</v>
      </c>
      <c r="F2916" s="3">
        <f>20/6</f>
        <v>3.3333333333333335</v>
      </c>
      <c r="G2916" s="4">
        <v>43104</v>
      </c>
    </row>
    <row r="2917" spans="2:18">
      <c r="C2917" s="2" t="s">
        <v>7</v>
      </c>
      <c r="D2917" s="2" t="s">
        <v>292</v>
      </c>
      <c r="E2917" s="3">
        <v>6.9</v>
      </c>
      <c r="F2917" s="3">
        <f>E2917/5</f>
        <v>1.3800000000000001</v>
      </c>
      <c r="G2917" s="4">
        <v>42458</v>
      </c>
    </row>
    <row r="2918" spans="2:18">
      <c r="C2918" s="2" t="s">
        <v>5</v>
      </c>
      <c r="D2918" s="2" t="s">
        <v>292</v>
      </c>
      <c r="E2918" s="3">
        <v>2.7</v>
      </c>
      <c r="F2918" s="3">
        <v>1</v>
      </c>
      <c r="G2918" s="4">
        <v>42139</v>
      </c>
    </row>
    <row r="2919" spans="2:18">
      <c r="C2919" s="398" t="s">
        <v>4</v>
      </c>
      <c r="D2919" s="398" t="s">
        <v>2001</v>
      </c>
      <c r="E2919" s="3">
        <v>1.5</v>
      </c>
      <c r="F2919" s="3">
        <v>1</v>
      </c>
      <c r="G2919" s="4">
        <v>43424</v>
      </c>
    </row>
    <row r="2920" spans="2:18">
      <c r="C2920" s="398" t="s">
        <v>5</v>
      </c>
      <c r="D2920" s="398" t="s">
        <v>2001</v>
      </c>
      <c r="E2920" s="3">
        <v>6</v>
      </c>
      <c r="F2920" s="3">
        <v>2</v>
      </c>
      <c r="G2920" s="4">
        <v>44391</v>
      </c>
    </row>
    <row r="2921" spans="2:18">
      <c r="C2921" s="398" t="s">
        <v>7</v>
      </c>
      <c r="D2921" s="398" t="s">
        <v>2001</v>
      </c>
      <c r="E2921" s="3">
        <v>6.5</v>
      </c>
      <c r="F2921" s="3">
        <v>1.5</v>
      </c>
      <c r="G2921" s="4">
        <v>45106</v>
      </c>
    </row>
    <row r="2922" spans="2:18">
      <c r="G2922" s="4"/>
    </row>
    <row r="2923" spans="2:18" s="12" customFormat="1">
      <c r="B2923" s="12" t="s">
        <v>991</v>
      </c>
      <c r="C2923" s="13" t="s">
        <v>969</v>
      </c>
      <c r="D2923" s="13" t="s">
        <v>968</v>
      </c>
      <c r="E2923" s="15"/>
      <c r="F2923" s="15">
        <f>SUM(F2924:F2929)</f>
        <v>9.5499999999999989</v>
      </c>
      <c r="G2923" s="14">
        <f>G2928</f>
        <v>44637</v>
      </c>
    </row>
    <row r="2924" spans="2:18">
      <c r="C2924" s="2" t="s">
        <v>18</v>
      </c>
      <c r="D2924" s="2" t="s">
        <v>606</v>
      </c>
      <c r="E2924" s="3">
        <v>48</v>
      </c>
      <c r="F2924" s="3">
        <v>4</v>
      </c>
      <c r="G2924" s="4">
        <v>43888</v>
      </c>
      <c r="J2924" s="1">
        <v>1200</v>
      </c>
      <c r="M2924" s="1"/>
      <c r="N2924" s="1"/>
      <c r="O2924" s="1"/>
      <c r="P2924" s="1"/>
      <c r="Q2924" s="1"/>
      <c r="R2924" s="1"/>
    </row>
    <row r="2925" spans="2:18">
      <c r="C2925" s="2" t="s">
        <v>7</v>
      </c>
      <c r="D2925" s="2" t="s">
        <v>606</v>
      </c>
      <c r="E2925" s="3">
        <v>25</v>
      </c>
      <c r="F2925" s="3">
        <v>2</v>
      </c>
      <c r="G2925" s="4">
        <v>43440</v>
      </c>
      <c r="J2925" s="1">
        <v>1200</v>
      </c>
      <c r="M2925" s="1"/>
      <c r="N2925" s="1"/>
      <c r="O2925" s="1"/>
      <c r="P2925" s="1"/>
      <c r="Q2925" s="1"/>
      <c r="R2925" s="1"/>
    </row>
    <row r="2926" spans="2:18">
      <c r="C2926" s="2" t="s">
        <v>5</v>
      </c>
      <c r="D2926" s="2" t="s">
        <v>606</v>
      </c>
      <c r="E2926" s="3">
        <v>5.8</v>
      </c>
      <c r="F2926" s="3">
        <f>E2926/4</f>
        <v>1.45</v>
      </c>
      <c r="G2926" s="4">
        <v>43117</v>
      </c>
      <c r="J2926" s="1">
        <v>1200</v>
      </c>
      <c r="M2926" s="1"/>
      <c r="N2926" s="1"/>
      <c r="O2926" s="1"/>
      <c r="P2926" s="1"/>
      <c r="Q2926" s="1"/>
      <c r="R2926" s="1"/>
    </row>
    <row r="2927" spans="2:18">
      <c r="C2927" s="2" t="s">
        <v>4</v>
      </c>
      <c r="D2927" s="2" t="s">
        <v>606</v>
      </c>
      <c r="E2927" s="3">
        <v>3.3</v>
      </c>
      <c r="F2927" s="3">
        <v>0.5</v>
      </c>
      <c r="G2927" s="4">
        <v>42678</v>
      </c>
      <c r="J2927" s="1">
        <v>1200</v>
      </c>
      <c r="M2927" s="1"/>
      <c r="N2927" s="1"/>
      <c r="O2927" s="1"/>
      <c r="P2927" s="1"/>
      <c r="Q2927" s="1"/>
      <c r="R2927" s="1"/>
    </row>
    <row r="2928" spans="2:18">
      <c r="C2928" s="2" t="s">
        <v>5</v>
      </c>
      <c r="D2928" s="2" t="s">
        <v>302</v>
      </c>
      <c r="E2928" s="3">
        <v>10</v>
      </c>
      <c r="F2928" s="3">
        <v>1.4</v>
      </c>
      <c r="G2928" s="4">
        <v>44637</v>
      </c>
      <c r="M2928" s="1"/>
      <c r="N2928" s="1"/>
      <c r="O2928" s="1"/>
      <c r="P2928" s="1"/>
      <c r="Q2928" s="1"/>
      <c r="R2928" s="1"/>
    </row>
    <row r="2929" spans="2:18">
      <c r="C2929" s="2" t="s">
        <v>4</v>
      </c>
      <c r="D2929" s="2" t="s">
        <v>302</v>
      </c>
      <c r="E2929" s="3">
        <v>1.8</v>
      </c>
      <c r="F2929" s="3">
        <v>0.2</v>
      </c>
      <c r="G2929" s="4">
        <v>42690</v>
      </c>
      <c r="M2929" s="1"/>
      <c r="N2929" s="1"/>
      <c r="O2929" s="1"/>
      <c r="P2929" s="1"/>
      <c r="Q2929" s="1"/>
      <c r="R2929" s="1"/>
    </row>
    <row r="2930" spans="2:18">
      <c r="G2930" s="4"/>
      <c r="M2930" s="1"/>
      <c r="N2930" s="1"/>
      <c r="O2930" s="1"/>
      <c r="P2930" s="1"/>
      <c r="Q2930" s="1"/>
      <c r="R2930" s="1"/>
    </row>
    <row r="2931" spans="2:18" s="12" customFormat="1">
      <c r="B2931" s="12" t="s">
        <v>274</v>
      </c>
      <c r="C2931" s="13" t="s">
        <v>969</v>
      </c>
      <c r="D2931" s="13" t="s">
        <v>968</v>
      </c>
      <c r="E2931" s="15"/>
      <c r="F2931" s="15">
        <f>SUM(F2932:F2933)</f>
        <v>8.9285714285714288</v>
      </c>
      <c r="G2931" s="14">
        <f>G2932</f>
        <v>44622</v>
      </c>
      <c r="M2931" s="13"/>
      <c r="N2931" s="13"/>
      <c r="O2931" s="13"/>
      <c r="P2931" s="13"/>
      <c r="Q2931" s="13"/>
      <c r="R2931" s="13"/>
    </row>
    <row r="2932" spans="2:18">
      <c r="C2932" s="2" t="s">
        <v>8</v>
      </c>
      <c r="D2932" s="2" t="s">
        <v>258</v>
      </c>
      <c r="E2932" s="3">
        <v>111</v>
      </c>
      <c r="F2932" s="3">
        <f>97/14</f>
        <v>6.9285714285714288</v>
      </c>
      <c r="G2932" s="4">
        <v>44622</v>
      </c>
    </row>
    <row r="2933" spans="2:18">
      <c r="C2933" s="2" t="s">
        <v>7</v>
      </c>
      <c r="D2933" s="2" t="s">
        <v>258</v>
      </c>
      <c r="E2933" s="3">
        <v>16</v>
      </c>
      <c r="F2933" s="3">
        <v>2</v>
      </c>
      <c r="G2933" s="4">
        <v>44009</v>
      </c>
    </row>
    <row r="2934" spans="2:18">
      <c r="G2934" s="4"/>
    </row>
    <row r="2935" spans="2:18" s="12" customFormat="1">
      <c r="B2935" s="12" t="s">
        <v>5223</v>
      </c>
      <c r="C2935" s="13" t="s">
        <v>969</v>
      </c>
      <c r="D2935" s="13" t="s">
        <v>968</v>
      </c>
      <c r="E2935" s="15"/>
      <c r="F2935" s="15">
        <f>SUM(F2936:F2937)</f>
        <v>9</v>
      </c>
      <c r="G2935" s="14">
        <f>G2936</f>
        <v>44319</v>
      </c>
      <c r="M2935" s="13"/>
      <c r="N2935" s="13"/>
      <c r="O2935" s="13"/>
      <c r="P2935" s="13"/>
      <c r="Q2935" s="13"/>
      <c r="R2935" s="13"/>
    </row>
    <row r="2936" spans="2:18">
      <c r="B2936" s="91"/>
      <c r="C2936" s="92" t="s">
        <v>7</v>
      </c>
      <c r="D2936" s="92" t="s">
        <v>2101</v>
      </c>
      <c r="E2936" s="3">
        <v>56</v>
      </c>
      <c r="F2936" s="3">
        <v>8</v>
      </c>
      <c r="G2936" s="4">
        <v>44319</v>
      </c>
    </row>
    <row r="2937" spans="2:18">
      <c r="C2937" s="92" t="s">
        <v>4</v>
      </c>
      <c r="D2937" s="92" t="s">
        <v>2101</v>
      </c>
      <c r="E2937" s="3">
        <v>2.5</v>
      </c>
      <c r="F2937" s="3">
        <v>1</v>
      </c>
      <c r="G2937" s="4">
        <v>43401</v>
      </c>
    </row>
    <row r="2938" spans="2:18">
      <c r="C2938" s="92"/>
      <c r="D2938" s="92"/>
      <c r="G2938" s="4"/>
    </row>
    <row r="2939" spans="2:18" s="12" customFormat="1">
      <c r="B2939" s="12" t="s">
        <v>6408</v>
      </c>
      <c r="C2939" s="13" t="s">
        <v>969</v>
      </c>
      <c r="D2939" s="13" t="s">
        <v>968</v>
      </c>
      <c r="E2939" s="15"/>
      <c r="F2939" s="15">
        <f>SUM(F2940:F2941)</f>
        <v>9</v>
      </c>
      <c r="G2939" s="14">
        <f>G2940</f>
        <v>44881</v>
      </c>
      <c r="M2939" s="13"/>
      <c r="N2939" s="13"/>
      <c r="O2939" s="13"/>
      <c r="P2939" s="13"/>
      <c r="Q2939" s="13"/>
      <c r="R2939" s="13"/>
    </row>
    <row r="2940" spans="2:18">
      <c r="B2940" s="152"/>
      <c r="C2940" s="153" t="s">
        <v>7</v>
      </c>
      <c r="D2940" s="153" t="s">
        <v>2037</v>
      </c>
      <c r="E2940" s="3">
        <v>30</v>
      </c>
      <c r="F2940" s="3">
        <f>20/4</f>
        <v>5</v>
      </c>
      <c r="G2940" s="4">
        <v>44881</v>
      </c>
    </row>
    <row r="2941" spans="2:18">
      <c r="B2941" s="152"/>
      <c r="C2941" s="153" t="s">
        <v>5</v>
      </c>
      <c r="D2941" s="153" t="s">
        <v>2037</v>
      </c>
      <c r="E2941" s="3">
        <v>11</v>
      </c>
      <c r="F2941" s="3">
        <v>4</v>
      </c>
      <c r="G2941" s="4">
        <v>44174</v>
      </c>
    </row>
    <row r="2942" spans="2:18">
      <c r="G2942" s="4"/>
    </row>
    <row r="2943" spans="2:18" s="12" customFormat="1">
      <c r="B2943" s="12" t="s">
        <v>307</v>
      </c>
      <c r="C2943" s="13" t="s">
        <v>969</v>
      </c>
      <c r="D2943" s="13" t="s">
        <v>968</v>
      </c>
      <c r="E2943" s="15"/>
      <c r="F2943" s="15">
        <f>SUM(F2944:F2949)</f>
        <v>8.9049999999999994</v>
      </c>
      <c r="G2943" s="14">
        <f>G2948</f>
        <v>44833</v>
      </c>
      <c r="M2943" s="13"/>
      <c r="N2943" s="13"/>
      <c r="O2943" s="13"/>
      <c r="P2943" s="13"/>
      <c r="Q2943" s="13"/>
      <c r="R2943" s="13"/>
    </row>
    <row r="2944" spans="2:18">
      <c r="C2944" s="2" t="s">
        <v>4</v>
      </c>
      <c r="D2944" s="2" t="s">
        <v>302</v>
      </c>
      <c r="E2944" s="3">
        <v>4.5</v>
      </c>
      <c r="F2944" s="3">
        <v>0.5</v>
      </c>
      <c r="G2944" s="4">
        <v>44175</v>
      </c>
    </row>
    <row r="2945" spans="2:18">
      <c r="C2945" s="2" t="s">
        <v>18</v>
      </c>
      <c r="D2945" s="2" t="s">
        <v>292</v>
      </c>
      <c r="E2945" s="3">
        <v>38</v>
      </c>
      <c r="F2945" s="3">
        <v>3</v>
      </c>
      <c r="G2945" s="4">
        <v>43104</v>
      </c>
    </row>
    <row r="2946" spans="2:18">
      <c r="C2946" s="2" t="s">
        <v>7</v>
      </c>
      <c r="D2946" s="2" t="s">
        <v>292</v>
      </c>
      <c r="E2946" s="3">
        <v>6.9</v>
      </c>
      <c r="F2946" s="3">
        <f>E2946/5</f>
        <v>1.3800000000000001</v>
      </c>
      <c r="G2946" s="4">
        <v>42458</v>
      </c>
    </row>
    <row r="2947" spans="2:18">
      <c r="C2947" s="2" t="s">
        <v>5</v>
      </c>
      <c r="D2947" s="2" t="s">
        <v>292</v>
      </c>
      <c r="E2947" s="3">
        <v>2.7</v>
      </c>
      <c r="F2947" s="3">
        <f>1.7/4</f>
        <v>0.42499999999999999</v>
      </c>
      <c r="G2947" s="4">
        <v>42139</v>
      </c>
    </row>
    <row r="2948" spans="2:18">
      <c r="C2948" s="2" t="s">
        <v>5</v>
      </c>
      <c r="D2948" s="177" t="s">
        <v>2018</v>
      </c>
      <c r="E2948" s="3">
        <v>10</v>
      </c>
      <c r="F2948" s="3">
        <v>2</v>
      </c>
      <c r="G2948" s="4">
        <v>44833</v>
      </c>
    </row>
    <row r="2949" spans="2:18">
      <c r="C2949" s="177" t="s">
        <v>4</v>
      </c>
      <c r="D2949" s="177" t="s">
        <v>2018</v>
      </c>
      <c r="E2949" s="3">
        <v>4.8</v>
      </c>
      <c r="F2949" s="3">
        <f>E2949/3</f>
        <v>1.5999999999999999</v>
      </c>
      <c r="G2949" s="4">
        <v>44720</v>
      </c>
    </row>
    <row r="2950" spans="2:18">
      <c r="G2950" s="4"/>
    </row>
    <row r="2951" spans="2:18" s="12" customFormat="1">
      <c r="B2951" s="12" t="s">
        <v>267</v>
      </c>
      <c r="C2951" s="13" t="s">
        <v>969</v>
      </c>
      <c r="D2951" s="13" t="s">
        <v>968</v>
      </c>
      <c r="E2951" s="15"/>
      <c r="F2951" s="15">
        <f>SUM(F2952:F2954)</f>
        <v>9.2916666666666661</v>
      </c>
      <c r="G2951" s="14">
        <f>G2952</f>
        <v>44314</v>
      </c>
      <c r="M2951" s="13"/>
      <c r="N2951" s="13"/>
      <c r="O2951" s="13"/>
      <c r="P2951" s="13"/>
      <c r="Q2951" s="13"/>
      <c r="R2951" s="13"/>
    </row>
    <row r="2952" spans="2:18">
      <c r="C2952" s="2" t="s">
        <v>18</v>
      </c>
      <c r="D2952" s="2" t="s">
        <v>258</v>
      </c>
      <c r="E2952" s="3">
        <v>55</v>
      </c>
      <c r="F2952" s="3">
        <v>5.625</v>
      </c>
      <c r="G2952" s="4">
        <v>44314</v>
      </c>
    </row>
    <row r="2953" spans="2:18">
      <c r="C2953" s="2" t="s">
        <v>7</v>
      </c>
      <c r="D2953" s="2" t="s">
        <v>258</v>
      </c>
      <c r="E2953" s="3">
        <v>16</v>
      </c>
      <c r="F2953" s="3">
        <v>2</v>
      </c>
      <c r="G2953" s="4">
        <v>44009</v>
      </c>
    </row>
    <row r="2954" spans="2:18">
      <c r="C2954" s="2" t="s">
        <v>5</v>
      </c>
      <c r="D2954" s="2" t="s">
        <v>258</v>
      </c>
      <c r="E2954" s="3">
        <v>14</v>
      </c>
      <c r="F2954" s="3">
        <v>1.6666666666666667</v>
      </c>
      <c r="G2954" s="4">
        <v>43690</v>
      </c>
    </row>
    <row r="2955" spans="2:18">
      <c r="G2955" s="4"/>
    </row>
    <row r="2956" spans="2:18" s="12" customFormat="1">
      <c r="B2956" s="12" t="s">
        <v>276</v>
      </c>
      <c r="C2956" s="13" t="s">
        <v>969</v>
      </c>
      <c r="D2956" s="13" t="s">
        <v>968</v>
      </c>
      <c r="E2956" s="15"/>
      <c r="F2956" s="15">
        <f>SUM(F2957:F2958)</f>
        <v>8.9285714285714288</v>
      </c>
      <c r="G2956" s="14">
        <f>G2957</f>
        <v>44622</v>
      </c>
      <c r="M2956" s="13"/>
      <c r="N2956" s="13"/>
      <c r="O2956" s="13"/>
      <c r="P2956" s="13"/>
      <c r="Q2956" s="13"/>
      <c r="R2956" s="13"/>
    </row>
    <row r="2957" spans="2:18">
      <c r="C2957" s="2" t="s">
        <v>8</v>
      </c>
      <c r="D2957" s="2" t="s">
        <v>258</v>
      </c>
      <c r="E2957" s="3">
        <v>111</v>
      </c>
      <c r="F2957" s="3">
        <f>97/14</f>
        <v>6.9285714285714288</v>
      </c>
      <c r="G2957" s="4">
        <v>44622</v>
      </c>
    </row>
    <row r="2958" spans="2:18">
      <c r="C2958" s="2" t="s">
        <v>7</v>
      </c>
      <c r="D2958" s="2" t="s">
        <v>258</v>
      </c>
      <c r="E2958" s="3">
        <v>16</v>
      </c>
      <c r="F2958" s="3">
        <v>2</v>
      </c>
      <c r="G2958" s="4">
        <v>44009</v>
      </c>
    </row>
    <row r="2959" spans="2:18">
      <c r="G2959" s="4"/>
    </row>
    <row r="2960" spans="2:18" s="12" customFormat="1">
      <c r="B2960" s="12" t="s">
        <v>6374</v>
      </c>
      <c r="C2960" s="13" t="s">
        <v>969</v>
      </c>
      <c r="D2960" s="13" t="s">
        <v>968</v>
      </c>
      <c r="E2960" s="15"/>
      <c r="F2960" s="15">
        <f>SUM(F2961:F2963)</f>
        <v>9.15</v>
      </c>
      <c r="G2960" s="14">
        <f>G2961</f>
        <v>44831</v>
      </c>
      <c r="M2960" s="13"/>
      <c r="N2960" s="13"/>
      <c r="O2960" s="13"/>
      <c r="P2960" s="13"/>
      <c r="Q2960" s="13"/>
      <c r="R2960" s="13"/>
    </row>
    <row r="2961" spans="2:18">
      <c r="B2961" s="152"/>
      <c r="C2961" s="153" t="s">
        <v>7</v>
      </c>
      <c r="D2961" s="153" t="s">
        <v>2041</v>
      </c>
      <c r="E2961" s="3">
        <v>42</v>
      </c>
      <c r="F2961" s="3">
        <f>22/4</f>
        <v>5.5</v>
      </c>
      <c r="G2961" s="4">
        <v>44831</v>
      </c>
    </row>
    <row r="2962" spans="2:18">
      <c r="B2962" s="152"/>
      <c r="C2962" s="153" t="s">
        <v>5</v>
      </c>
      <c r="D2962" s="153" t="s">
        <v>2041</v>
      </c>
      <c r="E2962" s="3">
        <v>15</v>
      </c>
      <c r="F2962" s="3">
        <f>10/5</f>
        <v>2</v>
      </c>
      <c r="G2962" s="4">
        <v>44174</v>
      </c>
    </row>
    <row r="2963" spans="2:18">
      <c r="B2963" s="152"/>
      <c r="C2963" s="153" t="s">
        <v>4</v>
      </c>
      <c r="D2963" s="153" t="s">
        <v>2041</v>
      </c>
      <c r="E2963" s="3">
        <v>3.3</v>
      </c>
      <c r="F2963" s="3">
        <f>E2963/2</f>
        <v>1.65</v>
      </c>
      <c r="G2963" s="4">
        <v>43810</v>
      </c>
    </row>
    <row r="2964" spans="2:18">
      <c r="B2964" s="152"/>
      <c r="C2964" s="153"/>
      <c r="D2964" s="153"/>
      <c r="G2964" s="4"/>
    </row>
    <row r="2965" spans="2:18" s="12" customFormat="1">
      <c r="B2965" s="12" t="s">
        <v>872</v>
      </c>
      <c r="C2965" s="13" t="s">
        <v>969</v>
      </c>
      <c r="D2965" s="13" t="s">
        <v>968</v>
      </c>
      <c r="E2965" s="15"/>
      <c r="F2965" s="15">
        <f>SUM(F2966:F2967)</f>
        <v>8.8000000000000007</v>
      </c>
      <c r="G2965" s="14">
        <f>G2967</f>
        <v>44238</v>
      </c>
      <c r="M2965" s="13"/>
      <c r="N2965" s="13"/>
      <c r="O2965" s="13"/>
      <c r="P2965" s="13"/>
      <c r="Q2965" s="13"/>
      <c r="R2965" s="13"/>
    </row>
    <row r="2966" spans="2:18">
      <c r="C2966" s="2" t="s">
        <v>5</v>
      </c>
      <c r="D2966" s="2" t="s">
        <v>871</v>
      </c>
      <c r="E2966" s="3">
        <v>21.4</v>
      </c>
      <c r="F2966" s="3">
        <f>11.4/3</f>
        <v>3.8000000000000003</v>
      </c>
      <c r="G2966" s="4">
        <v>44232</v>
      </c>
    </row>
    <row r="2967" spans="2:18">
      <c r="C2967" s="55" t="s">
        <v>18</v>
      </c>
      <c r="D2967" s="55" t="s">
        <v>2109</v>
      </c>
      <c r="E2967" s="3">
        <v>40</v>
      </c>
      <c r="F2967" s="3">
        <v>5</v>
      </c>
      <c r="G2967" s="4">
        <v>44238</v>
      </c>
      <c r="J2967" s="1">
        <v>790</v>
      </c>
    </row>
    <row r="2968" spans="2:18">
      <c r="G2968" s="4"/>
    </row>
    <row r="2969" spans="2:18" s="12" customFormat="1">
      <c r="B2969" s="12" t="s">
        <v>6375</v>
      </c>
      <c r="C2969" s="13" t="s">
        <v>969</v>
      </c>
      <c r="D2969" s="13" t="s">
        <v>968</v>
      </c>
      <c r="E2969" s="15"/>
      <c r="F2969" s="15">
        <f>SUM(F2970:F2971)</f>
        <v>7.5</v>
      </c>
      <c r="G2969" s="14">
        <f>G2970</f>
        <v>44831</v>
      </c>
      <c r="M2969" s="13"/>
      <c r="N2969" s="13"/>
      <c r="O2969" s="13"/>
      <c r="P2969" s="13"/>
      <c r="Q2969" s="13"/>
      <c r="R2969" s="13"/>
    </row>
    <row r="2970" spans="2:18">
      <c r="B2970" s="152"/>
      <c r="C2970" s="153" t="s">
        <v>7</v>
      </c>
      <c r="D2970" s="153" t="s">
        <v>2041</v>
      </c>
      <c r="E2970" s="3">
        <v>42</v>
      </c>
      <c r="F2970" s="3">
        <f>22/4</f>
        <v>5.5</v>
      </c>
      <c r="G2970" s="4">
        <v>44831</v>
      </c>
    </row>
    <row r="2971" spans="2:18">
      <c r="B2971" s="152"/>
      <c r="C2971" s="153" t="s">
        <v>5</v>
      </c>
      <c r="D2971" s="153" t="s">
        <v>2041</v>
      </c>
      <c r="E2971" s="3">
        <v>15</v>
      </c>
      <c r="F2971" s="3">
        <f>10/5</f>
        <v>2</v>
      </c>
      <c r="G2971" s="4">
        <v>44174</v>
      </c>
    </row>
    <row r="2972" spans="2:18">
      <c r="B2972" s="152"/>
      <c r="C2972" s="153"/>
      <c r="D2972" s="153"/>
      <c r="G2972" s="4"/>
    </row>
    <row r="2973" spans="2:18" s="12" customFormat="1">
      <c r="B2973" s="12" t="s">
        <v>179</v>
      </c>
      <c r="C2973" s="13" t="s">
        <v>969</v>
      </c>
      <c r="D2973" s="13" t="s">
        <v>968</v>
      </c>
      <c r="E2973" s="15"/>
      <c r="F2973" s="15">
        <f>SUM(F2974:F2975)</f>
        <v>7.9666666666666668</v>
      </c>
      <c r="G2973" s="14">
        <f>G2974</f>
        <v>41437</v>
      </c>
      <c r="M2973" s="13"/>
      <c r="N2973" s="13"/>
      <c r="O2973" s="13"/>
      <c r="P2973" s="13"/>
      <c r="Q2973" s="13"/>
      <c r="R2973" s="13"/>
    </row>
    <row r="2974" spans="2:18">
      <c r="C2974" s="2" t="s">
        <v>18</v>
      </c>
      <c r="D2974" s="2" t="s">
        <v>176</v>
      </c>
      <c r="E2974" s="3">
        <v>34</v>
      </c>
      <c r="F2974" s="3">
        <f>14/3</f>
        <v>4.666666666666667</v>
      </c>
      <c r="G2974" s="4">
        <v>41437</v>
      </c>
    </row>
    <row r="2975" spans="2:18">
      <c r="C2975" s="2" t="s">
        <v>7</v>
      </c>
      <c r="D2975" s="2" t="s">
        <v>176</v>
      </c>
      <c r="E2975" s="3">
        <v>16.5</v>
      </c>
      <c r="F2975" s="3">
        <f>E2975/5</f>
        <v>3.3</v>
      </c>
      <c r="G2975" s="4">
        <v>41176</v>
      </c>
    </row>
    <row r="2976" spans="2:18">
      <c r="G2976" s="4"/>
    </row>
    <row r="2977" spans="2:18" s="12" customFormat="1">
      <c r="B2977" s="12" t="s">
        <v>6684</v>
      </c>
      <c r="C2977" s="13" t="s">
        <v>969</v>
      </c>
      <c r="D2977" s="13" t="s">
        <v>968</v>
      </c>
      <c r="E2977" s="15"/>
      <c r="F2977" s="15">
        <f>SUM(F2978:F2979)</f>
        <v>7.8571428571428577</v>
      </c>
      <c r="G2977" s="14">
        <f>G2978</f>
        <v>43178</v>
      </c>
      <c r="M2977" s="13"/>
      <c r="N2977" s="13"/>
      <c r="O2977" s="13"/>
      <c r="P2977" s="13"/>
      <c r="Q2977" s="13"/>
      <c r="R2977" s="13"/>
    </row>
    <row r="2978" spans="2:18">
      <c r="C2978" s="2" t="s">
        <v>8</v>
      </c>
      <c r="D2978" s="2" t="s">
        <v>102</v>
      </c>
      <c r="E2978" s="3">
        <v>30</v>
      </c>
      <c r="F2978" s="3">
        <f>20/7</f>
        <v>2.8571428571428572</v>
      </c>
      <c r="G2978" s="4">
        <v>43178</v>
      </c>
    </row>
    <row r="2979" spans="2:18">
      <c r="C2979" s="55" t="s">
        <v>18</v>
      </c>
      <c r="D2979" s="55" t="s">
        <v>2112</v>
      </c>
      <c r="E2979" s="3">
        <v>40</v>
      </c>
      <c r="F2979" s="3">
        <v>5</v>
      </c>
      <c r="G2979" s="4">
        <v>43069</v>
      </c>
      <c r="J2979" s="1">
        <v>1600</v>
      </c>
    </row>
    <row r="2980" spans="2:18">
      <c r="G2980" s="4"/>
    </row>
    <row r="2981" spans="2:18" s="12" customFormat="1">
      <c r="B2981" s="12" t="s">
        <v>459</v>
      </c>
      <c r="C2981" s="13" t="s">
        <v>969</v>
      </c>
      <c r="D2981" s="13" t="s">
        <v>968</v>
      </c>
      <c r="E2981" s="15"/>
      <c r="F2981" s="15">
        <f>SUM(F2982:F2983)</f>
        <v>8.3000000000000007</v>
      </c>
      <c r="G2981" s="14">
        <f>G2982</f>
        <v>44600</v>
      </c>
    </row>
    <row r="2982" spans="2:18">
      <c r="C2982" s="2" t="s">
        <v>7</v>
      </c>
      <c r="D2982" s="2" t="s">
        <v>456</v>
      </c>
      <c r="E2982" s="3">
        <v>26.8</v>
      </c>
      <c r="F2982" s="3">
        <v>4</v>
      </c>
      <c r="G2982" s="4">
        <v>44600</v>
      </c>
      <c r="M2982" s="1"/>
      <c r="N2982" s="1"/>
      <c r="O2982" s="1"/>
      <c r="P2982" s="1"/>
      <c r="Q2982" s="1"/>
      <c r="R2982" s="1"/>
    </row>
    <row r="2983" spans="2:18">
      <c r="C2983" s="2" t="s">
        <v>5</v>
      </c>
      <c r="D2983" s="2" t="s">
        <v>456</v>
      </c>
      <c r="E2983" s="3">
        <v>8.3000000000000007</v>
      </c>
      <c r="F2983" s="3">
        <v>4.3</v>
      </c>
      <c r="G2983" s="4">
        <v>44053</v>
      </c>
      <c r="M2983" s="1"/>
      <c r="N2983" s="1"/>
      <c r="O2983" s="1"/>
      <c r="P2983" s="1"/>
      <c r="Q2983" s="1"/>
      <c r="R2983" s="1"/>
    </row>
    <row r="2984" spans="2:18">
      <c r="G2984" s="4"/>
      <c r="M2984" s="1"/>
      <c r="N2984" s="1"/>
      <c r="O2984" s="1"/>
      <c r="P2984" s="1"/>
      <c r="Q2984" s="1"/>
      <c r="R2984" s="1"/>
    </row>
    <row r="2985" spans="2:18" s="12" customFormat="1">
      <c r="B2985" s="12" t="s">
        <v>557</v>
      </c>
      <c r="C2985" s="13" t="s">
        <v>969</v>
      </c>
      <c r="D2985" s="13" t="s">
        <v>968</v>
      </c>
      <c r="E2985" s="15"/>
      <c r="F2985" s="15">
        <f>SUM(F2986:F2987)</f>
        <v>7.5</v>
      </c>
      <c r="G2985" s="14">
        <f>G2986</f>
        <v>45077</v>
      </c>
    </row>
    <row r="2986" spans="2:18">
      <c r="C2986" s="2" t="s">
        <v>7</v>
      </c>
      <c r="D2986" s="2" t="s">
        <v>548</v>
      </c>
      <c r="E2986" s="3">
        <v>20</v>
      </c>
      <c r="F2986" s="3">
        <f>12/6</f>
        <v>2</v>
      </c>
      <c r="G2986" s="4">
        <v>45077</v>
      </c>
      <c r="M2986" s="1"/>
      <c r="N2986" s="1"/>
      <c r="O2986" s="1"/>
      <c r="P2986" s="1"/>
      <c r="Q2986" s="1"/>
      <c r="R2986" s="1"/>
    </row>
    <row r="2987" spans="2:18">
      <c r="C2987" s="2" t="s">
        <v>5</v>
      </c>
      <c r="D2987" s="2" t="s">
        <v>548</v>
      </c>
      <c r="E2987" s="3">
        <v>10.5</v>
      </c>
      <c r="F2987" s="3">
        <v>5.5</v>
      </c>
      <c r="G2987" s="4">
        <v>44341</v>
      </c>
      <c r="M2987" s="1"/>
      <c r="N2987" s="1"/>
      <c r="O2987" s="1"/>
      <c r="P2987" s="1"/>
      <c r="Q2987" s="1"/>
      <c r="R2987" s="1"/>
    </row>
    <row r="2988" spans="2:18">
      <c r="G2988" s="4"/>
      <c r="M2988" s="1"/>
      <c r="N2988" s="1"/>
      <c r="O2988" s="1"/>
      <c r="P2988" s="1"/>
      <c r="Q2988" s="1"/>
      <c r="R2988" s="1"/>
    </row>
    <row r="2989" spans="2:18" s="12" customFormat="1">
      <c r="B2989" s="12" t="s">
        <v>450</v>
      </c>
      <c r="C2989" s="13" t="s">
        <v>969</v>
      </c>
      <c r="D2989" s="13" t="s">
        <v>968</v>
      </c>
      <c r="E2989" s="15"/>
      <c r="F2989" s="15">
        <f>SUM(F2990:F2991)</f>
        <v>8.2954545454545467</v>
      </c>
      <c r="G2989" s="14">
        <f>G2990</f>
        <v>44776</v>
      </c>
    </row>
    <row r="2990" spans="2:18">
      <c r="C2990" s="2" t="s">
        <v>8</v>
      </c>
      <c r="D2990" s="2" t="s">
        <v>448</v>
      </c>
      <c r="E2990" s="3">
        <v>90</v>
      </c>
      <c r="F2990" s="3">
        <f>50/11</f>
        <v>4.5454545454545459</v>
      </c>
      <c r="G2990" s="4">
        <v>44776</v>
      </c>
      <c r="M2990" s="1"/>
      <c r="N2990" s="1"/>
      <c r="O2990" s="1"/>
      <c r="P2990" s="1"/>
      <c r="Q2990" s="1"/>
      <c r="R2990" s="1"/>
    </row>
    <row r="2991" spans="2:18">
      <c r="C2991" s="2" t="s">
        <v>18</v>
      </c>
      <c r="D2991" s="2" t="s">
        <v>448</v>
      </c>
      <c r="E2991" s="3">
        <v>40</v>
      </c>
      <c r="F2991" s="3">
        <v>3.75</v>
      </c>
      <c r="G2991" s="4">
        <v>44176</v>
      </c>
      <c r="M2991" s="1"/>
      <c r="N2991" s="1"/>
      <c r="O2991" s="1"/>
      <c r="P2991" s="1"/>
      <c r="Q2991" s="1"/>
      <c r="R2991" s="1"/>
    </row>
    <row r="2992" spans="2:18">
      <c r="G2992" s="4"/>
      <c r="M2992" s="1"/>
      <c r="N2992" s="1"/>
      <c r="O2992" s="1"/>
      <c r="P2992" s="1"/>
      <c r="Q2992" s="1"/>
      <c r="R2992" s="1"/>
    </row>
    <row r="2993" spans="2:18" s="12" customFormat="1">
      <c r="B2993" s="12" t="s">
        <v>432</v>
      </c>
      <c r="C2993" s="13" t="s">
        <v>969</v>
      </c>
      <c r="D2993" s="13" t="s">
        <v>968</v>
      </c>
      <c r="E2993" s="15"/>
      <c r="F2993" s="15">
        <f>SUM(F2994:F2995)</f>
        <v>8</v>
      </c>
      <c r="G2993" s="14">
        <f>G2995</f>
        <v>43355</v>
      </c>
    </row>
    <row r="2994" spans="2:18">
      <c r="C2994" s="2" t="s">
        <v>5</v>
      </c>
      <c r="D2994" s="2" t="s">
        <v>431</v>
      </c>
      <c r="E2994" s="3">
        <v>15</v>
      </c>
      <c r="F2994" s="3">
        <v>3</v>
      </c>
      <c r="G2994" s="4">
        <v>42690</v>
      </c>
      <c r="M2994" s="1"/>
      <c r="N2994" s="1"/>
      <c r="O2994" s="1"/>
      <c r="P2994" s="1"/>
      <c r="Q2994" s="1"/>
      <c r="R2994" s="1"/>
    </row>
    <row r="2995" spans="2:18">
      <c r="C2995" s="2" t="s">
        <v>5</v>
      </c>
      <c r="D2995" s="2" t="s">
        <v>430</v>
      </c>
      <c r="E2995" s="3">
        <v>5</v>
      </c>
      <c r="F2995" s="3">
        <v>5</v>
      </c>
      <c r="G2995" s="4">
        <v>43355</v>
      </c>
      <c r="M2995" s="1"/>
      <c r="N2995" s="1"/>
      <c r="O2995" s="1"/>
      <c r="P2995" s="1"/>
      <c r="Q2995" s="1"/>
      <c r="R2995" s="1"/>
    </row>
    <row r="2996" spans="2:18">
      <c r="G2996" s="4"/>
      <c r="M2996" s="1"/>
      <c r="N2996" s="1"/>
      <c r="O2996" s="1"/>
      <c r="P2996" s="1"/>
      <c r="Q2996" s="1"/>
      <c r="R2996" s="1"/>
    </row>
    <row r="2997" spans="2:18" s="12" customFormat="1">
      <c r="B2997" s="12" t="s">
        <v>734</v>
      </c>
      <c r="C2997" s="13" t="s">
        <v>969</v>
      </c>
      <c r="D2997" s="13" t="s">
        <v>968</v>
      </c>
      <c r="E2997" s="15"/>
      <c r="F2997" s="15">
        <f>SUM(F2998:F2999)</f>
        <v>7.5</v>
      </c>
      <c r="G2997" s="14">
        <f>G2998</f>
        <v>44757</v>
      </c>
    </row>
    <row r="2998" spans="2:18">
      <c r="C2998" s="2" t="s">
        <v>5</v>
      </c>
      <c r="D2998" s="2" t="s">
        <v>730</v>
      </c>
      <c r="E2998" s="3">
        <v>25</v>
      </c>
      <c r="F2998" s="3">
        <v>7</v>
      </c>
      <c r="G2998" s="4">
        <v>44757</v>
      </c>
    </row>
    <row r="2999" spans="2:18">
      <c r="C2999" s="2" t="s">
        <v>4</v>
      </c>
      <c r="D2999" s="2" t="s">
        <v>730</v>
      </c>
      <c r="E2999" s="3">
        <v>4</v>
      </c>
      <c r="F2999" s="3">
        <v>0.5</v>
      </c>
      <c r="G2999" s="4">
        <v>44340</v>
      </c>
    </row>
    <row r="3000" spans="2:18">
      <c r="G3000" s="4"/>
    </row>
    <row r="3001" spans="2:18" s="12" customFormat="1">
      <c r="B3001" s="12" t="s">
        <v>989</v>
      </c>
      <c r="C3001" s="13" t="s">
        <v>969</v>
      </c>
      <c r="D3001" s="13" t="s">
        <v>968</v>
      </c>
      <c r="E3001" s="15"/>
      <c r="F3001" s="15">
        <f>SUM(F3002:F3003)</f>
        <v>7.5</v>
      </c>
      <c r="G3001" s="14">
        <f>G3002</f>
        <v>44796</v>
      </c>
      <c r="M3001" s="13"/>
      <c r="N3001" s="13"/>
      <c r="O3001" s="13"/>
      <c r="P3001" s="13"/>
      <c r="Q3001" s="13"/>
      <c r="R3001" s="13"/>
    </row>
    <row r="3002" spans="2:18">
      <c r="C3002" s="2" t="s">
        <v>5</v>
      </c>
      <c r="D3002" s="2" t="s">
        <v>701</v>
      </c>
      <c r="E3002" s="3">
        <v>50</v>
      </c>
      <c r="F3002" s="3">
        <f>30/12</f>
        <v>2.5</v>
      </c>
      <c r="G3002" s="4">
        <v>44796</v>
      </c>
    </row>
    <row r="3003" spans="2:18">
      <c r="C3003" s="2" t="s">
        <v>4</v>
      </c>
      <c r="D3003" s="2" t="s">
        <v>701</v>
      </c>
      <c r="E3003" s="3">
        <v>12.5</v>
      </c>
      <c r="F3003" s="3">
        <v>5</v>
      </c>
      <c r="G3003" s="4">
        <v>44623</v>
      </c>
    </row>
    <row r="3005" spans="2:18" s="12" customFormat="1">
      <c r="B3005" s="12" t="s">
        <v>180</v>
      </c>
      <c r="C3005" s="13" t="s">
        <v>969</v>
      </c>
      <c r="D3005" s="13" t="s">
        <v>968</v>
      </c>
      <c r="E3005" s="15"/>
      <c r="F3005" s="15">
        <f>SUM(F3006:F3007)</f>
        <v>7.9666666666666668</v>
      </c>
      <c r="G3005" s="14">
        <f>G3006</f>
        <v>41437</v>
      </c>
      <c r="M3005" s="13"/>
      <c r="N3005" s="13"/>
      <c r="O3005" s="13"/>
      <c r="P3005" s="13"/>
      <c r="Q3005" s="13"/>
      <c r="R3005" s="13"/>
    </row>
    <row r="3006" spans="2:18">
      <c r="C3006" s="2" t="s">
        <v>18</v>
      </c>
      <c r="D3006" s="2" t="s">
        <v>176</v>
      </c>
      <c r="E3006" s="3">
        <v>34</v>
      </c>
      <c r="F3006" s="3">
        <f>14/3</f>
        <v>4.666666666666667</v>
      </c>
      <c r="G3006" s="4">
        <v>41437</v>
      </c>
    </row>
    <row r="3007" spans="2:18">
      <c r="C3007" s="2" t="s">
        <v>7</v>
      </c>
      <c r="D3007" s="2" t="s">
        <v>176</v>
      </c>
      <c r="E3007" s="3">
        <v>16.5</v>
      </c>
      <c r="F3007" s="3">
        <f>E3007/5</f>
        <v>3.3</v>
      </c>
      <c r="G3007" s="4">
        <v>41176</v>
      </c>
    </row>
    <row r="3008" spans="2:18">
      <c r="G3008" s="4"/>
    </row>
    <row r="3009" spans="2:18" s="12" customFormat="1">
      <c r="B3009" s="12" t="s">
        <v>6555</v>
      </c>
      <c r="C3009" s="13" t="s">
        <v>969</v>
      </c>
      <c r="D3009" s="13" t="s">
        <v>968</v>
      </c>
      <c r="E3009" s="15"/>
      <c r="F3009" s="15">
        <f>SUM(F3010:F3011)</f>
        <v>8</v>
      </c>
      <c r="G3009" s="14">
        <f>G3010</f>
        <v>44572</v>
      </c>
      <c r="M3009" s="13"/>
      <c r="N3009" s="13"/>
      <c r="O3009" s="13"/>
      <c r="P3009" s="13"/>
      <c r="Q3009" s="13"/>
      <c r="R3009" s="13"/>
    </row>
    <row r="3010" spans="2:18">
      <c r="B3010" s="152"/>
      <c r="C3010" s="153" t="s">
        <v>7</v>
      </c>
      <c r="D3010" s="153" t="s">
        <v>2034</v>
      </c>
      <c r="E3010" s="3">
        <v>25</v>
      </c>
      <c r="F3010" s="3">
        <v>5</v>
      </c>
      <c r="G3010" s="4">
        <v>44572</v>
      </c>
    </row>
    <row r="3011" spans="2:18">
      <c r="B3011" s="152"/>
      <c r="C3011" s="153" t="s">
        <v>5</v>
      </c>
      <c r="D3011" s="153" t="s">
        <v>2034</v>
      </c>
      <c r="E3011" s="3">
        <v>5</v>
      </c>
      <c r="F3011" s="3">
        <v>3</v>
      </c>
      <c r="G3011" s="4">
        <v>43888</v>
      </c>
    </row>
    <row r="3012" spans="2:18">
      <c r="B3012" s="152"/>
      <c r="C3012" s="153"/>
      <c r="D3012" s="153"/>
      <c r="G3012" s="4"/>
    </row>
    <row r="3013" spans="2:18" s="12" customFormat="1">
      <c r="B3013" s="12" t="s">
        <v>6407</v>
      </c>
      <c r="C3013" s="13" t="s">
        <v>969</v>
      </c>
      <c r="D3013" s="13" t="s">
        <v>968</v>
      </c>
      <c r="E3013" s="15"/>
      <c r="F3013" s="15">
        <f>SUM(F3014:F3016)</f>
        <v>7.75</v>
      </c>
      <c r="G3013" s="14">
        <f>G3014</f>
        <v>44881</v>
      </c>
      <c r="M3013" s="13"/>
      <c r="N3013" s="13"/>
      <c r="O3013" s="13"/>
      <c r="P3013" s="13"/>
      <c r="Q3013" s="13"/>
      <c r="R3013" s="13"/>
    </row>
    <row r="3014" spans="2:18">
      <c r="B3014" s="152"/>
      <c r="C3014" s="153" t="s">
        <v>7</v>
      </c>
      <c r="D3014" s="153" t="s">
        <v>2037</v>
      </c>
      <c r="E3014" s="3">
        <v>30</v>
      </c>
      <c r="F3014" s="3">
        <f>20/4</f>
        <v>5</v>
      </c>
      <c r="G3014" s="4">
        <v>44881</v>
      </c>
    </row>
    <row r="3015" spans="2:18">
      <c r="B3015" s="152"/>
      <c r="C3015" s="153" t="s">
        <v>5</v>
      </c>
      <c r="D3015" s="153" t="s">
        <v>2037</v>
      </c>
      <c r="E3015" s="3">
        <v>11</v>
      </c>
      <c r="F3015" s="3">
        <v>1.75</v>
      </c>
      <c r="G3015" s="4">
        <v>44174</v>
      </c>
    </row>
    <row r="3016" spans="2:18">
      <c r="B3016" s="152"/>
      <c r="C3016" s="153" t="s">
        <v>4</v>
      </c>
      <c r="D3016" s="153" t="s">
        <v>2037</v>
      </c>
      <c r="E3016" s="3">
        <v>2.9</v>
      </c>
      <c r="F3016" s="3">
        <v>1</v>
      </c>
      <c r="G3016" s="4">
        <v>43221</v>
      </c>
    </row>
    <row r="3017" spans="2:18">
      <c r="B3017" s="152"/>
      <c r="C3017" s="153"/>
      <c r="D3017" s="153"/>
      <c r="G3017" s="4"/>
    </row>
    <row r="3018" spans="2:18" s="12" customFormat="1">
      <c r="B3018" s="12" t="s">
        <v>376</v>
      </c>
      <c r="C3018" s="13" t="s">
        <v>969</v>
      </c>
      <c r="D3018" s="13" t="s">
        <v>968</v>
      </c>
      <c r="E3018" s="15"/>
      <c r="F3018" s="15">
        <f>SUM(F3019:F3020)</f>
        <v>8</v>
      </c>
      <c r="G3018" s="14">
        <f>G3019</f>
        <v>43909</v>
      </c>
    </row>
    <row r="3019" spans="2:18">
      <c r="C3019" s="2" t="s">
        <v>7</v>
      </c>
      <c r="D3019" s="2" t="s">
        <v>374</v>
      </c>
      <c r="E3019" s="3">
        <v>44</v>
      </c>
      <c r="F3019" s="3">
        <f>30/6</f>
        <v>5</v>
      </c>
      <c r="G3019" s="4">
        <v>43909</v>
      </c>
      <c r="M3019" s="1"/>
      <c r="N3019" s="1"/>
      <c r="O3019" s="1"/>
      <c r="P3019" s="1"/>
      <c r="Q3019" s="1"/>
      <c r="R3019" s="1"/>
    </row>
    <row r="3020" spans="2:18">
      <c r="C3020" s="2" t="s">
        <v>5</v>
      </c>
      <c r="D3020" s="2" t="s">
        <v>374</v>
      </c>
      <c r="E3020" s="3">
        <v>15</v>
      </c>
      <c r="F3020" s="3">
        <v>3</v>
      </c>
      <c r="G3020" s="4">
        <v>43452</v>
      </c>
      <c r="M3020" s="1"/>
      <c r="N3020" s="1"/>
      <c r="O3020" s="1"/>
      <c r="P3020" s="1"/>
      <c r="Q3020" s="1"/>
      <c r="R3020" s="1"/>
    </row>
    <row r="3021" spans="2:18">
      <c r="G3021" s="4"/>
      <c r="M3021" s="1"/>
      <c r="N3021" s="1"/>
      <c r="O3021" s="1"/>
      <c r="P3021" s="1"/>
      <c r="Q3021" s="1"/>
      <c r="R3021" s="1"/>
    </row>
    <row r="3022" spans="2:18" s="12" customFormat="1">
      <c r="B3022" s="12" t="s">
        <v>181</v>
      </c>
      <c r="C3022" s="13" t="s">
        <v>969</v>
      </c>
      <c r="D3022" s="13" t="s">
        <v>968</v>
      </c>
      <c r="E3022" s="15"/>
      <c r="F3022" s="15">
        <f>SUM(F3023:F3024)</f>
        <v>7.9666666666666668</v>
      </c>
      <c r="G3022" s="14">
        <f>G3023</f>
        <v>41437</v>
      </c>
      <c r="M3022" s="13"/>
      <c r="N3022" s="13"/>
      <c r="O3022" s="13"/>
      <c r="P3022" s="13"/>
      <c r="Q3022" s="13"/>
      <c r="R3022" s="13"/>
    </row>
    <row r="3023" spans="2:18">
      <c r="C3023" s="2" t="s">
        <v>18</v>
      </c>
      <c r="D3023" s="2" t="s">
        <v>176</v>
      </c>
      <c r="E3023" s="3">
        <v>34</v>
      </c>
      <c r="F3023" s="3">
        <f>14/3</f>
        <v>4.666666666666667</v>
      </c>
      <c r="G3023" s="4">
        <v>41437</v>
      </c>
    </row>
    <row r="3024" spans="2:18">
      <c r="C3024" s="2" t="s">
        <v>7</v>
      </c>
      <c r="D3024" s="2" t="s">
        <v>176</v>
      </c>
      <c r="E3024" s="3">
        <v>16.5</v>
      </c>
      <c r="F3024" s="3">
        <f>E3024/5</f>
        <v>3.3</v>
      </c>
      <c r="G3024" s="4">
        <v>41176</v>
      </c>
    </row>
    <row r="3025" spans="2:18">
      <c r="G3025" s="4"/>
    </row>
    <row r="3026" spans="2:18" s="12" customFormat="1">
      <c r="B3026" s="12" t="s">
        <v>526</v>
      </c>
      <c r="C3026" s="13" t="s">
        <v>969</v>
      </c>
      <c r="D3026" s="13" t="s">
        <v>968</v>
      </c>
      <c r="E3026" s="15"/>
      <c r="F3026" s="15">
        <f>SUM(F3027:F3031)</f>
        <v>8.375</v>
      </c>
      <c r="G3026" s="14">
        <f>G3028</f>
        <v>44364</v>
      </c>
    </row>
    <row r="3027" spans="2:18">
      <c r="C3027" s="2" t="s">
        <v>4</v>
      </c>
      <c r="D3027" s="2" t="s">
        <v>520</v>
      </c>
      <c r="E3027" s="3">
        <v>3</v>
      </c>
      <c r="F3027" s="3">
        <v>0.5</v>
      </c>
      <c r="G3027" s="4">
        <v>42606</v>
      </c>
      <c r="M3027" s="1"/>
      <c r="N3027" s="1"/>
      <c r="O3027" s="1"/>
      <c r="P3027" s="1"/>
      <c r="Q3027" s="1"/>
      <c r="R3027" s="1"/>
    </row>
    <row r="3028" spans="2:18">
      <c r="C3028" s="2" t="s">
        <v>7</v>
      </c>
      <c r="D3028" s="2" t="s">
        <v>525</v>
      </c>
      <c r="E3028" s="3">
        <v>32</v>
      </c>
      <c r="F3028" s="3">
        <v>3</v>
      </c>
      <c r="G3028" s="4">
        <v>44364</v>
      </c>
      <c r="M3028" s="1"/>
      <c r="N3028" s="1"/>
      <c r="O3028" s="1"/>
      <c r="P3028" s="1"/>
      <c r="Q3028" s="1"/>
      <c r="R3028" s="1"/>
    </row>
    <row r="3029" spans="2:18">
      <c r="C3029" s="2" t="s">
        <v>5</v>
      </c>
      <c r="D3029" s="2" t="s">
        <v>525</v>
      </c>
      <c r="E3029" s="3">
        <v>10.199999999999999</v>
      </c>
      <c r="F3029" s="3">
        <v>2</v>
      </c>
      <c r="G3029" s="4">
        <v>43732</v>
      </c>
      <c r="M3029" s="1"/>
      <c r="N3029" s="1"/>
      <c r="O3029" s="1"/>
      <c r="P3029" s="1"/>
      <c r="Q3029" s="1"/>
      <c r="R3029" s="1"/>
    </row>
    <row r="3030" spans="2:18">
      <c r="C3030" s="2" t="s">
        <v>4</v>
      </c>
      <c r="D3030" s="2" t="s">
        <v>525</v>
      </c>
      <c r="E3030" s="3">
        <v>3</v>
      </c>
      <c r="F3030" s="3">
        <v>1.5</v>
      </c>
      <c r="G3030" s="4">
        <v>43374</v>
      </c>
      <c r="M3030" s="1"/>
      <c r="N3030" s="1"/>
      <c r="O3030" s="1"/>
      <c r="P3030" s="1"/>
      <c r="Q3030" s="1"/>
      <c r="R3030" s="1"/>
    </row>
    <row r="3031" spans="2:18">
      <c r="C3031" s="52" t="s">
        <v>5</v>
      </c>
      <c r="D3031" s="52" t="s">
        <v>2116</v>
      </c>
      <c r="E3031" s="3">
        <v>11.5</v>
      </c>
      <c r="F3031" s="3">
        <f>5.5/4</f>
        <v>1.375</v>
      </c>
      <c r="G3031" s="4">
        <v>43355</v>
      </c>
      <c r="M3031" s="1"/>
      <c r="N3031" s="1"/>
      <c r="O3031" s="1"/>
      <c r="P3031" s="1"/>
      <c r="Q3031" s="1"/>
      <c r="R3031" s="1"/>
    </row>
    <row r="3032" spans="2:18">
      <c r="G3032" s="4"/>
      <c r="M3032" s="1"/>
      <c r="N3032" s="1"/>
      <c r="O3032" s="1"/>
      <c r="P3032" s="1"/>
      <c r="Q3032" s="1"/>
      <c r="R3032" s="1"/>
    </row>
    <row r="3033" spans="2:18" s="12" customFormat="1">
      <c r="B3033" s="12" t="s">
        <v>791</v>
      </c>
      <c r="C3033" s="13" t="s">
        <v>969</v>
      </c>
      <c r="D3033" s="13" t="s">
        <v>968</v>
      </c>
      <c r="E3033" s="15"/>
      <c r="F3033" s="15">
        <f>SUM(F3034:F3037)</f>
        <v>8.1</v>
      </c>
      <c r="G3033" s="14">
        <f>G3034</f>
        <v>44292</v>
      </c>
    </row>
    <row r="3034" spans="2:18">
      <c r="B3034" s="253" t="s">
        <v>7632</v>
      </c>
      <c r="C3034" s="2" t="s">
        <v>4</v>
      </c>
      <c r="D3034" s="2" t="s">
        <v>697</v>
      </c>
      <c r="E3034" s="3">
        <v>5.6</v>
      </c>
      <c r="F3034" s="3">
        <v>1</v>
      </c>
      <c r="G3034" s="4">
        <v>44292</v>
      </c>
      <c r="M3034" s="1"/>
      <c r="N3034" s="1"/>
      <c r="O3034" s="1"/>
      <c r="P3034" s="1"/>
      <c r="Q3034" s="1"/>
      <c r="R3034" s="1"/>
    </row>
    <row r="3035" spans="2:18">
      <c r="C3035" s="52" t="s">
        <v>7</v>
      </c>
      <c r="D3035" s="52" t="s">
        <v>2116</v>
      </c>
      <c r="E3035" s="3">
        <v>40</v>
      </c>
      <c r="F3035" s="3">
        <v>3</v>
      </c>
      <c r="G3035" s="4">
        <v>43720</v>
      </c>
      <c r="M3035" s="1"/>
      <c r="N3035" s="1"/>
      <c r="O3035" s="1"/>
      <c r="P3035" s="1"/>
      <c r="Q3035" s="1"/>
      <c r="R3035" s="1"/>
    </row>
    <row r="3036" spans="2:18">
      <c r="C3036" s="52" t="s">
        <v>5</v>
      </c>
      <c r="D3036" s="52" t="s">
        <v>2116</v>
      </c>
      <c r="E3036" s="3">
        <v>11.5</v>
      </c>
      <c r="F3036" s="3">
        <v>3</v>
      </c>
      <c r="G3036" s="4">
        <v>43355</v>
      </c>
      <c r="M3036" s="1"/>
      <c r="N3036" s="1"/>
      <c r="O3036" s="1"/>
      <c r="P3036" s="1"/>
      <c r="Q3036" s="1"/>
      <c r="R3036" s="1"/>
    </row>
    <row r="3037" spans="2:18">
      <c r="C3037" s="168" t="s">
        <v>4</v>
      </c>
      <c r="D3037" s="168" t="s">
        <v>2032</v>
      </c>
      <c r="E3037" s="3">
        <v>1.1000000000000001</v>
      </c>
      <c r="F3037" s="3">
        <v>1.1000000000000001</v>
      </c>
      <c r="G3037" s="4">
        <v>44133</v>
      </c>
      <c r="M3037" s="1"/>
      <c r="N3037" s="1"/>
      <c r="O3037" s="1"/>
      <c r="P3037" s="1"/>
      <c r="Q3037" s="1"/>
      <c r="R3037" s="1"/>
    </row>
    <row r="3038" spans="2:18">
      <c r="G3038" s="4"/>
      <c r="M3038" s="1"/>
      <c r="N3038" s="1"/>
      <c r="O3038" s="1"/>
      <c r="P3038" s="1"/>
      <c r="Q3038" s="1"/>
      <c r="R3038" s="1"/>
    </row>
    <row r="3039" spans="2:18" s="12" customFormat="1">
      <c r="B3039" s="12" t="s">
        <v>685</v>
      </c>
      <c r="C3039" s="13" t="s">
        <v>969</v>
      </c>
      <c r="D3039" s="13" t="s">
        <v>968</v>
      </c>
      <c r="E3039" s="15"/>
      <c r="F3039" s="15">
        <f>SUM(F3040:F3041)</f>
        <v>6.6666666666666661</v>
      </c>
      <c r="G3039" s="14">
        <f>G3040</f>
        <v>45027</v>
      </c>
      <c r="M3039" s="13"/>
      <c r="N3039" s="13"/>
      <c r="O3039" s="13"/>
      <c r="P3039" s="13"/>
      <c r="Q3039" s="13"/>
      <c r="R3039" s="13"/>
    </row>
    <row r="3040" spans="2:18">
      <c r="B3040" s="253" t="s">
        <v>7632</v>
      </c>
      <c r="C3040" s="2" t="s">
        <v>5</v>
      </c>
      <c r="D3040" s="2" t="s">
        <v>684</v>
      </c>
      <c r="E3040" s="3">
        <v>21</v>
      </c>
      <c r="F3040" s="3">
        <f>11/3</f>
        <v>3.6666666666666665</v>
      </c>
      <c r="G3040" s="4">
        <v>45027</v>
      </c>
    </row>
    <row r="3041" spans="2:18">
      <c r="C3041" s="2" t="s">
        <v>4</v>
      </c>
      <c r="D3041" s="2" t="s">
        <v>355</v>
      </c>
      <c r="E3041" s="3">
        <v>12</v>
      </c>
      <c r="F3041" s="3">
        <v>3</v>
      </c>
      <c r="G3041" s="4">
        <v>44271</v>
      </c>
    </row>
    <row r="3042" spans="2:18">
      <c r="G3042" s="4"/>
    </row>
    <row r="3043" spans="2:18" s="12" customFormat="1">
      <c r="B3043" s="12" t="s">
        <v>325</v>
      </c>
      <c r="C3043" s="13" t="s">
        <v>969</v>
      </c>
      <c r="D3043" s="13" t="s">
        <v>968</v>
      </c>
      <c r="E3043" s="15"/>
      <c r="F3043" s="15">
        <f>SUM(F3044:F3045)</f>
        <v>7</v>
      </c>
      <c r="G3043" s="14">
        <f>G3045</f>
        <v>44200</v>
      </c>
    </row>
    <row r="3044" spans="2:18">
      <c r="C3044" s="2" t="s">
        <v>5</v>
      </c>
      <c r="D3044" s="2" t="s">
        <v>318</v>
      </c>
      <c r="E3044" s="3">
        <v>16</v>
      </c>
      <c r="F3044" s="3">
        <v>2</v>
      </c>
      <c r="G3044" s="4">
        <v>43783</v>
      </c>
      <c r="L3044" s="1">
        <f>+F3044*5</f>
        <v>10</v>
      </c>
      <c r="M3044" s="1"/>
      <c r="N3044" s="1"/>
      <c r="O3044" s="1"/>
      <c r="P3044" s="1"/>
      <c r="Q3044" s="1"/>
      <c r="R3044" s="1"/>
    </row>
    <row r="3045" spans="2:18">
      <c r="C3045" s="2" t="s">
        <v>7</v>
      </c>
      <c r="D3045" s="2" t="s">
        <v>318</v>
      </c>
      <c r="E3045" s="3">
        <v>55</v>
      </c>
      <c r="F3045" s="3">
        <v>5</v>
      </c>
      <c r="G3045" s="4">
        <v>44200</v>
      </c>
      <c r="M3045" s="1"/>
      <c r="N3045" s="1"/>
      <c r="O3045" s="1"/>
      <c r="P3045" s="1"/>
      <c r="Q3045" s="1"/>
      <c r="R3045" s="1"/>
    </row>
    <row r="3046" spans="2:18">
      <c r="G3046" s="4"/>
      <c r="M3046" s="1"/>
      <c r="N3046" s="1"/>
      <c r="O3046" s="1"/>
      <c r="P3046" s="1"/>
      <c r="Q3046" s="1"/>
      <c r="R3046" s="1"/>
    </row>
    <row r="3047" spans="2:18" s="12" customFormat="1">
      <c r="B3047" s="12" t="s">
        <v>324</v>
      </c>
      <c r="C3047" s="13" t="s">
        <v>969</v>
      </c>
      <c r="D3047" s="13" t="s">
        <v>968</v>
      </c>
      <c r="E3047" s="15"/>
      <c r="F3047" s="15">
        <f>SUM(F3048:F3049)</f>
        <v>7</v>
      </c>
      <c r="G3047" s="14">
        <f>G3049</f>
        <v>44200</v>
      </c>
    </row>
    <row r="3048" spans="2:18">
      <c r="C3048" s="2" t="s">
        <v>5</v>
      </c>
      <c r="D3048" s="2" t="s">
        <v>318</v>
      </c>
      <c r="E3048" s="3">
        <v>16</v>
      </c>
      <c r="F3048" s="3">
        <v>2</v>
      </c>
      <c r="G3048" s="4">
        <v>43783</v>
      </c>
      <c r="L3048" s="1">
        <f>+F3048*5</f>
        <v>10</v>
      </c>
      <c r="M3048" s="1"/>
      <c r="N3048" s="1"/>
      <c r="O3048" s="1"/>
      <c r="P3048" s="1"/>
      <c r="Q3048" s="1"/>
      <c r="R3048" s="1"/>
    </row>
    <row r="3049" spans="2:18">
      <c r="C3049" s="2" t="s">
        <v>7</v>
      </c>
      <c r="D3049" s="2" t="s">
        <v>318</v>
      </c>
      <c r="E3049" s="3">
        <v>55</v>
      </c>
      <c r="F3049" s="3">
        <v>5</v>
      </c>
      <c r="G3049" s="4">
        <v>44200</v>
      </c>
      <c r="M3049" s="1"/>
      <c r="N3049" s="1"/>
      <c r="O3049" s="1"/>
      <c r="P3049" s="1"/>
      <c r="Q3049" s="1"/>
      <c r="R3049" s="1"/>
    </row>
    <row r="3050" spans="2:18">
      <c r="G3050" s="4"/>
      <c r="M3050" s="1"/>
      <c r="N3050" s="1"/>
      <c r="O3050" s="1"/>
      <c r="P3050" s="1"/>
      <c r="Q3050" s="1"/>
      <c r="R3050" s="1"/>
    </row>
    <row r="3051" spans="2:18" s="12" customFormat="1">
      <c r="B3051" s="12" t="s">
        <v>710</v>
      </c>
      <c r="C3051" s="13" t="s">
        <v>969</v>
      </c>
      <c r="D3051" s="13" t="s">
        <v>968</v>
      </c>
      <c r="E3051" s="15"/>
      <c r="F3051" s="15">
        <f>SUM(F3052:F3056)</f>
        <v>6.625</v>
      </c>
      <c r="G3051" s="14">
        <f>G3052</f>
        <v>45092</v>
      </c>
      <c r="M3051" s="13"/>
      <c r="N3051" s="13"/>
      <c r="O3051" s="13"/>
      <c r="P3051" s="13"/>
      <c r="Q3051" s="13"/>
      <c r="R3051" s="13"/>
    </row>
    <row r="3052" spans="2:18">
      <c r="B3052" s="253" t="s">
        <v>7632</v>
      </c>
      <c r="C3052" s="2" t="s">
        <v>4</v>
      </c>
      <c r="D3052" s="2" t="s">
        <v>709</v>
      </c>
      <c r="E3052" s="3">
        <v>5.5</v>
      </c>
      <c r="F3052" s="3">
        <v>3</v>
      </c>
      <c r="G3052" s="4">
        <v>45092</v>
      </c>
    </row>
    <row r="3053" spans="2:18">
      <c r="C3053" s="2" t="s">
        <v>4</v>
      </c>
      <c r="D3053" s="2" t="s">
        <v>341</v>
      </c>
      <c r="E3053" s="3">
        <v>3.5</v>
      </c>
      <c r="F3053" s="3">
        <v>1.25</v>
      </c>
      <c r="G3053" s="4">
        <v>44636</v>
      </c>
    </row>
    <row r="3054" spans="2:18">
      <c r="C3054" s="2" t="s">
        <v>4</v>
      </c>
      <c r="D3054" s="2" t="s">
        <v>336</v>
      </c>
      <c r="E3054" s="3">
        <v>3</v>
      </c>
      <c r="F3054" s="3">
        <f>1.5/4</f>
        <v>0.375</v>
      </c>
      <c r="G3054" s="4">
        <v>44327</v>
      </c>
    </row>
    <row r="3055" spans="2:18">
      <c r="C3055" s="2" t="s">
        <v>4</v>
      </c>
      <c r="D3055" s="2" t="s">
        <v>332</v>
      </c>
      <c r="E3055" s="3">
        <v>5.0999999999999996</v>
      </c>
      <c r="F3055" s="3">
        <v>1</v>
      </c>
      <c r="G3055" s="4">
        <v>43990</v>
      </c>
    </row>
    <row r="3056" spans="2:18">
      <c r="C3056" s="2" t="s">
        <v>4</v>
      </c>
      <c r="D3056" s="2" t="s">
        <v>329</v>
      </c>
      <c r="E3056" s="3">
        <v>5</v>
      </c>
      <c r="F3056" s="3">
        <v>1</v>
      </c>
      <c r="G3056" s="4">
        <v>43224</v>
      </c>
      <c r="L3056" s="1">
        <v>0</v>
      </c>
    </row>
    <row r="3057" spans="2:18">
      <c r="G3057" s="4"/>
    </row>
    <row r="3058" spans="2:18" s="12" customFormat="1">
      <c r="B3058" s="12" t="s">
        <v>6409</v>
      </c>
      <c r="C3058" s="13" t="s">
        <v>969</v>
      </c>
      <c r="D3058" s="13" t="s">
        <v>968</v>
      </c>
      <c r="E3058" s="15"/>
      <c r="F3058" s="15">
        <f>SUM(F3059:F3060)</f>
        <v>7</v>
      </c>
      <c r="G3058" s="14">
        <f>G3059</f>
        <v>44881</v>
      </c>
      <c r="M3058" s="13"/>
      <c r="N3058" s="13"/>
      <c r="O3058" s="13"/>
      <c r="P3058" s="13"/>
      <c r="Q3058" s="13"/>
      <c r="R3058" s="13"/>
    </row>
    <row r="3059" spans="2:18">
      <c r="B3059" s="152"/>
      <c r="C3059" s="153" t="s">
        <v>7</v>
      </c>
      <c r="D3059" s="153" t="s">
        <v>2037</v>
      </c>
      <c r="E3059" s="3">
        <v>30</v>
      </c>
      <c r="F3059" s="3">
        <f>20/4</f>
        <v>5</v>
      </c>
      <c r="G3059" s="4">
        <v>44881</v>
      </c>
    </row>
    <row r="3060" spans="2:18">
      <c r="C3060" s="2" t="s">
        <v>5</v>
      </c>
      <c r="D3060" s="2" t="s">
        <v>2037</v>
      </c>
      <c r="E3060" s="3">
        <v>11</v>
      </c>
      <c r="F3060" s="3">
        <v>2</v>
      </c>
      <c r="G3060" s="4">
        <v>44174</v>
      </c>
    </row>
    <row r="3061" spans="2:18">
      <c r="G3061" s="4"/>
    </row>
    <row r="3062" spans="2:18" s="12" customFormat="1">
      <c r="B3062" s="12" t="s">
        <v>4396</v>
      </c>
      <c r="C3062" s="13" t="s">
        <v>969</v>
      </c>
      <c r="D3062" s="13" t="s">
        <v>968</v>
      </c>
      <c r="E3062" s="15"/>
      <c r="F3062" s="15">
        <f>SUM(F3063:F3065)</f>
        <v>6.5</v>
      </c>
      <c r="G3062" s="14">
        <f>G3063</f>
        <v>44044</v>
      </c>
      <c r="M3062" s="13"/>
      <c r="N3062" s="13"/>
      <c r="O3062" s="13"/>
      <c r="P3062" s="13"/>
      <c r="Q3062" s="13"/>
      <c r="R3062" s="13"/>
    </row>
    <row r="3063" spans="2:18">
      <c r="C3063" s="2" t="s">
        <v>5</v>
      </c>
      <c r="D3063" s="2" t="s">
        <v>2129</v>
      </c>
      <c r="E3063" s="3">
        <v>20</v>
      </c>
      <c r="F3063" s="3">
        <f>15/6</f>
        <v>2.5</v>
      </c>
      <c r="G3063" s="4">
        <v>44044</v>
      </c>
    </row>
    <row r="3064" spans="2:18">
      <c r="C3064" s="2" t="s">
        <v>5</v>
      </c>
      <c r="D3064" s="2" t="s">
        <v>2129</v>
      </c>
      <c r="E3064" s="3">
        <v>20</v>
      </c>
      <c r="F3064" s="3">
        <f>12/4</f>
        <v>3</v>
      </c>
      <c r="G3064" s="4">
        <v>43647</v>
      </c>
    </row>
    <row r="3065" spans="2:18">
      <c r="C3065" s="2" t="s">
        <v>4</v>
      </c>
      <c r="D3065" s="2" t="s">
        <v>2129</v>
      </c>
      <c r="E3065" s="3">
        <v>3</v>
      </c>
      <c r="F3065" s="3">
        <v>1</v>
      </c>
      <c r="G3065" s="4">
        <v>42979</v>
      </c>
    </row>
    <row r="3066" spans="2:18">
      <c r="G3066" s="4"/>
    </row>
    <row r="3067" spans="2:18" s="12" customFormat="1">
      <c r="B3067" s="12" t="s">
        <v>634</v>
      </c>
      <c r="C3067" s="13" t="s">
        <v>969</v>
      </c>
      <c r="D3067" s="13" t="s">
        <v>968</v>
      </c>
      <c r="E3067" s="15"/>
      <c r="F3067" s="15">
        <f>SUM(F3068:F3071)</f>
        <v>7</v>
      </c>
      <c r="G3067" s="14">
        <f>G3068</f>
        <v>44984</v>
      </c>
      <c r="M3067" s="13"/>
      <c r="N3067" s="13"/>
      <c r="O3067" s="13"/>
      <c r="P3067" s="13"/>
      <c r="Q3067" s="13"/>
      <c r="R3067" s="13"/>
    </row>
    <row r="3068" spans="2:18">
      <c r="C3068" s="2" t="s">
        <v>5</v>
      </c>
      <c r="D3068" s="2" t="s">
        <v>632</v>
      </c>
      <c r="E3068" s="3">
        <v>10.5</v>
      </c>
      <c r="F3068" s="3">
        <v>4</v>
      </c>
      <c r="G3068" s="4">
        <v>44984</v>
      </c>
      <c r="M3068" s="1"/>
      <c r="N3068" s="1"/>
      <c r="O3068" s="1"/>
      <c r="P3068" s="1"/>
      <c r="Q3068" s="1"/>
      <c r="R3068" s="1"/>
    </row>
    <row r="3069" spans="2:18">
      <c r="C3069" s="2" t="s">
        <v>4</v>
      </c>
      <c r="D3069" s="2" t="s">
        <v>632</v>
      </c>
      <c r="E3069" s="3">
        <v>3</v>
      </c>
      <c r="F3069" s="3">
        <v>1</v>
      </c>
      <c r="G3069" s="4">
        <v>44539</v>
      </c>
      <c r="M3069" s="1"/>
      <c r="N3069" s="1"/>
      <c r="O3069" s="1"/>
      <c r="P3069" s="1"/>
      <c r="Q3069" s="1"/>
      <c r="R3069" s="1"/>
    </row>
    <row r="3070" spans="2:18">
      <c r="C3070" s="2" t="s">
        <v>4</v>
      </c>
      <c r="D3070" s="2" t="s">
        <v>632</v>
      </c>
      <c r="E3070" s="3">
        <v>2</v>
      </c>
      <c r="F3070" s="3">
        <v>1</v>
      </c>
      <c r="G3070" s="4">
        <v>44389</v>
      </c>
      <c r="M3070" s="1"/>
      <c r="N3070" s="1"/>
      <c r="O3070" s="1"/>
      <c r="P3070" s="1"/>
      <c r="Q3070" s="1"/>
      <c r="R3070" s="1"/>
    </row>
    <row r="3071" spans="2:18">
      <c r="C3071" s="2" t="s">
        <v>5</v>
      </c>
      <c r="D3071" s="2" t="s">
        <v>541</v>
      </c>
      <c r="E3071" s="3">
        <v>5</v>
      </c>
      <c r="F3071" s="3">
        <v>1</v>
      </c>
      <c r="G3071" s="4">
        <v>44514</v>
      </c>
      <c r="M3071" s="1"/>
      <c r="N3071" s="1"/>
      <c r="O3071" s="1"/>
      <c r="P3071" s="1"/>
      <c r="Q3071" s="1"/>
      <c r="R3071" s="1"/>
    </row>
    <row r="3072" spans="2:18">
      <c r="G3072" s="4"/>
      <c r="M3072" s="1"/>
      <c r="N3072" s="1"/>
      <c r="O3072" s="1"/>
      <c r="P3072" s="1"/>
      <c r="Q3072" s="1"/>
      <c r="R3072" s="1"/>
    </row>
    <row r="3073" spans="2:18" s="12" customFormat="1">
      <c r="B3073" s="12" t="s">
        <v>900</v>
      </c>
      <c r="C3073" s="13" t="s">
        <v>969</v>
      </c>
      <c r="D3073" s="13" t="s">
        <v>968</v>
      </c>
      <c r="E3073" s="15"/>
      <c r="F3073" s="15">
        <f>SUM(F3074:F3075)</f>
        <v>7</v>
      </c>
      <c r="G3073" s="14">
        <f>G3074</f>
        <v>44417</v>
      </c>
      <c r="M3073" s="13"/>
      <c r="N3073" s="13"/>
      <c r="O3073" s="13"/>
      <c r="P3073" s="13"/>
      <c r="Q3073" s="13"/>
      <c r="R3073" s="13"/>
    </row>
    <row r="3074" spans="2:18">
      <c r="C3074" s="2" t="s">
        <v>18</v>
      </c>
      <c r="D3074" s="2" t="s">
        <v>877</v>
      </c>
      <c r="E3074" s="3">
        <v>85</v>
      </c>
      <c r="F3074" s="3">
        <v>6</v>
      </c>
      <c r="G3074" s="4">
        <v>44417</v>
      </c>
    </row>
    <row r="3075" spans="2:18">
      <c r="C3075" s="177" t="s">
        <v>5</v>
      </c>
      <c r="D3075" s="177" t="s">
        <v>2030</v>
      </c>
      <c r="E3075" s="3">
        <v>9.3000000000000007</v>
      </c>
      <c r="F3075" s="3">
        <v>1</v>
      </c>
      <c r="G3075" s="4">
        <v>44229</v>
      </c>
    </row>
    <row r="3076" spans="2:18">
      <c r="G3076" s="4"/>
    </row>
    <row r="3077" spans="2:18" s="12" customFormat="1">
      <c r="B3077" s="12" t="s">
        <v>698</v>
      </c>
      <c r="C3077" s="13" t="s">
        <v>969</v>
      </c>
      <c r="D3077" s="13" t="s">
        <v>968</v>
      </c>
      <c r="E3077" s="15"/>
      <c r="F3077" s="15">
        <f>SUM(F3078:F3079)</f>
        <v>7</v>
      </c>
      <c r="G3077" s="14">
        <f>G3078</f>
        <v>44875</v>
      </c>
      <c r="M3077" s="13"/>
      <c r="N3077" s="13"/>
      <c r="O3077" s="13"/>
      <c r="P3077" s="13"/>
      <c r="Q3077" s="13"/>
      <c r="R3077" s="13"/>
    </row>
    <row r="3078" spans="2:18">
      <c r="C3078" s="2" t="s">
        <v>5</v>
      </c>
      <c r="D3078" s="2" t="s">
        <v>697</v>
      </c>
      <c r="E3078" s="3">
        <v>23.5</v>
      </c>
      <c r="F3078" s="3">
        <v>2</v>
      </c>
      <c r="G3078" s="4">
        <v>44875</v>
      </c>
    </row>
    <row r="3079" spans="2:18">
      <c r="C3079" s="2" t="s">
        <v>4</v>
      </c>
      <c r="D3079" s="2" t="s">
        <v>688</v>
      </c>
      <c r="E3079" s="3">
        <v>5</v>
      </c>
      <c r="F3079" s="3">
        <v>5</v>
      </c>
      <c r="G3079" s="4">
        <v>44562</v>
      </c>
    </row>
    <row r="3080" spans="2:18">
      <c r="G3080" s="4"/>
    </row>
    <row r="3081" spans="2:18" s="12" customFormat="1">
      <c r="B3081" s="12" t="s">
        <v>287</v>
      </c>
      <c r="C3081" s="13" t="s">
        <v>969</v>
      </c>
      <c r="D3081" s="13" t="s">
        <v>968</v>
      </c>
      <c r="E3081" s="15"/>
      <c r="F3081" s="15">
        <f>SUM(F3082:F3083)</f>
        <v>7</v>
      </c>
      <c r="G3081" s="14">
        <f>G3082</f>
        <v>44309</v>
      </c>
      <c r="M3081" s="13"/>
      <c r="N3081" s="13"/>
      <c r="O3081" s="13"/>
      <c r="P3081" s="13"/>
      <c r="Q3081" s="13"/>
      <c r="R3081" s="13"/>
    </row>
    <row r="3082" spans="2:18">
      <c r="B3082" s="12"/>
      <c r="C3082" s="2" t="s">
        <v>7</v>
      </c>
      <c r="D3082" s="2" t="s">
        <v>286</v>
      </c>
      <c r="E3082" s="3">
        <v>35</v>
      </c>
      <c r="F3082" s="3">
        <f>15/3</f>
        <v>5</v>
      </c>
      <c r="G3082" s="4">
        <v>44309</v>
      </c>
    </row>
    <row r="3083" spans="2:18">
      <c r="C3083" s="92" t="s">
        <v>5</v>
      </c>
      <c r="D3083" s="92" t="s">
        <v>5407</v>
      </c>
      <c r="E3083" s="3">
        <v>18.100000000000001</v>
      </c>
      <c r="F3083" s="3">
        <v>2</v>
      </c>
      <c r="G3083" s="4">
        <v>42719</v>
      </c>
    </row>
    <row r="3084" spans="2:18">
      <c r="G3084" s="4"/>
    </row>
    <row r="3085" spans="2:18" s="12" customFormat="1">
      <c r="B3085" s="12" t="s">
        <v>92</v>
      </c>
      <c r="C3085" s="13" t="s">
        <v>969</v>
      </c>
      <c r="D3085" s="13" t="s">
        <v>968</v>
      </c>
      <c r="E3085" s="15"/>
      <c r="F3085" s="15">
        <f>SUM(F3086:F3087)</f>
        <v>6.5</v>
      </c>
      <c r="G3085" s="14">
        <f>G3086</f>
        <v>44642</v>
      </c>
      <c r="M3085" s="13"/>
      <c r="N3085" s="13"/>
      <c r="O3085" s="13"/>
      <c r="P3085" s="13"/>
      <c r="Q3085" s="13"/>
      <c r="R3085" s="13"/>
    </row>
    <row r="3086" spans="2:18">
      <c r="C3086" s="2" t="s">
        <v>7</v>
      </c>
      <c r="D3086" s="2" t="s">
        <v>87</v>
      </c>
      <c r="E3086" s="3">
        <v>25</v>
      </c>
      <c r="F3086" s="3">
        <f>15/6</f>
        <v>2.5</v>
      </c>
      <c r="G3086" s="4">
        <v>44642</v>
      </c>
    </row>
    <row r="3087" spans="2:18">
      <c r="C3087" s="2" t="s">
        <v>5</v>
      </c>
      <c r="D3087" s="2" t="s">
        <v>87</v>
      </c>
      <c r="E3087" s="3">
        <v>13.5</v>
      </c>
      <c r="F3087" s="3">
        <v>4</v>
      </c>
      <c r="G3087" s="4">
        <v>43978</v>
      </c>
    </row>
    <row r="3088" spans="2:18">
      <c r="G3088" s="4"/>
    </row>
    <row r="3089" spans="2:18" s="12" customFormat="1">
      <c r="B3089" s="12" t="s">
        <v>290</v>
      </c>
      <c r="C3089" s="13" t="s">
        <v>969</v>
      </c>
      <c r="D3089" s="13" t="s">
        <v>968</v>
      </c>
      <c r="E3089" s="15"/>
      <c r="F3089" s="15">
        <f>SUM(F3090:F3091)</f>
        <v>6.5</v>
      </c>
      <c r="G3089" s="14">
        <f>G3090</f>
        <v>44474</v>
      </c>
      <c r="M3089" s="13"/>
      <c r="N3089" s="13"/>
      <c r="O3089" s="13"/>
      <c r="P3089" s="13"/>
      <c r="Q3089" s="13"/>
      <c r="R3089" s="13"/>
    </row>
    <row r="3090" spans="2:18">
      <c r="C3090" s="2" t="s">
        <v>5</v>
      </c>
      <c r="D3090" s="2" t="s">
        <v>289</v>
      </c>
      <c r="E3090" s="3">
        <v>30</v>
      </c>
      <c r="F3090" s="3">
        <f>20/5</f>
        <v>4</v>
      </c>
      <c r="G3090" s="4">
        <v>44474</v>
      </c>
    </row>
    <row r="3091" spans="2:18">
      <c r="C3091" s="2" t="s">
        <v>4</v>
      </c>
      <c r="D3091" s="2" t="s">
        <v>289</v>
      </c>
      <c r="E3091" s="3">
        <v>15</v>
      </c>
      <c r="F3091" s="3">
        <f>10/4</f>
        <v>2.5</v>
      </c>
      <c r="G3091" s="4">
        <v>43775</v>
      </c>
    </row>
    <row r="3092" spans="2:18">
      <c r="G3092" s="4"/>
    </row>
    <row r="3093" spans="2:18" s="12" customFormat="1">
      <c r="B3093" s="12" t="s">
        <v>687</v>
      </c>
      <c r="C3093" s="13" t="s">
        <v>969</v>
      </c>
      <c r="D3093" s="13" t="s">
        <v>968</v>
      </c>
      <c r="E3093" s="15"/>
      <c r="F3093" s="15">
        <f>SUM(F3094:F3095)</f>
        <v>7</v>
      </c>
      <c r="G3093" s="14">
        <f>G3094</f>
        <v>44601</v>
      </c>
      <c r="M3093" s="13"/>
      <c r="N3093" s="13"/>
      <c r="O3093" s="13"/>
      <c r="P3093" s="13"/>
      <c r="Q3093" s="13"/>
      <c r="R3093" s="13"/>
    </row>
    <row r="3094" spans="2:18">
      <c r="C3094" s="2" t="s">
        <v>4</v>
      </c>
      <c r="D3094" s="2" t="s">
        <v>686</v>
      </c>
      <c r="E3094" s="3">
        <v>30</v>
      </c>
      <c r="F3094" s="3">
        <v>5</v>
      </c>
      <c r="G3094" s="4">
        <v>44601</v>
      </c>
    </row>
    <row r="3095" spans="2:18">
      <c r="C3095" s="2" t="s">
        <v>4</v>
      </c>
      <c r="D3095" s="2" t="s">
        <v>654</v>
      </c>
      <c r="E3095" s="3">
        <v>12.8</v>
      </c>
      <c r="F3095" s="3">
        <v>2</v>
      </c>
      <c r="G3095" s="4">
        <v>44601</v>
      </c>
    </row>
    <row r="3096" spans="2:18">
      <c r="G3096" s="4"/>
    </row>
    <row r="3097" spans="2:18" s="12" customFormat="1">
      <c r="B3097" s="12" t="s">
        <v>467</v>
      </c>
      <c r="C3097" s="13" t="s">
        <v>969</v>
      </c>
      <c r="D3097" s="13" t="s">
        <v>968</v>
      </c>
      <c r="E3097" s="15"/>
      <c r="F3097" s="15">
        <f>SUM(F3098:F3099)</f>
        <v>5.5</v>
      </c>
      <c r="G3097" s="14">
        <f>G3098</f>
        <v>44727</v>
      </c>
    </row>
    <row r="3098" spans="2:18">
      <c r="C3098" s="2" t="s">
        <v>5</v>
      </c>
      <c r="D3098" s="2" t="s">
        <v>465</v>
      </c>
      <c r="E3098" s="3">
        <v>15.5</v>
      </c>
      <c r="F3098" s="3">
        <v>3</v>
      </c>
      <c r="G3098" s="4">
        <v>44727</v>
      </c>
      <c r="M3098" s="1"/>
      <c r="N3098" s="1"/>
      <c r="O3098" s="1"/>
      <c r="P3098" s="1"/>
      <c r="Q3098" s="1"/>
      <c r="R3098" s="1"/>
    </row>
    <row r="3099" spans="2:18">
      <c r="C3099" s="2" t="s">
        <v>7</v>
      </c>
      <c r="D3099" s="2" t="s">
        <v>87</v>
      </c>
      <c r="E3099" s="3">
        <v>25</v>
      </c>
      <c r="F3099" s="3">
        <f>15/6</f>
        <v>2.5</v>
      </c>
      <c r="G3099" s="4">
        <v>44642</v>
      </c>
      <c r="M3099" s="1"/>
      <c r="N3099" s="1"/>
      <c r="O3099" s="1"/>
      <c r="P3099" s="1"/>
      <c r="Q3099" s="1"/>
      <c r="R3099" s="1"/>
    </row>
    <row r="3100" spans="2:18">
      <c r="G3100" s="4"/>
      <c r="M3100" s="1"/>
      <c r="N3100" s="1"/>
      <c r="O3100" s="1"/>
      <c r="P3100" s="1"/>
      <c r="Q3100" s="1"/>
      <c r="R3100" s="1"/>
    </row>
    <row r="3101" spans="2:18">
      <c r="B3101" s="12" t="s">
        <v>971</v>
      </c>
      <c r="C3101" s="13" t="s">
        <v>969</v>
      </c>
      <c r="D3101" s="13" t="s">
        <v>968</v>
      </c>
      <c r="F3101" s="15">
        <f>SUM(F3102:F3105)</f>
        <v>6.166666666666667</v>
      </c>
      <c r="G3101" s="14">
        <f>G3103</f>
        <v>45062</v>
      </c>
    </row>
    <row r="3102" spans="2:18">
      <c r="C3102" s="2" t="s">
        <v>5</v>
      </c>
      <c r="D3102" s="2" t="s">
        <v>796</v>
      </c>
      <c r="E3102" s="3">
        <v>17.5</v>
      </c>
      <c r="F3102" s="3">
        <v>1</v>
      </c>
      <c r="G3102" s="4">
        <v>44614</v>
      </c>
    </row>
    <row r="3103" spans="2:18">
      <c r="C3103" s="2" t="s">
        <v>4</v>
      </c>
      <c r="D3103" s="2" t="s">
        <v>807</v>
      </c>
      <c r="E3103" s="3">
        <v>5</v>
      </c>
      <c r="F3103" s="3">
        <f>5/3</f>
        <v>1.6666666666666667</v>
      </c>
      <c r="G3103" s="4">
        <v>45062</v>
      </c>
    </row>
    <row r="3104" spans="2:18">
      <c r="C3104" s="2" t="s">
        <v>4</v>
      </c>
      <c r="D3104" s="2" t="s">
        <v>565</v>
      </c>
      <c r="E3104" s="3">
        <v>9</v>
      </c>
      <c r="F3104" s="3">
        <v>0.5</v>
      </c>
      <c r="G3104" s="4">
        <v>44859</v>
      </c>
    </row>
    <row r="3105" spans="2:18">
      <c r="C3105" s="177" t="s">
        <v>5</v>
      </c>
      <c r="D3105" s="177" t="s">
        <v>6681</v>
      </c>
      <c r="E3105" s="3">
        <v>21</v>
      </c>
      <c r="F3105" s="3">
        <v>3</v>
      </c>
      <c r="G3105" s="4">
        <v>44515</v>
      </c>
    </row>
    <row r="3106" spans="2:18">
      <c r="G3106" s="4"/>
    </row>
    <row r="3107" spans="2:18" s="12" customFormat="1">
      <c r="B3107" s="12" t="s">
        <v>404</v>
      </c>
      <c r="C3107" s="13" t="s">
        <v>969</v>
      </c>
      <c r="D3107" s="13" t="s">
        <v>968</v>
      </c>
      <c r="E3107" s="15"/>
      <c r="F3107" s="15">
        <f>SUM(F3108:F3109)</f>
        <v>6</v>
      </c>
      <c r="G3107" s="14">
        <f>G3108</f>
        <v>44538</v>
      </c>
    </row>
    <row r="3108" spans="2:18">
      <c r="C3108" s="2" t="s">
        <v>7</v>
      </c>
      <c r="D3108" s="2" t="s">
        <v>403</v>
      </c>
      <c r="E3108" s="3">
        <v>50</v>
      </c>
      <c r="F3108" s="3">
        <f>30/6</f>
        <v>5</v>
      </c>
      <c r="G3108" s="4">
        <v>44538</v>
      </c>
      <c r="M3108" s="1"/>
      <c r="N3108" s="1"/>
      <c r="O3108" s="1"/>
      <c r="P3108" s="1"/>
      <c r="Q3108" s="1"/>
      <c r="R3108" s="1"/>
    </row>
    <row r="3109" spans="2:18">
      <c r="C3109" s="2" t="s">
        <v>4</v>
      </c>
      <c r="D3109" s="2" t="s">
        <v>403</v>
      </c>
      <c r="E3109" s="3">
        <v>3.1</v>
      </c>
      <c r="F3109" s="3">
        <v>1</v>
      </c>
      <c r="G3109" s="4">
        <v>43580</v>
      </c>
      <c r="M3109" s="1"/>
      <c r="N3109" s="1"/>
      <c r="O3109" s="1"/>
      <c r="P3109" s="1"/>
      <c r="Q3109" s="1"/>
      <c r="R3109" s="1"/>
    </row>
    <row r="3110" spans="2:18">
      <c r="G3110" s="4"/>
      <c r="M3110" s="1"/>
      <c r="N3110" s="1"/>
      <c r="O3110" s="1"/>
      <c r="P3110" s="1"/>
      <c r="Q3110" s="1"/>
      <c r="R3110" s="1"/>
    </row>
    <row r="3111" spans="2:18" s="12" customFormat="1">
      <c r="B3111" s="12" t="s">
        <v>6556</v>
      </c>
      <c r="C3111" s="13" t="s">
        <v>969</v>
      </c>
      <c r="D3111" s="13" t="s">
        <v>968</v>
      </c>
      <c r="E3111" s="15"/>
      <c r="F3111" s="15">
        <f>SUM(F3112:F3113)</f>
        <v>6</v>
      </c>
      <c r="G3111" s="14">
        <f>G3112</f>
        <v>44572</v>
      </c>
      <c r="M3111" s="13"/>
      <c r="N3111" s="13"/>
      <c r="O3111" s="13"/>
      <c r="P3111" s="13"/>
      <c r="Q3111" s="13"/>
      <c r="R3111" s="13"/>
    </row>
    <row r="3112" spans="2:18">
      <c r="B3112" s="12"/>
      <c r="C3112" s="153" t="s">
        <v>7</v>
      </c>
      <c r="D3112" s="153" t="s">
        <v>2034</v>
      </c>
      <c r="E3112" s="3">
        <v>25</v>
      </c>
      <c r="F3112" s="3">
        <v>5</v>
      </c>
      <c r="G3112" s="4">
        <v>44572</v>
      </c>
    </row>
    <row r="3113" spans="2:18">
      <c r="C3113" s="153" t="s">
        <v>5</v>
      </c>
      <c r="D3113" s="153" t="s">
        <v>2034</v>
      </c>
      <c r="E3113" s="3">
        <v>5</v>
      </c>
      <c r="F3113" s="3">
        <v>1</v>
      </c>
      <c r="G3113" s="4">
        <v>43888</v>
      </c>
    </row>
    <row r="3114" spans="2:18">
      <c r="C3114" s="153"/>
      <c r="D3114" s="153"/>
      <c r="G3114" s="4"/>
    </row>
    <row r="3115" spans="2:18" s="12" customFormat="1">
      <c r="B3115" s="12" t="s">
        <v>556</v>
      </c>
      <c r="C3115" s="13" t="s">
        <v>969</v>
      </c>
      <c r="D3115" s="13" t="s">
        <v>968</v>
      </c>
      <c r="E3115" s="15"/>
      <c r="F3115" s="15">
        <f>SUM(F3116:F3119)</f>
        <v>5.5714285714285712</v>
      </c>
      <c r="G3115" s="14">
        <f>G3116</f>
        <v>45077</v>
      </c>
    </row>
    <row r="3116" spans="2:18">
      <c r="C3116" s="2" t="s">
        <v>7</v>
      </c>
      <c r="D3116" s="2" t="s">
        <v>548</v>
      </c>
      <c r="E3116" s="3">
        <v>20</v>
      </c>
      <c r="F3116" s="3">
        <f>12/6</f>
        <v>2</v>
      </c>
      <c r="G3116" s="4">
        <v>45077</v>
      </c>
      <c r="M3116" s="1"/>
      <c r="N3116" s="1"/>
      <c r="O3116" s="1"/>
      <c r="P3116" s="1"/>
      <c r="Q3116" s="1"/>
      <c r="R3116" s="1"/>
    </row>
    <row r="3117" spans="2:18">
      <c r="C3117" s="2" t="s">
        <v>5</v>
      </c>
      <c r="D3117" s="2" t="s">
        <v>548</v>
      </c>
      <c r="E3117" s="3">
        <v>10.5</v>
      </c>
      <c r="F3117" s="3">
        <f>5/5</f>
        <v>1</v>
      </c>
      <c r="G3117" s="4">
        <v>44341</v>
      </c>
      <c r="M3117" s="1"/>
      <c r="N3117" s="1"/>
      <c r="O3117" s="1"/>
      <c r="P3117" s="1"/>
      <c r="Q3117" s="1"/>
      <c r="R3117" s="1"/>
    </row>
    <row r="3118" spans="2:18">
      <c r="C3118" s="2" t="s">
        <v>5</v>
      </c>
      <c r="D3118" s="2" t="s">
        <v>87</v>
      </c>
      <c r="E3118" s="3">
        <v>14</v>
      </c>
      <c r="F3118" s="3">
        <v>2</v>
      </c>
      <c r="G3118" s="4">
        <v>43978</v>
      </c>
      <c r="M3118" s="1"/>
      <c r="N3118" s="1"/>
      <c r="O3118" s="1"/>
      <c r="P3118" s="1"/>
      <c r="Q3118" s="1"/>
      <c r="R3118" s="1"/>
    </row>
    <row r="3119" spans="2:18">
      <c r="C3119" s="2" t="s">
        <v>4</v>
      </c>
      <c r="D3119" s="2" t="s">
        <v>87</v>
      </c>
      <c r="E3119" s="3">
        <v>5.3</v>
      </c>
      <c r="F3119" s="3">
        <f>4/7</f>
        <v>0.5714285714285714</v>
      </c>
      <c r="G3119" s="4">
        <v>43398</v>
      </c>
      <c r="M3119" s="1"/>
      <c r="N3119" s="1"/>
      <c r="O3119" s="1"/>
      <c r="P3119" s="1"/>
      <c r="Q3119" s="1"/>
      <c r="R3119" s="1"/>
    </row>
    <row r="3120" spans="2:18">
      <c r="G3120" s="4"/>
      <c r="M3120" s="1"/>
      <c r="N3120" s="1"/>
      <c r="O3120" s="1"/>
      <c r="P3120" s="1"/>
      <c r="Q3120" s="1"/>
      <c r="R3120" s="1"/>
    </row>
    <row r="3121" spans="2:18" s="12" customFormat="1">
      <c r="B3121" s="12" t="s">
        <v>988</v>
      </c>
      <c r="C3121" s="13" t="s">
        <v>969</v>
      </c>
      <c r="D3121" s="13" t="s">
        <v>968</v>
      </c>
      <c r="E3121" s="15"/>
      <c r="F3121" s="15">
        <f>SUM(F3122:F3123)</f>
        <v>6.1428571428571423</v>
      </c>
      <c r="G3121" s="14">
        <f>G3122</f>
        <v>44691</v>
      </c>
      <c r="M3121" s="13"/>
      <c r="N3121" s="13"/>
      <c r="O3121" s="13"/>
      <c r="P3121" s="13"/>
      <c r="Q3121" s="13"/>
      <c r="R3121" s="13"/>
    </row>
    <row r="3122" spans="2:18">
      <c r="C3122" s="2" t="s">
        <v>4</v>
      </c>
      <c r="D3122" s="2" t="s">
        <v>678</v>
      </c>
      <c r="E3122" s="3">
        <v>15</v>
      </c>
      <c r="F3122" s="3">
        <f>15/7</f>
        <v>2.1428571428571428</v>
      </c>
      <c r="G3122" s="4">
        <v>44691</v>
      </c>
    </row>
    <row r="3123" spans="2:18">
      <c r="C3123" s="2" t="s">
        <v>7</v>
      </c>
      <c r="D3123" s="2" t="s">
        <v>310</v>
      </c>
      <c r="E3123" s="3">
        <v>40</v>
      </c>
      <c r="F3123" s="3">
        <v>4</v>
      </c>
      <c r="G3123" s="4">
        <v>43419</v>
      </c>
    </row>
    <row r="3124" spans="2:18">
      <c r="G3124" s="4"/>
    </row>
    <row r="3125" spans="2:18" s="12" customFormat="1">
      <c r="B3125" s="12" t="s">
        <v>987</v>
      </c>
      <c r="C3125" s="13" t="s">
        <v>969</v>
      </c>
      <c r="D3125" s="13" t="s">
        <v>968</v>
      </c>
      <c r="E3125" s="15"/>
      <c r="F3125" s="15">
        <f>SUM(F3126:F3127)</f>
        <v>5.75</v>
      </c>
      <c r="G3125" s="14">
        <f>G3126</f>
        <v>44615</v>
      </c>
      <c r="M3125" s="13"/>
      <c r="N3125" s="13"/>
      <c r="O3125" s="13"/>
      <c r="P3125" s="13"/>
      <c r="Q3125" s="13"/>
      <c r="R3125" s="13"/>
    </row>
    <row r="3126" spans="2:18">
      <c r="C3126" s="2" t="s">
        <v>5</v>
      </c>
      <c r="D3126" s="2" t="s">
        <v>986</v>
      </c>
      <c r="E3126" s="3">
        <v>25</v>
      </c>
      <c r="F3126" s="3">
        <f>15/4</f>
        <v>3.75</v>
      </c>
      <c r="G3126" s="4">
        <v>44615</v>
      </c>
    </row>
    <row r="3127" spans="2:18">
      <c r="C3127" s="2" t="s">
        <v>4</v>
      </c>
      <c r="D3127" s="2" t="s">
        <v>986</v>
      </c>
      <c r="E3127" s="3">
        <v>5</v>
      </c>
      <c r="F3127" s="3">
        <v>2</v>
      </c>
      <c r="G3127" s="4">
        <v>44292</v>
      </c>
    </row>
    <row r="3128" spans="2:18">
      <c r="G3128" s="4"/>
    </row>
    <row r="3129" spans="2:18" s="12" customFormat="1">
      <c r="B3129" s="12" t="s">
        <v>983</v>
      </c>
      <c r="C3129" s="13" t="s">
        <v>969</v>
      </c>
      <c r="D3129" s="13" t="s">
        <v>968</v>
      </c>
      <c r="E3129" s="15"/>
      <c r="F3129" s="15">
        <f>SUM(F3130:F3132)</f>
        <v>6</v>
      </c>
      <c r="G3129" s="14">
        <f>G3130</f>
        <v>44636</v>
      </c>
      <c r="M3129" s="13"/>
      <c r="N3129" s="13"/>
      <c r="O3129" s="13"/>
      <c r="P3129" s="13"/>
      <c r="Q3129" s="13"/>
      <c r="R3129" s="13"/>
    </row>
    <row r="3130" spans="2:18">
      <c r="C3130" s="2" t="s">
        <v>7</v>
      </c>
      <c r="D3130" s="2" t="s">
        <v>860</v>
      </c>
      <c r="E3130" s="3">
        <v>25</v>
      </c>
      <c r="F3130" s="3">
        <v>3</v>
      </c>
      <c r="G3130" s="4">
        <v>44636</v>
      </c>
    </row>
    <row r="3131" spans="2:18">
      <c r="C3131" s="2" t="s">
        <v>5</v>
      </c>
      <c r="D3131" s="2" t="s">
        <v>860</v>
      </c>
      <c r="E3131" s="3">
        <v>12</v>
      </c>
      <c r="F3131" s="3">
        <v>2</v>
      </c>
      <c r="G3131" s="4">
        <v>44179</v>
      </c>
    </row>
    <row r="3132" spans="2:18">
      <c r="C3132" s="2" t="s">
        <v>4</v>
      </c>
      <c r="D3132" s="2" t="s">
        <v>860</v>
      </c>
      <c r="E3132" s="3">
        <v>5.0999999999999996</v>
      </c>
      <c r="F3132" s="3">
        <v>1</v>
      </c>
      <c r="G3132" s="4">
        <v>44046</v>
      </c>
    </row>
    <row r="3133" spans="2:18">
      <c r="G3133" s="4"/>
    </row>
    <row r="3134" spans="2:18" s="12" customFormat="1">
      <c r="B3134" s="12" t="s">
        <v>629</v>
      </c>
      <c r="C3134" s="13" t="s">
        <v>969</v>
      </c>
      <c r="D3134" s="13" t="s">
        <v>968</v>
      </c>
      <c r="E3134" s="15"/>
      <c r="F3134" s="15">
        <f>SUM(F3135:F3137)</f>
        <v>6.2</v>
      </c>
      <c r="G3134" s="14">
        <f>G3135</f>
        <v>44825</v>
      </c>
    </row>
    <row r="3135" spans="2:18">
      <c r="C3135" s="2" t="s">
        <v>5</v>
      </c>
      <c r="D3135" s="2" t="s">
        <v>71</v>
      </c>
      <c r="E3135" s="3">
        <v>10</v>
      </c>
      <c r="F3135" s="3">
        <v>4</v>
      </c>
      <c r="G3135" s="4">
        <v>44825</v>
      </c>
      <c r="M3135" s="1"/>
      <c r="N3135" s="1"/>
      <c r="O3135" s="1"/>
      <c r="P3135" s="1"/>
      <c r="Q3135" s="1"/>
      <c r="R3135" s="1"/>
    </row>
    <row r="3136" spans="2:18">
      <c r="C3136" s="2" t="s">
        <v>4</v>
      </c>
      <c r="D3136" s="2" t="s">
        <v>71</v>
      </c>
      <c r="E3136" s="3">
        <v>1.5</v>
      </c>
      <c r="F3136" s="3">
        <v>1.5</v>
      </c>
      <c r="G3136" s="4">
        <v>44406</v>
      </c>
      <c r="M3136" s="1"/>
      <c r="N3136" s="1"/>
      <c r="O3136" s="1"/>
      <c r="P3136" s="1"/>
      <c r="Q3136" s="1"/>
      <c r="R3136" s="1"/>
    </row>
    <row r="3137" spans="2:18">
      <c r="C3137" s="2" t="s">
        <v>4</v>
      </c>
      <c r="D3137" s="2" t="s">
        <v>144</v>
      </c>
      <c r="E3137" s="3">
        <v>0.7</v>
      </c>
      <c r="F3137" s="3">
        <v>0.7</v>
      </c>
      <c r="G3137" s="4">
        <v>42553</v>
      </c>
      <c r="M3137" s="1"/>
      <c r="N3137" s="1"/>
      <c r="O3137" s="1"/>
      <c r="P3137" s="1"/>
      <c r="Q3137" s="1"/>
      <c r="R3137" s="1"/>
    </row>
    <row r="3138" spans="2:18">
      <c r="G3138" s="4"/>
      <c r="M3138" s="1"/>
      <c r="N3138" s="1"/>
      <c r="O3138" s="1"/>
      <c r="P3138" s="1"/>
      <c r="Q3138" s="1"/>
      <c r="R3138" s="1"/>
    </row>
    <row r="3139" spans="2:18" s="12" customFormat="1">
      <c r="B3139" s="12" t="s">
        <v>702</v>
      </c>
      <c r="C3139" s="13" t="s">
        <v>969</v>
      </c>
      <c r="D3139" s="13" t="s">
        <v>968</v>
      </c>
      <c r="E3139" s="15"/>
      <c r="F3139" s="15">
        <f>SUM(F3140:F3142)</f>
        <v>6.1</v>
      </c>
      <c r="G3139" s="14">
        <f>G3141</f>
        <v>44952</v>
      </c>
      <c r="M3139" s="13"/>
      <c r="N3139" s="13"/>
      <c r="O3139" s="13"/>
      <c r="P3139" s="13"/>
      <c r="Q3139" s="13"/>
      <c r="R3139" s="13"/>
    </row>
    <row r="3140" spans="2:18">
      <c r="C3140" s="2" t="s">
        <v>5</v>
      </c>
      <c r="D3140" s="2" t="s">
        <v>701</v>
      </c>
      <c r="E3140" s="3">
        <v>50</v>
      </c>
      <c r="F3140" s="3">
        <f>30/12</f>
        <v>2.5</v>
      </c>
      <c r="G3140" s="4">
        <v>44796</v>
      </c>
    </row>
    <row r="3141" spans="2:18">
      <c r="C3141" s="2" t="s">
        <v>5</v>
      </c>
      <c r="D3141" s="2" t="s">
        <v>666</v>
      </c>
      <c r="E3141" s="3">
        <v>12.7</v>
      </c>
      <c r="F3141" s="3">
        <f>8/5</f>
        <v>1.6</v>
      </c>
      <c r="G3141" s="4">
        <v>44952</v>
      </c>
    </row>
    <row r="3142" spans="2:18">
      <c r="C3142" s="2" t="s">
        <v>4</v>
      </c>
      <c r="D3142" s="2" t="s">
        <v>122</v>
      </c>
      <c r="E3142" s="3">
        <v>4.5</v>
      </c>
      <c r="F3142" s="3">
        <v>2</v>
      </c>
      <c r="G3142" s="4">
        <v>44434</v>
      </c>
    </row>
    <row r="3143" spans="2:18">
      <c r="G3143" s="4"/>
    </row>
    <row r="3144" spans="2:18" s="12" customFormat="1">
      <c r="B3144" s="12" t="s">
        <v>458</v>
      </c>
      <c r="C3144" s="13" t="s">
        <v>969</v>
      </c>
      <c r="D3144" s="13" t="s">
        <v>968</v>
      </c>
      <c r="E3144" s="15"/>
      <c r="F3144" s="15">
        <f>SUM(F3145:F3146)</f>
        <v>6</v>
      </c>
      <c r="G3144" s="14">
        <f>G3145</f>
        <v>44600</v>
      </c>
    </row>
    <row r="3145" spans="2:18">
      <c r="C3145" s="2" t="s">
        <v>7</v>
      </c>
      <c r="D3145" s="2" t="s">
        <v>456</v>
      </c>
      <c r="E3145" s="3">
        <v>26.8</v>
      </c>
      <c r="F3145" s="3">
        <v>4</v>
      </c>
      <c r="G3145" s="4">
        <v>44600</v>
      </c>
      <c r="M3145" s="1"/>
      <c r="N3145" s="1"/>
      <c r="O3145" s="1"/>
      <c r="P3145" s="1"/>
      <c r="Q3145" s="1"/>
      <c r="R3145" s="1"/>
    </row>
    <row r="3146" spans="2:18">
      <c r="C3146" s="2" t="s">
        <v>5</v>
      </c>
      <c r="D3146" s="2" t="s">
        <v>456</v>
      </c>
      <c r="E3146" s="3">
        <v>8.3000000000000007</v>
      </c>
      <c r="F3146" s="3">
        <v>2</v>
      </c>
      <c r="G3146" s="4">
        <v>44053</v>
      </c>
      <c r="M3146" s="1"/>
      <c r="N3146" s="1"/>
      <c r="O3146" s="1"/>
      <c r="P3146" s="1"/>
      <c r="Q3146" s="1"/>
      <c r="R3146" s="1"/>
    </row>
    <row r="3147" spans="2:18">
      <c r="G3147" s="4"/>
      <c r="M3147" s="1"/>
      <c r="N3147" s="1"/>
      <c r="O3147" s="1"/>
      <c r="P3147" s="1"/>
      <c r="Q3147" s="1"/>
      <c r="R3147" s="1"/>
    </row>
    <row r="3148" spans="2:18" s="12" customFormat="1">
      <c r="B3148" s="12" t="s">
        <v>17</v>
      </c>
      <c r="C3148" s="13" t="s">
        <v>969</v>
      </c>
      <c r="D3148" s="13" t="s">
        <v>968</v>
      </c>
      <c r="E3148" s="15"/>
      <c r="F3148" s="15">
        <f>SUM(F3149:F3151)</f>
        <v>6.4</v>
      </c>
      <c r="G3148" s="14">
        <f>G3149</f>
        <v>43031</v>
      </c>
      <c r="M3148" s="13"/>
      <c r="N3148" s="13"/>
      <c r="O3148" s="13"/>
      <c r="P3148" s="13"/>
      <c r="Q3148" s="13"/>
      <c r="R3148" s="13"/>
    </row>
    <row r="3149" spans="2:18">
      <c r="C3149" s="2" t="s">
        <v>7</v>
      </c>
      <c r="D3149" s="2" t="s">
        <v>15</v>
      </c>
      <c r="E3149" s="3">
        <v>28</v>
      </c>
      <c r="F3149" s="3">
        <v>4</v>
      </c>
      <c r="G3149" s="4">
        <v>43031</v>
      </c>
    </row>
    <row r="3150" spans="2:18">
      <c r="C3150" s="2" t="s">
        <v>5</v>
      </c>
      <c r="D3150" s="2" t="s">
        <v>15</v>
      </c>
      <c r="E3150" s="3">
        <v>10</v>
      </c>
      <c r="F3150" s="3">
        <v>2</v>
      </c>
      <c r="G3150" s="4">
        <v>42508</v>
      </c>
    </row>
    <row r="3151" spans="2:18">
      <c r="C3151" s="2" t="s">
        <v>4</v>
      </c>
      <c r="D3151" s="2" t="s">
        <v>15</v>
      </c>
      <c r="E3151" s="3">
        <v>1.8</v>
      </c>
      <c r="F3151" s="3">
        <v>0.4</v>
      </c>
      <c r="G3151" s="4">
        <v>41976</v>
      </c>
    </row>
    <row r="3152" spans="2:18">
      <c r="G3152" s="4"/>
    </row>
    <row r="3153" spans="2:18" s="12" customFormat="1">
      <c r="B3153" s="12" t="s">
        <v>737</v>
      </c>
      <c r="C3153" s="13" t="s">
        <v>969</v>
      </c>
      <c r="D3153" s="13" t="s">
        <v>968</v>
      </c>
      <c r="E3153" s="15"/>
      <c r="F3153" s="15">
        <f>SUM(F3154:F3155)</f>
        <v>5.8</v>
      </c>
      <c r="G3153" s="14">
        <f>G3154</f>
        <v>44755</v>
      </c>
    </row>
    <row r="3154" spans="2:18">
      <c r="C3154" s="2" t="s">
        <v>7</v>
      </c>
      <c r="D3154" s="2" t="s">
        <v>735</v>
      </c>
      <c r="E3154" s="3">
        <v>25</v>
      </c>
      <c r="F3154" s="3">
        <f>15/5</f>
        <v>3</v>
      </c>
      <c r="G3154" s="4">
        <v>44755</v>
      </c>
    </row>
    <row r="3155" spans="2:18">
      <c r="C3155" s="2" t="s">
        <v>5</v>
      </c>
      <c r="D3155" s="2" t="s">
        <v>735</v>
      </c>
      <c r="E3155" s="3">
        <v>21</v>
      </c>
      <c r="F3155" s="3">
        <f>14/5</f>
        <v>2.8</v>
      </c>
      <c r="G3155" s="4">
        <v>44489</v>
      </c>
    </row>
    <row r="3156" spans="2:18">
      <c r="G3156" s="4"/>
    </row>
    <row r="3157" spans="2:18" s="12" customFormat="1">
      <c r="B3157" s="12" t="s">
        <v>410</v>
      </c>
      <c r="C3157" s="13" t="s">
        <v>969</v>
      </c>
      <c r="D3157" s="13" t="s">
        <v>968</v>
      </c>
      <c r="E3157" s="15"/>
      <c r="F3157" s="15">
        <f>SUM(F3158:F3159)</f>
        <v>5.75</v>
      </c>
      <c r="G3157" s="14">
        <f>G3158</f>
        <v>44740</v>
      </c>
    </row>
    <row r="3158" spans="2:18">
      <c r="B3158" s="12"/>
      <c r="C3158" s="2" t="s">
        <v>5</v>
      </c>
      <c r="D3158" s="2" t="s">
        <v>408</v>
      </c>
      <c r="E3158" s="3">
        <v>10</v>
      </c>
      <c r="F3158" s="3">
        <f>7/4</f>
        <v>1.75</v>
      </c>
      <c r="G3158" s="4">
        <v>44740</v>
      </c>
      <c r="M3158" s="1"/>
      <c r="N3158" s="1"/>
      <c r="O3158" s="1"/>
      <c r="P3158" s="1"/>
      <c r="Q3158" s="1"/>
      <c r="R3158" s="1"/>
    </row>
    <row r="3159" spans="2:18">
      <c r="C3159" s="153" t="s">
        <v>7</v>
      </c>
      <c r="D3159" s="153" t="s">
        <v>2046</v>
      </c>
      <c r="E3159" s="3">
        <v>50</v>
      </c>
      <c r="F3159" s="3">
        <v>4</v>
      </c>
      <c r="G3159" s="4">
        <v>44252</v>
      </c>
      <c r="M3159" s="1"/>
      <c r="N3159" s="1"/>
      <c r="O3159" s="1"/>
      <c r="P3159" s="1"/>
      <c r="Q3159" s="1"/>
      <c r="R3159" s="1"/>
    </row>
    <row r="3160" spans="2:18">
      <c r="G3160" s="4"/>
      <c r="M3160" s="1"/>
      <c r="N3160" s="1"/>
      <c r="O3160" s="1"/>
      <c r="P3160" s="1"/>
      <c r="Q3160" s="1"/>
      <c r="R3160" s="1"/>
    </row>
    <row r="3161" spans="2:18" s="12" customFormat="1">
      <c r="B3161" s="12" t="s">
        <v>648</v>
      </c>
      <c r="C3161" s="13" t="s">
        <v>969</v>
      </c>
      <c r="D3161" s="13" t="s">
        <v>968</v>
      </c>
      <c r="E3161" s="15"/>
      <c r="F3161" s="15">
        <f>SUM(F3162:F3163)</f>
        <v>6</v>
      </c>
      <c r="G3161" s="14">
        <f>G3162</f>
        <v>44642</v>
      </c>
    </row>
    <row r="3162" spans="2:18">
      <c r="C3162" s="2" t="s">
        <v>5</v>
      </c>
      <c r="D3162" s="2" t="s">
        <v>646</v>
      </c>
      <c r="E3162" s="3">
        <v>13</v>
      </c>
      <c r="F3162" s="3">
        <v>5</v>
      </c>
      <c r="G3162" s="4">
        <v>44642</v>
      </c>
      <c r="M3162" s="1"/>
      <c r="N3162" s="1"/>
      <c r="O3162" s="1"/>
      <c r="P3162" s="1"/>
      <c r="Q3162" s="1"/>
      <c r="R3162" s="1"/>
    </row>
    <row r="3163" spans="2:18">
      <c r="C3163" s="2" t="s">
        <v>4</v>
      </c>
      <c r="D3163" s="2" t="s">
        <v>646</v>
      </c>
      <c r="E3163" s="3">
        <v>3.5</v>
      </c>
      <c r="F3163" s="3">
        <v>1</v>
      </c>
      <c r="G3163" s="4">
        <v>44124</v>
      </c>
      <c r="M3163" s="1"/>
      <c r="N3163" s="1"/>
      <c r="O3163" s="1"/>
      <c r="P3163" s="1"/>
      <c r="Q3163" s="1"/>
      <c r="R3163" s="1"/>
    </row>
    <row r="3164" spans="2:18">
      <c r="G3164" s="4"/>
      <c r="M3164" s="1"/>
      <c r="N3164" s="1"/>
      <c r="O3164" s="1"/>
      <c r="P3164" s="1"/>
      <c r="Q3164" s="1"/>
      <c r="R3164" s="1"/>
    </row>
    <row r="3165" spans="2:18" s="12" customFormat="1">
      <c r="B3165" s="12" t="s">
        <v>6545</v>
      </c>
      <c r="C3165" s="13" t="s">
        <v>969</v>
      </c>
      <c r="D3165" s="13" t="s">
        <v>968</v>
      </c>
      <c r="E3165" s="15"/>
      <c r="F3165" s="15">
        <f>SUM(F3166:F3167)</f>
        <v>6</v>
      </c>
      <c r="G3165" s="14">
        <f>G3166</f>
        <v>44518</v>
      </c>
      <c r="M3165" s="13"/>
      <c r="N3165" s="13"/>
      <c r="O3165" s="13"/>
      <c r="P3165" s="13"/>
      <c r="Q3165" s="13"/>
      <c r="R3165" s="13"/>
    </row>
    <row r="3166" spans="2:18">
      <c r="B3166" s="152"/>
      <c r="C3166" s="153" t="s">
        <v>7</v>
      </c>
      <c r="D3166" s="153" t="s">
        <v>2035</v>
      </c>
      <c r="E3166" s="3">
        <v>21</v>
      </c>
      <c r="F3166" s="3">
        <v>5</v>
      </c>
      <c r="G3166" s="4">
        <v>44518</v>
      </c>
    </row>
    <row r="3167" spans="2:18">
      <c r="C3167" s="153" t="s">
        <v>5</v>
      </c>
      <c r="D3167" s="153" t="s">
        <v>2035</v>
      </c>
      <c r="E3167" s="3">
        <v>9.1</v>
      </c>
      <c r="F3167" s="3">
        <v>1</v>
      </c>
      <c r="G3167" s="4">
        <v>42087</v>
      </c>
    </row>
    <row r="3168" spans="2:18">
      <c r="C3168" s="153"/>
      <c r="D3168" s="153"/>
      <c r="G3168" s="4"/>
    </row>
    <row r="3169" spans="2:18" s="12" customFormat="1">
      <c r="B3169" s="12" t="s">
        <v>543</v>
      </c>
      <c r="C3169" s="13" t="s">
        <v>969</v>
      </c>
      <c r="D3169" s="13" t="s">
        <v>968</v>
      </c>
      <c r="E3169" s="15"/>
      <c r="F3169" s="15">
        <f>SUM(F3170:F3173)</f>
        <v>5.5333333333333332</v>
      </c>
      <c r="G3169" s="14">
        <f>G3173</f>
        <v>44686</v>
      </c>
    </row>
    <row r="3170" spans="2:18">
      <c r="C3170" s="2" t="s">
        <v>5</v>
      </c>
      <c r="D3170" s="2" t="s">
        <v>542</v>
      </c>
      <c r="E3170" s="3">
        <v>14</v>
      </c>
      <c r="F3170" s="3">
        <f>8/5</f>
        <v>1.6</v>
      </c>
      <c r="G3170" s="4">
        <v>44447</v>
      </c>
      <c r="M3170" s="1"/>
      <c r="N3170" s="1"/>
      <c r="O3170" s="1"/>
      <c r="P3170" s="1"/>
      <c r="Q3170" s="1"/>
      <c r="R3170" s="1"/>
    </row>
    <row r="3171" spans="2:18">
      <c r="C3171" s="2" t="s">
        <v>5</v>
      </c>
      <c r="D3171" s="2" t="s">
        <v>542</v>
      </c>
      <c r="E3171" s="3">
        <v>12</v>
      </c>
      <c r="F3171" s="3">
        <f>8/5</f>
        <v>1.6</v>
      </c>
      <c r="G3171" s="4">
        <v>43532</v>
      </c>
      <c r="M3171" s="1"/>
      <c r="N3171" s="1"/>
      <c r="O3171" s="1"/>
      <c r="P3171" s="1"/>
      <c r="Q3171" s="1"/>
      <c r="R3171" s="1"/>
    </row>
    <row r="3172" spans="2:18">
      <c r="C3172" s="2" t="s">
        <v>5</v>
      </c>
      <c r="D3172" s="2" t="s">
        <v>541</v>
      </c>
      <c r="E3172" s="3">
        <v>5</v>
      </c>
      <c r="F3172" s="3">
        <v>1</v>
      </c>
      <c r="G3172" s="4">
        <v>44514</v>
      </c>
      <c r="M3172" s="1"/>
      <c r="N3172" s="1"/>
      <c r="O3172" s="1"/>
      <c r="P3172" s="1"/>
      <c r="Q3172" s="1"/>
      <c r="R3172" s="1"/>
    </row>
    <row r="3173" spans="2:18">
      <c r="C3173" s="241" t="s">
        <v>4</v>
      </c>
      <c r="D3173" s="241" t="s">
        <v>2013</v>
      </c>
      <c r="E3173" s="3">
        <v>11</v>
      </c>
      <c r="F3173" s="3">
        <f>8/6</f>
        <v>1.3333333333333333</v>
      </c>
      <c r="G3173" s="4">
        <v>44686</v>
      </c>
      <c r="M3173" s="1"/>
      <c r="N3173" s="1"/>
      <c r="O3173" s="1"/>
      <c r="P3173" s="1"/>
      <c r="Q3173" s="1"/>
      <c r="R3173" s="1"/>
    </row>
    <row r="3174" spans="2:18">
      <c r="C3174" s="335" t="s">
        <v>5</v>
      </c>
      <c r="D3174" s="335" t="s">
        <v>8309</v>
      </c>
      <c r="E3174" s="3">
        <v>8</v>
      </c>
      <c r="F3174" s="3">
        <f>5/4</f>
        <v>1.25</v>
      </c>
      <c r="G3174" s="4">
        <v>42747</v>
      </c>
      <c r="M3174" s="1"/>
      <c r="N3174" s="1"/>
      <c r="O3174" s="1"/>
      <c r="P3174" s="1"/>
      <c r="Q3174" s="1"/>
      <c r="R3174" s="1"/>
    </row>
    <row r="3175" spans="2:18">
      <c r="C3175" s="335" t="s">
        <v>4</v>
      </c>
      <c r="D3175" s="335" t="s">
        <v>8309</v>
      </c>
      <c r="E3175" s="3">
        <v>1.9</v>
      </c>
      <c r="F3175" s="325">
        <f>0.9/3</f>
        <v>0.3</v>
      </c>
      <c r="G3175" s="4">
        <v>42185</v>
      </c>
      <c r="M3175" s="1"/>
      <c r="N3175" s="1"/>
      <c r="O3175" s="1"/>
      <c r="P3175" s="1"/>
      <c r="Q3175" s="1"/>
      <c r="R3175" s="1"/>
    </row>
    <row r="3176" spans="2:18">
      <c r="G3176" s="4"/>
      <c r="M3176" s="1"/>
      <c r="N3176" s="1"/>
      <c r="O3176" s="1"/>
      <c r="P3176" s="1"/>
      <c r="Q3176" s="1"/>
      <c r="R3176" s="1"/>
    </row>
    <row r="3177" spans="2:18" s="12" customFormat="1">
      <c r="B3177" s="12" t="s">
        <v>977</v>
      </c>
      <c r="C3177" s="13" t="s">
        <v>969</v>
      </c>
      <c r="D3177" s="13" t="s">
        <v>968</v>
      </c>
      <c r="E3177" s="15"/>
      <c r="F3177" s="15">
        <f>SUM(F3178:F3181)</f>
        <v>6.2333333333333325</v>
      </c>
      <c r="G3177" s="14">
        <f>G3180</f>
        <v>44637</v>
      </c>
    </row>
    <row r="3178" spans="2:18">
      <c r="B3178" s="253" t="s">
        <v>7632</v>
      </c>
      <c r="C3178" s="2" t="s">
        <v>5</v>
      </c>
      <c r="D3178" s="2" t="s">
        <v>516</v>
      </c>
      <c r="E3178" s="3">
        <v>14.5</v>
      </c>
      <c r="F3178" s="3">
        <v>1.5</v>
      </c>
      <c r="G3178" s="4">
        <v>43389</v>
      </c>
      <c r="M3178" s="1"/>
      <c r="N3178" s="1"/>
      <c r="O3178" s="1"/>
      <c r="P3178" s="1"/>
      <c r="Q3178" s="1"/>
      <c r="R3178" s="1"/>
    </row>
    <row r="3179" spans="2:18">
      <c r="C3179" s="2" t="s">
        <v>4</v>
      </c>
      <c r="D3179" s="2" t="s">
        <v>516</v>
      </c>
      <c r="E3179" s="3">
        <v>4</v>
      </c>
      <c r="F3179" s="3">
        <f>4/3</f>
        <v>1.3333333333333333</v>
      </c>
      <c r="G3179" s="4">
        <v>42647</v>
      </c>
      <c r="M3179" s="1"/>
      <c r="N3179" s="1"/>
      <c r="O3179" s="1"/>
      <c r="P3179" s="1"/>
      <c r="Q3179" s="1"/>
      <c r="R3179" s="1"/>
    </row>
    <row r="3180" spans="2:18">
      <c r="C3180" s="2" t="s">
        <v>5</v>
      </c>
      <c r="D3180" s="2" t="s">
        <v>302</v>
      </c>
      <c r="E3180" s="3">
        <v>10</v>
      </c>
      <c r="F3180" s="3">
        <v>1.4</v>
      </c>
      <c r="G3180" s="4">
        <v>44637</v>
      </c>
      <c r="M3180" s="1"/>
      <c r="N3180" s="1"/>
      <c r="O3180" s="1"/>
      <c r="P3180" s="1"/>
      <c r="Q3180" s="1"/>
      <c r="R3180" s="1"/>
    </row>
    <row r="3181" spans="2:18">
      <c r="C3181" s="2" t="s">
        <v>4</v>
      </c>
      <c r="D3181" s="2" t="s">
        <v>302</v>
      </c>
      <c r="E3181" s="3">
        <v>4.5</v>
      </c>
      <c r="F3181" s="3">
        <v>2</v>
      </c>
      <c r="G3181" s="4">
        <v>44175</v>
      </c>
      <c r="M3181" s="1"/>
      <c r="N3181" s="1"/>
      <c r="O3181" s="1"/>
      <c r="P3181" s="1"/>
      <c r="Q3181" s="1"/>
      <c r="R3181" s="1"/>
    </row>
    <row r="3182" spans="2:18">
      <c r="G3182" s="4"/>
      <c r="M3182" s="1"/>
      <c r="N3182" s="1"/>
      <c r="O3182" s="1"/>
      <c r="P3182" s="1"/>
      <c r="Q3182" s="1"/>
      <c r="R3182" s="1"/>
    </row>
    <row r="3183" spans="2:18" s="12" customFormat="1">
      <c r="B3183" s="12" t="s">
        <v>811</v>
      </c>
      <c r="C3183" s="13" t="s">
        <v>969</v>
      </c>
      <c r="D3183" s="13" t="s">
        <v>968</v>
      </c>
      <c r="E3183" s="15"/>
      <c r="F3183" s="15">
        <f>SUM(F3184:F3187)</f>
        <v>6.4444444444444446</v>
      </c>
      <c r="G3183" s="14">
        <f>G3184</f>
        <v>44882</v>
      </c>
      <c r="M3183" s="13"/>
      <c r="N3183" s="13"/>
      <c r="O3183" s="13"/>
      <c r="P3183" s="13"/>
      <c r="Q3183" s="13"/>
      <c r="R3183" s="13"/>
    </row>
    <row r="3184" spans="2:18">
      <c r="C3184" s="2" t="s">
        <v>7</v>
      </c>
      <c r="D3184" s="2" t="s">
        <v>810</v>
      </c>
      <c r="E3184" s="3">
        <v>27</v>
      </c>
      <c r="F3184" s="3">
        <v>2</v>
      </c>
      <c r="G3184" s="4">
        <v>44882</v>
      </c>
    </row>
    <row r="3185" spans="2:18">
      <c r="C3185" s="140" t="s">
        <v>5</v>
      </c>
      <c r="D3185" s="140" t="s">
        <v>6293</v>
      </c>
      <c r="E3185" s="3">
        <v>25</v>
      </c>
      <c r="F3185" s="3">
        <v>3</v>
      </c>
      <c r="G3185" s="4">
        <v>44594</v>
      </c>
    </row>
    <row r="3186" spans="2:18">
      <c r="C3186" s="335" t="s">
        <v>4</v>
      </c>
      <c r="D3186" s="335" t="s">
        <v>8303</v>
      </c>
      <c r="E3186" s="3">
        <v>8</v>
      </c>
      <c r="F3186" s="3">
        <v>1</v>
      </c>
      <c r="G3186" s="4">
        <v>44482</v>
      </c>
    </row>
    <row r="3187" spans="2:18">
      <c r="C3187" s="398" t="s">
        <v>278</v>
      </c>
      <c r="D3187" s="398" t="s">
        <v>9780</v>
      </c>
      <c r="E3187" s="3">
        <v>6</v>
      </c>
      <c r="F3187" s="3">
        <f>4/9</f>
        <v>0.44444444444444442</v>
      </c>
      <c r="G3187" s="4">
        <v>44348</v>
      </c>
    </row>
    <row r="3188" spans="2:18">
      <c r="G3188" s="4"/>
    </row>
    <row r="3189" spans="2:18" s="12" customFormat="1">
      <c r="B3189" s="12" t="s">
        <v>442</v>
      </c>
      <c r="C3189" s="13" t="s">
        <v>969</v>
      </c>
      <c r="D3189" s="13" t="s">
        <v>968</v>
      </c>
      <c r="E3189" s="15"/>
      <c r="F3189" s="15">
        <f>SUM(F3190:F3191)</f>
        <v>4.5</v>
      </c>
      <c r="G3189" s="14">
        <f>G3190</f>
        <v>44602</v>
      </c>
    </row>
    <row r="3190" spans="2:18">
      <c r="C3190" s="2" t="s">
        <v>4</v>
      </c>
      <c r="D3190" s="2" t="s">
        <v>439</v>
      </c>
      <c r="E3190" s="3">
        <v>7</v>
      </c>
      <c r="F3190" s="3">
        <v>0.5</v>
      </c>
      <c r="G3190" s="4">
        <v>44602</v>
      </c>
      <c r="M3190" s="1"/>
      <c r="N3190" s="1"/>
      <c r="O3190" s="1"/>
      <c r="P3190" s="1"/>
      <c r="Q3190" s="1"/>
      <c r="R3190" s="1"/>
    </row>
    <row r="3191" spans="2:18">
      <c r="C3191" s="153" t="s">
        <v>7</v>
      </c>
      <c r="D3191" s="153" t="s">
        <v>2046</v>
      </c>
      <c r="E3191" s="3">
        <v>50</v>
      </c>
      <c r="F3191" s="3">
        <v>4</v>
      </c>
      <c r="G3191" s="4">
        <v>44252</v>
      </c>
      <c r="M3191" s="1"/>
      <c r="N3191" s="1"/>
      <c r="O3191" s="1"/>
      <c r="P3191" s="1"/>
      <c r="Q3191" s="1"/>
      <c r="R3191" s="1"/>
    </row>
    <row r="3192" spans="2:18">
      <c r="G3192" s="4"/>
      <c r="M3192" s="1"/>
      <c r="N3192" s="1"/>
      <c r="O3192" s="1"/>
      <c r="P3192" s="1"/>
      <c r="Q3192" s="1"/>
      <c r="R3192" s="1"/>
    </row>
    <row r="3193" spans="2:18" s="12" customFormat="1">
      <c r="B3193" s="12" t="s">
        <v>93</v>
      </c>
      <c r="C3193" s="13" t="s">
        <v>969</v>
      </c>
      <c r="D3193" s="13" t="s">
        <v>968</v>
      </c>
      <c r="E3193" s="15"/>
      <c r="F3193" s="15">
        <f>SUM(F3194:F3197)</f>
        <v>5.3630952380952381</v>
      </c>
      <c r="G3193" s="14">
        <f>G3194</f>
        <v>44642</v>
      </c>
      <c r="M3193" s="13"/>
      <c r="N3193" s="13"/>
      <c r="O3193" s="13"/>
      <c r="P3193" s="13"/>
      <c r="Q3193" s="13"/>
      <c r="R3193" s="13"/>
    </row>
    <row r="3194" spans="2:18">
      <c r="B3194" s="238" t="s">
        <v>7638</v>
      </c>
      <c r="C3194" s="2" t="s">
        <v>7</v>
      </c>
      <c r="D3194" s="2" t="s">
        <v>87</v>
      </c>
      <c r="E3194" s="3">
        <v>25</v>
      </c>
      <c r="F3194" s="3">
        <f>15/6</f>
        <v>2.5</v>
      </c>
      <c r="G3194" s="4">
        <v>44642</v>
      </c>
    </row>
    <row r="3195" spans="2:18">
      <c r="C3195" s="2" t="s">
        <v>5</v>
      </c>
      <c r="D3195" s="2" t="s">
        <v>87</v>
      </c>
      <c r="E3195" s="3">
        <v>13.5</v>
      </c>
      <c r="F3195" s="3">
        <f>10/6</f>
        <v>1.6666666666666667</v>
      </c>
      <c r="G3195" s="4">
        <v>43978</v>
      </c>
    </row>
    <row r="3196" spans="2:18">
      <c r="C3196" s="2" t="s">
        <v>4</v>
      </c>
      <c r="D3196" s="2" t="s">
        <v>87</v>
      </c>
      <c r="E3196" s="3">
        <v>5.3</v>
      </c>
      <c r="F3196" s="3">
        <f>4/7</f>
        <v>0.5714285714285714</v>
      </c>
      <c r="G3196" s="4">
        <v>43398</v>
      </c>
    </row>
    <row r="3197" spans="2:18">
      <c r="C3197" s="2" t="s">
        <v>4</v>
      </c>
      <c r="D3197" s="2" t="s">
        <v>87</v>
      </c>
      <c r="E3197" s="3">
        <v>4</v>
      </c>
      <c r="F3197" s="3">
        <f>2.5/4</f>
        <v>0.625</v>
      </c>
      <c r="G3197" s="4">
        <v>43122</v>
      </c>
    </row>
    <row r="3198" spans="2:18">
      <c r="G3198" s="4"/>
    </row>
    <row r="3199" spans="2:18" s="12" customFormat="1">
      <c r="B3199" s="12" t="s">
        <v>982</v>
      </c>
      <c r="C3199" s="13" t="s">
        <v>969</v>
      </c>
      <c r="D3199" s="13" t="s">
        <v>968</v>
      </c>
      <c r="E3199" s="15"/>
      <c r="F3199" s="15">
        <f>SUM(F3200:F3201)</f>
        <v>5</v>
      </c>
      <c r="G3199" s="14">
        <f>G3200</f>
        <v>44838</v>
      </c>
      <c r="M3199" s="13"/>
      <c r="N3199" s="13"/>
      <c r="O3199" s="13"/>
      <c r="P3199" s="13"/>
      <c r="Q3199" s="13"/>
      <c r="R3199" s="13"/>
    </row>
    <row r="3200" spans="2:18">
      <c r="C3200" s="2" t="s">
        <v>5</v>
      </c>
      <c r="D3200" s="2" t="s">
        <v>682</v>
      </c>
      <c r="E3200" s="3">
        <v>15</v>
      </c>
      <c r="F3200" s="3">
        <f>10/3</f>
        <v>3.3333333333333335</v>
      </c>
      <c r="G3200" s="4">
        <v>44838</v>
      </c>
    </row>
    <row r="3201" spans="2:18">
      <c r="C3201" s="2" t="s">
        <v>4</v>
      </c>
      <c r="D3201" s="2" t="s">
        <v>95</v>
      </c>
      <c r="E3201" s="3">
        <v>5</v>
      </c>
      <c r="F3201" s="3">
        <f>E3201/3</f>
        <v>1.6666666666666667</v>
      </c>
      <c r="G3201" s="4">
        <v>41940</v>
      </c>
    </row>
    <row r="3202" spans="2:18">
      <c r="G3202" s="4"/>
    </row>
    <row r="3203" spans="2:18" s="12" customFormat="1">
      <c r="B3203" s="12" t="s">
        <v>641</v>
      </c>
      <c r="C3203" s="13" t="s">
        <v>969</v>
      </c>
      <c r="D3203" s="13" t="s">
        <v>968</v>
      </c>
      <c r="E3203" s="15"/>
      <c r="F3203" s="15">
        <f>SUM(F3204:F3205)</f>
        <v>5</v>
      </c>
      <c r="G3203" s="14">
        <f>G3204</f>
        <v>44959</v>
      </c>
    </row>
    <row r="3204" spans="2:18">
      <c r="C3204" s="2" t="s">
        <v>5</v>
      </c>
      <c r="D3204" s="2" t="s">
        <v>640</v>
      </c>
      <c r="E3204" s="3">
        <v>11</v>
      </c>
      <c r="F3204" s="3">
        <v>4</v>
      </c>
      <c r="G3204" s="4">
        <v>44959</v>
      </c>
      <c r="M3204" s="1"/>
      <c r="N3204" s="1"/>
      <c r="O3204" s="1"/>
      <c r="P3204" s="1"/>
      <c r="Q3204" s="1"/>
      <c r="R3204" s="1"/>
    </row>
    <row r="3205" spans="2:18">
      <c r="C3205" s="2" t="s">
        <v>4</v>
      </c>
      <c r="D3205" s="2" t="s">
        <v>640</v>
      </c>
      <c r="E3205" s="3">
        <v>2.2000000000000002</v>
      </c>
      <c r="F3205" s="3">
        <v>1</v>
      </c>
      <c r="G3205" s="4">
        <v>44959</v>
      </c>
      <c r="M3205" s="1"/>
      <c r="N3205" s="1"/>
      <c r="O3205" s="1"/>
      <c r="P3205" s="1"/>
      <c r="Q3205" s="1"/>
      <c r="R3205" s="1"/>
    </row>
    <row r="3206" spans="2:18">
      <c r="G3206" s="4"/>
      <c r="M3206" s="1"/>
      <c r="N3206" s="1"/>
      <c r="O3206" s="1"/>
      <c r="P3206" s="1"/>
      <c r="Q3206" s="1"/>
      <c r="R3206" s="1"/>
    </row>
    <row r="3207" spans="2:18" s="12" customFormat="1">
      <c r="B3207" s="12" t="s">
        <v>981</v>
      </c>
      <c r="C3207" s="13" t="s">
        <v>969</v>
      </c>
      <c r="D3207" s="13" t="s">
        <v>968</v>
      </c>
      <c r="E3207" s="15"/>
      <c r="F3207" s="15">
        <f>SUM(F3208:F3209)</f>
        <v>4.833333333333333</v>
      </c>
      <c r="G3207" s="14">
        <f>G3208</f>
        <v>44893</v>
      </c>
      <c r="M3207" s="13"/>
      <c r="N3207" s="13"/>
      <c r="O3207" s="13"/>
      <c r="P3207" s="13"/>
      <c r="Q3207" s="13"/>
      <c r="R3207" s="13"/>
    </row>
    <row r="3208" spans="2:18">
      <c r="C3208" s="2" t="s">
        <v>5</v>
      </c>
      <c r="D3208" s="2" t="s">
        <v>779</v>
      </c>
      <c r="E3208" s="3">
        <v>33</v>
      </c>
      <c r="F3208" s="3">
        <f>13/3</f>
        <v>4.333333333333333</v>
      </c>
      <c r="G3208" s="4">
        <v>44893</v>
      </c>
    </row>
    <row r="3209" spans="2:18">
      <c r="C3209" s="2" t="s">
        <v>670</v>
      </c>
      <c r="D3209" s="2" t="s">
        <v>779</v>
      </c>
      <c r="E3209" s="3">
        <v>3</v>
      </c>
      <c r="F3209" s="3">
        <v>0.5</v>
      </c>
      <c r="G3209" s="4">
        <v>44183</v>
      </c>
    </row>
    <row r="3210" spans="2:18">
      <c r="G3210" s="4"/>
    </row>
    <row r="3211" spans="2:18" s="12" customFormat="1">
      <c r="B3211" s="12" t="s">
        <v>6362</v>
      </c>
      <c r="C3211" s="13" t="s">
        <v>969</v>
      </c>
      <c r="D3211" s="13" t="s">
        <v>968</v>
      </c>
      <c r="E3211" s="15"/>
      <c r="F3211" s="15">
        <f>SUM(F3212:F3214)</f>
        <v>5.25</v>
      </c>
      <c r="G3211" s="14">
        <f>G3212</f>
        <v>44252</v>
      </c>
      <c r="M3211" s="13"/>
      <c r="N3211" s="13"/>
      <c r="O3211" s="13"/>
      <c r="P3211" s="13"/>
      <c r="Q3211" s="13"/>
      <c r="R3211" s="13"/>
    </row>
    <row r="3212" spans="2:18">
      <c r="B3212" s="152"/>
      <c r="C3212" s="153" t="s">
        <v>7</v>
      </c>
      <c r="D3212" s="153" t="s">
        <v>2046</v>
      </c>
      <c r="E3212" s="3">
        <v>50</v>
      </c>
      <c r="F3212" s="3">
        <v>4</v>
      </c>
      <c r="G3212" s="4">
        <v>44252</v>
      </c>
    </row>
    <row r="3213" spans="2:18">
      <c r="B3213" s="152"/>
      <c r="C3213" s="177" t="s">
        <v>5</v>
      </c>
      <c r="D3213" s="177" t="s">
        <v>2030</v>
      </c>
      <c r="E3213" s="3">
        <v>9.3000000000000007</v>
      </c>
      <c r="F3213" s="3">
        <v>1</v>
      </c>
      <c r="G3213" s="4">
        <v>44229</v>
      </c>
    </row>
    <row r="3214" spans="2:18">
      <c r="B3214" s="152"/>
      <c r="C3214" s="177" t="s">
        <v>4</v>
      </c>
      <c r="D3214" s="177" t="s">
        <v>2030</v>
      </c>
      <c r="E3214" s="3">
        <v>2</v>
      </c>
      <c r="F3214" s="3">
        <f>1.5/6</f>
        <v>0.25</v>
      </c>
      <c r="G3214" s="4">
        <v>43522</v>
      </c>
    </row>
    <row r="3215" spans="2:18">
      <c r="B3215" s="152"/>
      <c r="C3215" s="177"/>
      <c r="D3215" s="177"/>
      <c r="G3215" s="4"/>
    </row>
    <row r="3216" spans="2:18" s="12" customFormat="1">
      <c r="B3216" s="12" t="s">
        <v>468</v>
      </c>
      <c r="C3216" s="13" t="s">
        <v>969</v>
      </c>
      <c r="D3216" s="13" t="s">
        <v>968</v>
      </c>
      <c r="E3216" s="15"/>
      <c r="F3216" s="15">
        <f>SUM(F3217:F3218)</f>
        <v>4.625</v>
      </c>
      <c r="G3216" s="14">
        <f>G3217</f>
        <v>44727</v>
      </c>
    </row>
    <row r="3217" spans="2:18">
      <c r="C3217" s="2" t="s">
        <v>5</v>
      </c>
      <c r="D3217" s="2" t="s">
        <v>465</v>
      </c>
      <c r="E3217" s="3">
        <v>15.5</v>
      </c>
      <c r="F3217" s="3">
        <v>1.625</v>
      </c>
      <c r="G3217" s="4">
        <v>44727</v>
      </c>
      <c r="M3217" s="1"/>
      <c r="N3217" s="1"/>
      <c r="O3217" s="1"/>
      <c r="P3217" s="1"/>
      <c r="Q3217" s="1"/>
      <c r="R3217" s="1"/>
    </row>
    <row r="3218" spans="2:18">
      <c r="C3218" s="2" t="s">
        <v>5</v>
      </c>
      <c r="D3218" s="2" t="s">
        <v>465</v>
      </c>
      <c r="E3218" s="3">
        <v>12</v>
      </c>
      <c r="F3218" s="3">
        <v>3</v>
      </c>
      <c r="G3218" s="4">
        <v>43948</v>
      </c>
      <c r="M3218" s="1"/>
      <c r="N3218" s="1"/>
      <c r="O3218" s="1"/>
      <c r="P3218" s="1"/>
      <c r="Q3218" s="1"/>
      <c r="R3218" s="1"/>
    </row>
    <row r="3219" spans="2:18">
      <c r="G3219" s="4"/>
      <c r="M3219" s="1"/>
      <c r="N3219" s="1"/>
      <c r="O3219" s="1"/>
      <c r="P3219" s="1"/>
      <c r="Q3219" s="1"/>
      <c r="R3219" s="1"/>
    </row>
    <row r="3220" spans="2:18" s="12" customFormat="1">
      <c r="B3220" s="12" t="s">
        <v>980</v>
      </c>
      <c r="C3220" s="13" t="s">
        <v>969</v>
      </c>
      <c r="D3220" s="13" t="s">
        <v>968</v>
      </c>
      <c r="E3220" s="15"/>
      <c r="F3220" s="15">
        <f>SUM(F3221:F3222)</f>
        <v>5</v>
      </c>
      <c r="G3220" s="14">
        <f>G3221</f>
        <v>44522</v>
      </c>
      <c r="M3220" s="13"/>
      <c r="N3220" s="13"/>
      <c r="O3220" s="13"/>
      <c r="P3220" s="13"/>
      <c r="Q3220" s="13"/>
      <c r="R3220" s="13"/>
    </row>
    <row r="3221" spans="2:18">
      <c r="C3221" s="2" t="s">
        <v>5</v>
      </c>
      <c r="D3221" s="2" t="s">
        <v>873</v>
      </c>
      <c r="E3221" s="3">
        <v>30</v>
      </c>
      <c r="F3221" s="3">
        <v>4</v>
      </c>
      <c r="G3221" s="4">
        <v>44522</v>
      </c>
    </row>
    <row r="3222" spans="2:18">
      <c r="C3222" s="2" t="s">
        <v>4</v>
      </c>
      <c r="D3222" s="2" t="s">
        <v>873</v>
      </c>
      <c r="E3222" s="3">
        <v>5.5</v>
      </c>
      <c r="F3222" s="3">
        <v>1</v>
      </c>
      <c r="G3222" s="4">
        <v>44096</v>
      </c>
    </row>
    <row r="3224" spans="2:18" s="12" customFormat="1">
      <c r="B3224" s="12" t="s">
        <v>979</v>
      </c>
      <c r="C3224" s="13" t="s">
        <v>969</v>
      </c>
      <c r="D3224" s="13" t="s">
        <v>968</v>
      </c>
      <c r="E3224" s="15"/>
      <c r="F3224" s="15">
        <f>SUM(F3225:F3226)</f>
        <v>4.833333333333333</v>
      </c>
      <c r="G3224" s="14">
        <f>G3225</f>
        <v>44893</v>
      </c>
      <c r="M3224" s="13"/>
      <c r="N3224" s="13"/>
      <c r="O3224" s="13"/>
      <c r="P3224" s="13"/>
      <c r="Q3224" s="13"/>
      <c r="R3224" s="13"/>
    </row>
    <row r="3225" spans="2:18">
      <c r="C3225" s="2" t="s">
        <v>5</v>
      </c>
      <c r="D3225" s="2" t="s">
        <v>779</v>
      </c>
      <c r="E3225" s="3">
        <v>33</v>
      </c>
      <c r="F3225" s="3">
        <f>13/3</f>
        <v>4.333333333333333</v>
      </c>
      <c r="G3225" s="4">
        <v>44893</v>
      </c>
    </row>
    <row r="3226" spans="2:18">
      <c r="C3226" s="2" t="s">
        <v>670</v>
      </c>
      <c r="D3226" s="2" t="s">
        <v>779</v>
      </c>
      <c r="E3226" s="3">
        <v>3</v>
      </c>
      <c r="F3226" s="3">
        <v>0.5</v>
      </c>
      <c r="G3226" s="4">
        <v>44183</v>
      </c>
    </row>
    <row r="3227" spans="2:18">
      <c r="C3227" s="2" t="s">
        <v>4</v>
      </c>
      <c r="D3227" s="2" t="s">
        <v>302</v>
      </c>
      <c r="E3227" s="3">
        <v>1.8</v>
      </c>
      <c r="F3227" s="3">
        <v>0.2</v>
      </c>
      <c r="G3227" s="4">
        <v>42690</v>
      </c>
    </row>
    <row r="3228" spans="2:18">
      <c r="G3228" s="4"/>
    </row>
    <row r="3229" spans="2:18" s="12" customFormat="1">
      <c r="B3229" s="12" t="s">
        <v>815</v>
      </c>
      <c r="C3229" s="13" t="s">
        <v>969</v>
      </c>
      <c r="D3229" s="13" t="s">
        <v>968</v>
      </c>
      <c r="E3229" s="15"/>
      <c r="F3229" s="15">
        <f>SUM(F3230:F3231)</f>
        <v>5</v>
      </c>
      <c r="G3229" s="14">
        <f>G3231</f>
        <v>44866</v>
      </c>
      <c r="M3229" s="13"/>
      <c r="N3229" s="13"/>
      <c r="O3229" s="13"/>
      <c r="P3229" s="13"/>
      <c r="Q3229" s="13"/>
      <c r="R3229" s="13"/>
    </row>
    <row r="3230" spans="2:18">
      <c r="C3230" s="2" t="s">
        <v>5</v>
      </c>
      <c r="D3230" s="2" t="s">
        <v>642</v>
      </c>
      <c r="E3230" s="3">
        <v>12</v>
      </c>
      <c r="F3230" s="3">
        <f>6/3</f>
        <v>2</v>
      </c>
      <c r="G3230" s="4">
        <v>44860</v>
      </c>
    </row>
    <row r="3231" spans="2:18">
      <c r="C3231" s="2" t="s">
        <v>5</v>
      </c>
      <c r="D3231" s="2" t="s">
        <v>2025</v>
      </c>
      <c r="E3231" s="3">
        <v>18</v>
      </c>
      <c r="F3231" s="3">
        <v>3</v>
      </c>
      <c r="G3231" s="4">
        <v>44866</v>
      </c>
    </row>
    <row r="3232" spans="2:18">
      <c r="G3232" s="4"/>
    </row>
    <row r="3233" spans="2:18" s="12" customFormat="1">
      <c r="B3233" s="12" t="s">
        <v>487</v>
      </c>
      <c r="C3233" s="13" t="s">
        <v>969</v>
      </c>
      <c r="D3233" s="13" t="s">
        <v>968</v>
      </c>
      <c r="E3233" s="15"/>
      <c r="F3233" s="15">
        <f>SUM(F3234:F3236)</f>
        <v>4.9000000000000004</v>
      </c>
      <c r="G3233" s="14">
        <f>G3234</f>
        <v>44516</v>
      </c>
    </row>
    <row r="3234" spans="2:18">
      <c r="C3234" s="2" t="s">
        <v>5</v>
      </c>
      <c r="D3234" s="2" t="s">
        <v>483</v>
      </c>
      <c r="E3234" s="3">
        <v>13</v>
      </c>
      <c r="F3234" s="3">
        <v>1.4</v>
      </c>
      <c r="G3234" s="4">
        <v>44516</v>
      </c>
      <c r="M3234" s="1"/>
      <c r="N3234" s="1"/>
      <c r="O3234" s="1"/>
      <c r="P3234" s="1"/>
      <c r="Q3234" s="1"/>
      <c r="R3234" s="1"/>
    </row>
    <row r="3235" spans="2:18">
      <c r="C3235" s="2" t="s">
        <v>4</v>
      </c>
      <c r="D3235" s="2" t="s">
        <v>483</v>
      </c>
      <c r="E3235" s="3">
        <v>2.5</v>
      </c>
      <c r="F3235" s="3">
        <v>1.5</v>
      </c>
      <c r="G3235" s="4">
        <v>44305</v>
      </c>
      <c r="M3235" s="1"/>
      <c r="N3235" s="1"/>
      <c r="O3235" s="1"/>
      <c r="P3235" s="1"/>
      <c r="Q3235" s="1"/>
      <c r="R3235" s="1"/>
    </row>
    <row r="3236" spans="2:18">
      <c r="C3236" s="2" t="s">
        <v>4</v>
      </c>
      <c r="D3236" s="2" t="s">
        <v>481</v>
      </c>
      <c r="E3236" s="3">
        <v>2</v>
      </c>
      <c r="F3236" s="3">
        <v>2</v>
      </c>
      <c r="G3236" s="4">
        <v>44332</v>
      </c>
      <c r="M3236" s="1"/>
      <c r="N3236" s="1"/>
      <c r="O3236" s="1"/>
      <c r="P3236" s="1"/>
      <c r="Q3236" s="1"/>
      <c r="R3236" s="1"/>
    </row>
    <row r="3238" spans="2:18" s="12" customFormat="1">
      <c r="B3238" s="12" t="s">
        <v>645</v>
      </c>
      <c r="C3238" s="13" t="s">
        <v>969</v>
      </c>
      <c r="D3238" s="13" t="s">
        <v>968</v>
      </c>
      <c r="E3238" s="15"/>
      <c r="F3238" s="15">
        <f>SUM(F3239:F3240)</f>
        <v>5.166666666666667</v>
      </c>
      <c r="G3238" s="14">
        <f>G3239</f>
        <v>44825</v>
      </c>
    </row>
    <row r="3239" spans="2:18">
      <c r="C3239" s="2" t="s">
        <v>5</v>
      </c>
      <c r="D3239" s="2" t="s">
        <v>644</v>
      </c>
      <c r="E3239" s="3">
        <v>12.5</v>
      </c>
      <c r="F3239" s="3">
        <f>E3239/3</f>
        <v>4.166666666666667</v>
      </c>
      <c r="G3239" s="4">
        <v>44825</v>
      </c>
      <c r="M3239" s="1"/>
      <c r="N3239" s="1"/>
      <c r="O3239" s="1"/>
      <c r="P3239" s="1"/>
      <c r="Q3239" s="1"/>
      <c r="R3239" s="1"/>
    </row>
    <row r="3240" spans="2:18">
      <c r="C3240" s="2" t="s">
        <v>5</v>
      </c>
      <c r="D3240" s="2" t="s">
        <v>520</v>
      </c>
      <c r="E3240" s="3">
        <v>7</v>
      </c>
      <c r="F3240" s="3">
        <v>1</v>
      </c>
      <c r="G3240" s="4">
        <v>42885</v>
      </c>
      <c r="M3240" s="1"/>
      <c r="N3240" s="1"/>
      <c r="O3240" s="1"/>
      <c r="P3240" s="1"/>
      <c r="Q3240" s="1"/>
      <c r="R3240" s="1"/>
    </row>
    <row r="3241" spans="2:18">
      <c r="G3241" s="4"/>
      <c r="M3241" s="1"/>
      <c r="N3241" s="1"/>
      <c r="O3241" s="1"/>
      <c r="P3241" s="1"/>
      <c r="Q3241" s="1"/>
      <c r="R3241" s="1"/>
    </row>
    <row r="3242" spans="2:18" s="12" customFormat="1">
      <c r="B3242" s="12" t="s">
        <v>466</v>
      </c>
      <c r="C3242" s="13" t="s">
        <v>969</v>
      </c>
      <c r="D3242" s="13" t="s">
        <v>968</v>
      </c>
      <c r="E3242" s="15"/>
      <c r="F3242" s="15">
        <f>SUM(F3243:F3244)</f>
        <v>4.625</v>
      </c>
      <c r="G3242" s="14">
        <f>+G3245</f>
        <v>44827</v>
      </c>
    </row>
    <row r="3243" spans="2:18">
      <c r="C3243" s="2" t="s">
        <v>5</v>
      </c>
      <c r="D3243" s="2" t="s">
        <v>465</v>
      </c>
      <c r="E3243" s="3">
        <v>15.5</v>
      </c>
      <c r="F3243" s="3">
        <v>1.625</v>
      </c>
      <c r="G3243" s="4">
        <v>44727</v>
      </c>
      <c r="M3243" s="1"/>
      <c r="N3243" s="1"/>
      <c r="O3243" s="1"/>
      <c r="P3243" s="1"/>
      <c r="Q3243" s="1"/>
      <c r="R3243" s="1"/>
    </row>
    <row r="3244" spans="2:18">
      <c r="C3244" s="2" t="s">
        <v>5</v>
      </c>
      <c r="D3244" s="2" t="s">
        <v>465</v>
      </c>
      <c r="E3244" s="3">
        <v>12</v>
      </c>
      <c r="F3244" s="3">
        <v>3</v>
      </c>
      <c r="G3244" s="4">
        <v>43948</v>
      </c>
      <c r="M3244" s="1"/>
      <c r="N3244" s="1"/>
      <c r="O3244" s="1"/>
      <c r="P3244" s="1"/>
      <c r="Q3244" s="1"/>
      <c r="R3244" s="1"/>
    </row>
    <row r="3245" spans="2:18">
      <c r="C3245" s="398" t="s">
        <v>4</v>
      </c>
      <c r="D3245" s="398" t="s">
        <v>9739</v>
      </c>
      <c r="E3245" s="3">
        <v>4</v>
      </c>
      <c r="F3245" s="3">
        <v>1.5</v>
      </c>
      <c r="G3245" s="4">
        <v>44827</v>
      </c>
      <c r="M3245" s="1"/>
      <c r="N3245" s="1"/>
      <c r="O3245" s="1"/>
      <c r="P3245" s="1"/>
      <c r="Q3245" s="1"/>
      <c r="R3245" s="1"/>
    </row>
    <row r="3247" spans="2:18" s="12" customFormat="1">
      <c r="B3247" s="12" t="s">
        <v>553</v>
      </c>
      <c r="C3247" s="13" t="s">
        <v>969</v>
      </c>
      <c r="D3247" s="13" t="s">
        <v>968</v>
      </c>
      <c r="E3247" s="15"/>
      <c r="F3247" s="15">
        <f>SUM(F3248:F3250)</f>
        <v>5</v>
      </c>
      <c r="G3247" s="14">
        <f>G3248</f>
        <v>45077</v>
      </c>
    </row>
    <row r="3248" spans="2:18">
      <c r="C3248" s="2" t="s">
        <v>7</v>
      </c>
      <c r="D3248" s="2" t="s">
        <v>548</v>
      </c>
      <c r="E3248" s="3">
        <v>20</v>
      </c>
      <c r="F3248" s="3">
        <f>12/6</f>
        <v>2</v>
      </c>
      <c r="G3248" s="4">
        <v>45077</v>
      </c>
      <c r="M3248" s="1"/>
      <c r="N3248" s="1"/>
      <c r="O3248" s="1"/>
      <c r="P3248" s="1"/>
      <c r="Q3248" s="1"/>
      <c r="R3248" s="1"/>
    </row>
    <row r="3249" spans="2:18">
      <c r="C3249" s="2" t="s">
        <v>5</v>
      </c>
      <c r="D3249" s="2" t="s">
        <v>548</v>
      </c>
      <c r="E3249" s="3">
        <v>10.5</v>
      </c>
      <c r="F3249" s="3">
        <f>5/5</f>
        <v>1</v>
      </c>
      <c r="G3249" s="4">
        <v>44341</v>
      </c>
      <c r="M3249" s="1"/>
      <c r="N3249" s="1"/>
      <c r="O3249" s="1"/>
      <c r="P3249" s="1"/>
      <c r="Q3249" s="1"/>
      <c r="R3249" s="1"/>
    </row>
    <row r="3250" spans="2:18">
      <c r="C3250" s="2" t="s">
        <v>4</v>
      </c>
      <c r="D3250" s="2" t="s">
        <v>548</v>
      </c>
      <c r="E3250" s="3">
        <v>4</v>
      </c>
      <c r="F3250" s="3">
        <v>2</v>
      </c>
      <c r="G3250" s="4">
        <v>43671</v>
      </c>
      <c r="M3250" s="1"/>
      <c r="N3250" s="1"/>
      <c r="O3250" s="1"/>
      <c r="P3250" s="1"/>
      <c r="Q3250" s="1"/>
      <c r="R3250" s="1"/>
    </row>
    <row r="3251" spans="2:18">
      <c r="G3251" s="4"/>
      <c r="M3251" s="1"/>
      <c r="N3251" s="1"/>
      <c r="O3251" s="1"/>
      <c r="P3251" s="1"/>
      <c r="Q3251" s="1"/>
      <c r="R3251" s="1"/>
    </row>
    <row r="3252" spans="2:18" s="12" customFormat="1">
      <c r="B3252" s="12" t="s">
        <v>145</v>
      </c>
      <c r="C3252" s="13" t="s">
        <v>969</v>
      </c>
      <c r="D3252" s="13" t="s">
        <v>968</v>
      </c>
      <c r="E3252" s="15"/>
      <c r="F3252" s="15">
        <f>SUM(F3253:F3254)</f>
        <v>5.4</v>
      </c>
      <c r="G3252" s="14">
        <f>G3254</f>
        <v>44165</v>
      </c>
      <c r="M3252" s="13"/>
      <c r="N3252" s="13"/>
      <c r="O3252" s="13"/>
      <c r="P3252" s="13"/>
      <c r="Q3252" s="13"/>
      <c r="R3252" s="13"/>
    </row>
    <row r="3253" spans="2:18">
      <c r="C3253" s="2" t="s">
        <v>4</v>
      </c>
      <c r="D3253" s="2" t="s">
        <v>144</v>
      </c>
      <c r="E3253" s="3">
        <v>1.6</v>
      </c>
      <c r="F3253" s="3">
        <f>E3253/4</f>
        <v>0.4</v>
      </c>
      <c r="G3253" s="4">
        <v>43060</v>
      </c>
    </row>
    <row r="3254" spans="2:18">
      <c r="C3254" s="2" t="s">
        <v>5</v>
      </c>
      <c r="D3254" s="2" t="s">
        <v>64</v>
      </c>
      <c r="E3254" s="3">
        <v>50</v>
      </c>
      <c r="F3254" s="3">
        <v>5</v>
      </c>
      <c r="G3254" s="4">
        <v>44165</v>
      </c>
    </row>
    <row r="3255" spans="2:18">
      <c r="G3255" s="4"/>
    </row>
    <row r="3256" spans="2:18" s="12" customFormat="1">
      <c r="B3256" s="12" t="s">
        <v>683</v>
      </c>
      <c r="C3256" s="13" t="s">
        <v>969</v>
      </c>
      <c r="D3256" s="13" t="s">
        <v>968</v>
      </c>
      <c r="E3256" s="15"/>
      <c r="F3256" s="15">
        <f>SUM(F3257:F3259)</f>
        <v>5.3333333333333339</v>
      </c>
      <c r="G3256" s="14">
        <f>G3257</f>
        <v>44838</v>
      </c>
      <c r="M3256" s="13"/>
      <c r="N3256" s="13"/>
      <c r="O3256" s="13"/>
      <c r="P3256" s="13"/>
      <c r="Q3256" s="13"/>
      <c r="R3256" s="13"/>
    </row>
    <row r="3257" spans="2:18">
      <c r="C3257" s="2" t="s">
        <v>5</v>
      </c>
      <c r="D3257" s="2" t="s">
        <v>682</v>
      </c>
      <c r="E3257" s="3">
        <v>15</v>
      </c>
      <c r="F3257" s="3">
        <f>10/3</f>
        <v>3.3333333333333335</v>
      </c>
      <c r="G3257" s="4">
        <v>44838</v>
      </c>
    </row>
    <row r="3258" spans="2:18">
      <c r="C3258" s="2" t="s">
        <v>4</v>
      </c>
      <c r="D3258" s="2" t="s">
        <v>596</v>
      </c>
      <c r="E3258" s="3">
        <v>6</v>
      </c>
      <c r="F3258" s="3">
        <v>1</v>
      </c>
      <c r="G3258" s="4">
        <v>44781</v>
      </c>
    </row>
    <row r="3259" spans="2:18">
      <c r="C3259" s="2" t="s">
        <v>4</v>
      </c>
      <c r="D3259" s="2" t="s">
        <v>2017</v>
      </c>
      <c r="E3259" s="3">
        <v>4</v>
      </c>
      <c r="F3259" s="3">
        <v>1</v>
      </c>
      <c r="G3259" s="4">
        <v>44097</v>
      </c>
    </row>
    <row r="3260" spans="2:18">
      <c r="G3260" s="4"/>
    </row>
    <row r="3261" spans="2:18" s="12" customFormat="1">
      <c r="B3261" s="12" t="s">
        <v>978</v>
      </c>
      <c r="C3261" s="13" t="s">
        <v>969</v>
      </c>
      <c r="D3261" s="13" t="s">
        <v>968</v>
      </c>
      <c r="E3261" s="15"/>
      <c r="F3261" s="15">
        <f>SUM(F3262:F3263)</f>
        <v>5</v>
      </c>
      <c r="G3261" s="14">
        <f>G3262</f>
        <v>44636</v>
      </c>
      <c r="M3261" s="13"/>
      <c r="N3261" s="13"/>
      <c r="O3261" s="13"/>
      <c r="P3261" s="13"/>
      <c r="Q3261" s="13"/>
      <c r="R3261" s="13"/>
    </row>
    <row r="3262" spans="2:18">
      <c r="C3262" s="2" t="s">
        <v>7</v>
      </c>
      <c r="D3262" s="2" t="s">
        <v>860</v>
      </c>
      <c r="E3262" s="3">
        <v>25</v>
      </c>
      <c r="F3262" s="3">
        <v>3</v>
      </c>
      <c r="G3262" s="4">
        <v>44636</v>
      </c>
    </row>
    <row r="3263" spans="2:18">
      <c r="C3263" s="2" t="s">
        <v>5</v>
      </c>
      <c r="D3263" s="2" t="s">
        <v>860</v>
      </c>
      <c r="E3263" s="3">
        <v>12.2</v>
      </c>
      <c r="F3263" s="3">
        <v>2</v>
      </c>
      <c r="G3263" s="4">
        <v>44179</v>
      </c>
    </row>
    <row r="3264" spans="2:18">
      <c r="G3264" s="4"/>
    </row>
    <row r="3265" spans="2:18" s="12" customFormat="1">
      <c r="B3265" s="12" t="s">
        <v>854</v>
      </c>
      <c r="C3265" s="13" t="s">
        <v>969</v>
      </c>
      <c r="D3265" s="13" t="s">
        <v>968</v>
      </c>
      <c r="E3265" s="15"/>
      <c r="F3265" s="15">
        <f>SUM(F3266:F3267)</f>
        <v>3.5714285714285716</v>
      </c>
      <c r="G3265" s="14">
        <f>G3267</f>
        <v>44866</v>
      </c>
      <c r="M3265" s="13"/>
      <c r="N3265" s="13"/>
      <c r="O3265" s="13"/>
      <c r="P3265" s="13"/>
      <c r="Q3265" s="13"/>
      <c r="R3265" s="13"/>
    </row>
    <row r="3266" spans="2:18">
      <c r="C3266" s="2" t="s">
        <v>5</v>
      </c>
      <c r="D3266" s="2" t="s">
        <v>730</v>
      </c>
      <c r="E3266" s="3">
        <v>25</v>
      </c>
      <c r="F3266" s="3">
        <f>18/7</f>
        <v>2.5714285714285716</v>
      </c>
      <c r="G3266" s="4">
        <v>44757</v>
      </c>
    </row>
    <row r="3267" spans="2:18">
      <c r="C3267" s="177" t="s">
        <v>4</v>
      </c>
      <c r="D3267" s="177" t="s">
        <v>6759</v>
      </c>
      <c r="E3267" s="3">
        <v>10</v>
      </c>
      <c r="F3267" s="3">
        <v>1</v>
      </c>
      <c r="G3267" s="4">
        <v>44866</v>
      </c>
      <c r="I3267" s="1">
        <v>65</v>
      </c>
      <c r="J3267" s="1">
        <v>350</v>
      </c>
    </row>
    <row r="3268" spans="2:18">
      <c r="G3268" s="4"/>
    </row>
    <row r="3269" spans="2:18" s="12" customFormat="1">
      <c r="B3269" s="12" t="s">
        <v>518</v>
      </c>
      <c r="C3269" s="13" t="s">
        <v>969</v>
      </c>
      <c r="D3269" s="13" t="s">
        <v>968</v>
      </c>
      <c r="E3269" s="15"/>
      <c r="F3269" s="15">
        <f>SUM(F3270:F3271)</f>
        <v>3.5</v>
      </c>
      <c r="G3269" s="14">
        <f>G3270</f>
        <v>43389</v>
      </c>
    </row>
    <row r="3270" spans="2:18">
      <c r="C3270" s="2" t="s">
        <v>5</v>
      </c>
      <c r="D3270" s="2" t="s">
        <v>516</v>
      </c>
      <c r="E3270" s="3">
        <v>14.5</v>
      </c>
      <c r="F3270" s="3">
        <v>1.5</v>
      </c>
      <c r="G3270" s="4">
        <v>43389</v>
      </c>
      <c r="M3270" s="1"/>
      <c r="N3270" s="1"/>
      <c r="O3270" s="1"/>
      <c r="P3270" s="1"/>
      <c r="Q3270" s="1"/>
      <c r="R3270" s="1"/>
    </row>
    <row r="3271" spans="2:18">
      <c r="C3271" s="92" t="s">
        <v>5</v>
      </c>
      <c r="D3271" s="92" t="s">
        <v>5407</v>
      </c>
      <c r="E3271" s="3">
        <v>18.100000000000001</v>
      </c>
      <c r="F3271" s="3">
        <f>10/5</f>
        <v>2</v>
      </c>
      <c r="G3271" s="4">
        <v>42719</v>
      </c>
      <c r="J3271" s="1">
        <v>2000</v>
      </c>
      <c r="M3271" s="1"/>
      <c r="N3271" s="1"/>
      <c r="O3271" s="1"/>
      <c r="P3271" s="1"/>
      <c r="Q3271" s="1"/>
      <c r="R3271" s="1"/>
    </row>
    <row r="3272" spans="2:18">
      <c r="G3272" s="4"/>
      <c r="M3272" s="1"/>
      <c r="N3272" s="1"/>
      <c r="O3272" s="1"/>
      <c r="P3272" s="1"/>
      <c r="Q3272" s="1"/>
      <c r="R3272" s="1"/>
    </row>
    <row r="3273" spans="2:18" s="12" customFormat="1">
      <c r="B3273" s="12" t="s">
        <v>717</v>
      </c>
      <c r="C3273" s="13" t="s">
        <v>969</v>
      </c>
      <c r="D3273" s="13" t="s">
        <v>968</v>
      </c>
      <c r="E3273" s="15"/>
      <c r="F3273" s="15">
        <f>SUM(F3274:F3275)</f>
        <v>4</v>
      </c>
      <c r="G3273" s="14">
        <f>G3274</f>
        <v>44110</v>
      </c>
      <c r="M3273" s="13"/>
      <c r="N3273" s="13"/>
      <c r="O3273" s="13"/>
      <c r="P3273" s="13"/>
      <c r="Q3273" s="13"/>
      <c r="R3273" s="13"/>
    </row>
    <row r="3274" spans="2:18">
      <c r="C3274" s="2" t="s">
        <v>5</v>
      </c>
      <c r="D3274" s="2" t="s">
        <v>716</v>
      </c>
      <c r="E3274" s="3">
        <v>10</v>
      </c>
      <c r="F3274" s="3">
        <v>2</v>
      </c>
      <c r="G3274" s="4">
        <v>44110</v>
      </c>
    </row>
    <row r="3275" spans="2:18">
      <c r="C3275" s="2" t="s">
        <v>4</v>
      </c>
      <c r="D3275" s="2" t="s">
        <v>716</v>
      </c>
      <c r="E3275" s="3">
        <v>5</v>
      </c>
      <c r="F3275" s="3">
        <v>2</v>
      </c>
      <c r="G3275" s="4">
        <v>43423</v>
      </c>
    </row>
    <row r="3276" spans="2:18">
      <c r="G3276" s="4"/>
    </row>
    <row r="3277" spans="2:18" s="12" customFormat="1">
      <c r="B3277" s="12" t="s">
        <v>595</v>
      </c>
      <c r="C3277" s="13" t="s">
        <v>969</v>
      </c>
      <c r="D3277" s="13" t="s">
        <v>968</v>
      </c>
      <c r="E3277" s="15"/>
      <c r="F3277" s="15">
        <f>SUM(F3278:F3279)</f>
        <v>4.3999999999999995</v>
      </c>
      <c r="G3277" s="14">
        <f>G3278</f>
        <v>44964</v>
      </c>
    </row>
    <row r="3278" spans="2:18">
      <c r="C3278" s="2" t="s">
        <v>4</v>
      </c>
      <c r="D3278" s="2" t="s">
        <v>593</v>
      </c>
      <c r="E3278" s="3">
        <v>6.8</v>
      </c>
      <c r="F3278" s="3">
        <v>3.8</v>
      </c>
      <c r="G3278" s="4">
        <v>44964</v>
      </c>
      <c r="M3278" s="1"/>
      <c r="N3278" s="1"/>
      <c r="O3278" s="1"/>
      <c r="P3278" s="1"/>
      <c r="Q3278" s="1"/>
      <c r="R3278" s="1"/>
    </row>
    <row r="3279" spans="2:18">
      <c r="C3279" s="2" t="s">
        <v>4</v>
      </c>
      <c r="D3279" s="2" t="s">
        <v>593</v>
      </c>
      <c r="E3279" s="3">
        <v>1.6</v>
      </c>
      <c r="F3279" s="3">
        <v>0.6</v>
      </c>
      <c r="G3279" s="4">
        <v>44197</v>
      </c>
      <c r="M3279" s="1"/>
      <c r="N3279" s="1"/>
      <c r="O3279" s="1"/>
      <c r="P3279" s="1"/>
      <c r="Q3279" s="1"/>
      <c r="R3279" s="1"/>
    </row>
    <row r="3280" spans="2:18">
      <c r="G3280" s="4"/>
      <c r="M3280" s="1"/>
      <c r="N3280" s="1"/>
      <c r="O3280" s="1"/>
      <c r="P3280" s="1"/>
      <c r="Q3280" s="1"/>
      <c r="R3280" s="1"/>
    </row>
    <row r="3281" spans="2:18" s="12" customFormat="1">
      <c r="B3281" s="12" t="s">
        <v>647</v>
      </c>
      <c r="C3281" s="13" t="s">
        <v>969</v>
      </c>
      <c r="D3281" s="13" t="s">
        <v>968</v>
      </c>
      <c r="E3281" s="15"/>
      <c r="F3281" s="15">
        <f>SUM(F3282:F3283)</f>
        <v>3.5</v>
      </c>
      <c r="G3281" s="14">
        <f>G3282</f>
        <v>44642</v>
      </c>
    </row>
    <row r="3282" spans="2:18">
      <c r="C3282" s="2" t="s">
        <v>5</v>
      </c>
      <c r="D3282" s="2" t="s">
        <v>646</v>
      </c>
      <c r="E3282" s="3">
        <v>13</v>
      </c>
      <c r="F3282" s="3">
        <f>8/4</f>
        <v>2</v>
      </c>
      <c r="G3282" s="4">
        <v>44642</v>
      </c>
      <c r="M3282" s="1"/>
      <c r="N3282" s="1"/>
      <c r="O3282" s="1"/>
      <c r="P3282" s="1"/>
      <c r="Q3282" s="1"/>
      <c r="R3282" s="1"/>
    </row>
    <row r="3283" spans="2:18">
      <c r="C3283" s="2" t="s">
        <v>4</v>
      </c>
      <c r="D3283" s="2" t="s">
        <v>646</v>
      </c>
      <c r="E3283" s="3">
        <v>3.5</v>
      </c>
      <c r="F3283" s="3">
        <v>1.5</v>
      </c>
      <c r="G3283" s="4">
        <v>44124</v>
      </c>
      <c r="M3283" s="1"/>
      <c r="N3283" s="1"/>
      <c r="O3283" s="1"/>
      <c r="P3283" s="1"/>
      <c r="Q3283" s="1"/>
      <c r="R3283" s="1"/>
    </row>
    <row r="3284" spans="2:18">
      <c r="G3284" s="4"/>
      <c r="M3284" s="1"/>
      <c r="N3284" s="1"/>
      <c r="O3284" s="1"/>
      <c r="P3284" s="1"/>
      <c r="Q3284" s="1"/>
      <c r="R3284" s="1"/>
    </row>
    <row r="3285" spans="2:18" s="12" customFormat="1">
      <c r="B3285" s="12" t="s">
        <v>976</v>
      </c>
      <c r="C3285" s="13" t="s">
        <v>969</v>
      </c>
      <c r="D3285" s="13" t="s">
        <v>968</v>
      </c>
      <c r="E3285" s="15"/>
      <c r="F3285" s="15">
        <f>SUM(F3286:F3287)</f>
        <v>4.0999999999999996</v>
      </c>
      <c r="G3285" s="14">
        <f>G3286</f>
        <v>44796</v>
      </c>
      <c r="M3285" s="13"/>
      <c r="N3285" s="13"/>
      <c r="O3285" s="13"/>
      <c r="P3285" s="13"/>
      <c r="Q3285" s="13"/>
      <c r="R3285" s="13"/>
    </row>
    <row r="3286" spans="2:18">
      <c r="C3286" s="2" t="s">
        <v>5</v>
      </c>
      <c r="D3286" s="2" t="s">
        <v>701</v>
      </c>
      <c r="E3286" s="3">
        <v>50</v>
      </c>
      <c r="F3286" s="3">
        <f>30/12</f>
        <v>2.5</v>
      </c>
      <c r="G3286" s="4">
        <v>44796</v>
      </c>
    </row>
    <row r="3287" spans="2:18">
      <c r="C3287" s="2" t="s">
        <v>4</v>
      </c>
      <c r="D3287" s="2" t="s">
        <v>701</v>
      </c>
      <c r="E3287" s="3">
        <v>12.5</v>
      </c>
      <c r="F3287" s="3">
        <f>8/5</f>
        <v>1.6</v>
      </c>
      <c r="G3287" s="4">
        <v>44623</v>
      </c>
    </row>
    <row r="3289" spans="2:18" s="12" customFormat="1">
      <c r="B3289" s="12" t="s">
        <v>4872</v>
      </c>
      <c r="C3289" s="13" t="s">
        <v>969</v>
      </c>
      <c r="D3289" s="13" t="s">
        <v>968</v>
      </c>
      <c r="E3289" s="15"/>
      <c r="F3289" s="15">
        <f>SUM(F3290:F3291)</f>
        <v>4.375</v>
      </c>
      <c r="G3289" s="14">
        <f>G3290</f>
        <v>43720</v>
      </c>
      <c r="M3289" s="13"/>
      <c r="N3289" s="13"/>
      <c r="O3289" s="13"/>
      <c r="P3289" s="13"/>
      <c r="Q3289" s="13"/>
      <c r="R3289" s="13"/>
    </row>
    <row r="3290" spans="2:18">
      <c r="B3290" s="51"/>
      <c r="C3290" s="52" t="s">
        <v>7</v>
      </c>
      <c r="D3290" s="52" t="s">
        <v>2116</v>
      </c>
      <c r="E3290" s="3">
        <v>40</v>
      </c>
      <c r="F3290" s="3">
        <f>30/10</f>
        <v>3</v>
      </c>
      <c r="G3290" s="4">
        <v>43720</v>
      </c>
      <c r="J3290" s="1">
        <v>3400</v>
      </c>
    </row>
    <row r="3291" spans="2:18">
      <c r="C3291" s="52" t="s">
        <v>5</v>
      </c>
      <c r="D3291" s="52" t="s">
        <v>2116</v>
      </c>
      <c r="E3291" s="3">
        <v>11.5</v>
      </c>
      <c r="F3291" s="3">
        <f>5.5/4</f>
        <v>1.375</v>
      </c>
      <c r="G3291" s="4">
        <v>43355</v>
      </c>
      <c r="J3291" s="1">
        <v>3400</v>
      </c>
    </row>
    <row r="3292" spans="2:18">
      <c r="C3292" s="52"/>
      <c r="D3292" s="52"/>
      <c r="G3292" s="4"/>
    </row>
    <row r="3293" spans="2:18" s="12" customFormat="1">
      <c r="B3293" s="12" t="s">
        <v>727</v>
      </c>
      <c r="C3293" s="13" t="s">
        <v>969</v>
      </c>
      <c r="D3293" s="13" t="s">
        <v>968</v>
      </c>
      <c r="E3293" s="15"/>
      <c r="F3293" s="15">
        <f>SUM(F3294:F3295)</f>
        <v>3.6666666666666665</v>
      </c>
      <c r="G3293" s="14">
        <f>G3294</f>
        <v>44676</v>
      </c>
    </row>
    <row r="3294" spans="2:18">
      <c r="C3294" s="2" t="s">
        <v>5</v>
      </c>
      <c r="D3294" s="2" t="s">
        <v>725</v>
      </c>
      <c r="E3294" s="3">
        <v>20</v>
      </c>
      <c r="F3294" s="3">
        <f>13/6</f>
        <v>2.1666666666666665</v>
      </c>
      <c r="G3294" s="4">
        <v>44676</v>
      </c>
    </row>
    <row r="3295" spans="2:18">
      <c r="C3295" s="2" t="s">
        <v>4</v>
      </c>
      <c r="D3295" s="2" t="s">
        <v>725</v>
      </c>
      <c r="E3295" s="3">
        <v>5</v>
      </c>
      <c r="F3295" s="3">
        <v>1.5</v>
      </c>
      <c r="G3295" s="4">
        <v>44060</v>
      </c>
    </row>
    <row r="3297" spans="2:18" s="12" customFormat="1">
      <c r="B3297" s="12" t="s">
        <v>729</v>
      </c>
      <c r="C3297" s="13" t="s">
        <v>969</v>
      </c>
      <c r="D3297" s="13" t="s">
        <v>968</v>
      </c>
      <c r="E3297" s="15"/>
      <c r="F3297" s="15">
        <f>SUM(F3298:F3299)</f>
        <v>3.6666666666666665</v>
      </c>
      <c r="G3297" s="14">
        <f>G3298</f>
        <v>44676</v>
      </c>
    </row>
    <row r="3298" spans="2:18">
      <c r="C3298" s="2" t="s">
        <v>5</v>
      </c>
      <c r="D3298" s="2" t="s">
        <v>725</v>
      </c>
      <c r="E3298" s="3">
        <v>20</v>
      </c>
      <c r="F3298" s="3">
        <f>13/6</f>
        <v>2.1666666666666665</v>
      </c>
      <c r="G3298" s="4">
        <v>44676</v>
      </c>
    </row>
    <row r="3299" spans="2:18">
      <c r="C3299" s="2" t="s">
        <v>4</v>
      </c>
      <c r="D3299" s="2" t="s">
        <v>725</v>
      </c>
      <c r="E3299" s="3">
        <v>5</v>
      </c>
      <c r="F3299" s="3">
        <v>1.5</v>
      </c>
      <c r="G3299" s="4">
        <v>44060</v>
      </c>
    </row>
    <row r="3300" spans="2:18">
      <c r="G3300" s="4"/>
    </row>
    <row r="3301" spans="2:18" s="12" customFormat="1">
      <c r="B3301" s="12" t="s">
        <v>328</v>
      </c>
      <c r="C3301" s="13" t="s">
        <v>969</v>
      </c>
      <c r="D3301" s="13" t="s">
        <v>968</v>
      </c>
      <c r="E3301" s="15"/>
      <c r="F3301" s="15">
        <f>SUM(F3302:F3303)</f>
        <v>3.588888888888889</v>
      </c>
      <c r="G3301" s="14">
        <f>G3302</f>
        <v>43031</v>
      </c>
    </row>
    <row r="3302" spans="2:18">
      <c r="C3302" s="2" t="s">
        <v>4</v>
      </c>
      <c r="D3302" s="2" t="s">
        <v>318</v>
      </c>
      <c r="E3302" s="3">
        <v>3.2</v>
      </c>
      <c r="F3302" s="3">
        <v>3.2</v>
      </c>
      <c r="G3302" s="4">
        <v>43031</v>
      </c>
      <c r="L3302" s="1">
        <f>+F3302*20</f>
        <v>64</v>
      </c>
      <c r="M3302" s="1"/>
      <c r="N3302" s="1"/>
      <c r="O3302" s="1"/>
      <c r="P3302" s="1"/>
      <c r="Q3302" s="1"/>
      <c r="R3302" s="1"/>
    </row>
    <row r="3303" spans="2:18">
      <c r="C3303" s="2" t="s">
        <v>4</v>
      </c>
      <c r="D3303" s="2" t="s">
        <v>258</v>
      </c>
      <c r="E3303" s="3">
        <v>3.5</v>
      </c>
      <c r="F3303" s="3">
        <f>+E3303/9</f>
        <v>0.3888888888888889</v>
      </c>
      <c r="G3303" s="4">
        <v>42979</v>
      </c>
      <c r="M3303" s="1"/>
      <c r="N3303" s="1"/>
      <c r="O3303" s="1"/>
      <c r="P3303" s="1"/>
      <c r="Q3303" s="1"/>
      <c r="R3303" s="1"/>
    </row>
    <row r="3304" spans="2:18">
      <c r="G3304" s="4"/>
      <c r="M3304" s="1"/>
      <c r="N3304" s="1"/>
      <c r="O3304" s="1"/>
      <c r="P3304" s="1"/>
      <c r="Q3304" s="1"/>
      <c r="R3304" s="1"/>
    </row>
    <row r="3305" spans="2:18">
      <c r="B3305" s="12" t="s">
        <v>975</v>
      </c>
      <c r="C3305" s="13" t="s">
        <v>969</v>
      </c>
      <c r="D3305" s="13" t="s">
        <v>968</v>
      </c>
      <c r="F3305" s="15">
        <f>F3306+F3307</f>
        <v>3.5</v>
      </c>
      <c r="G3305" s="14">
        <f>G3307</f>
        <v>44392</v>
      </c>
    </row>
    <row r="3306" spans="2:18">
      <c r="C3306" s="2" t="s">
        <v>5</v>
      </c>
      <c r="D3306" s="2" t="s">
        <v>962</v>
      </c>
      <c r="E3306" s="3">
        <v>5</v>
      </c>
      <c r="F3306" s="3">
        <v>1</v>
      </c>
      <c r="G3306" s="4">
        <v>43251</v>
      </c>
    </row>
    <row r="3307" spans="2:18">
      <c r="C3307" s="2" t="s">
        <v>5</v>
      </c>
      <c r="D3307" s="2" t="s">
        <v>695</v>
      </c>
      <c r="E3307" s="3">
        <v>20</v>
      </c>
      <c r="F3307" s="3">
        <v>2.5</v>
      </c>
      <c r="G3307" s="4">
        <v>44392</v>
      </c>
    </row>
    <row r="3308" spans="2:18">
      <c r="C3308" s="2" t="s">
        <v>5</v>
      </c>
      <c r="D3308" s="2" t="s">
        <v>692</v>
      </c>
      <c r="E3308" s="3">
        <v>8</v>
      </c>
      <c r="F3308" s="3">
        <v>1</v>
      </c>
      <c r="G3308" s="4">
        <v>43249</v>
      </c>
    </row>
    <row r="3309" spans="2:18">
      <c r="G3309" s="4"/>
    </row>
    <row r="3310" spans="2:18" s="12" customFormat="1">
      <c r="B3310" s="12" t="s">
        <v>731</v>
      </c>
      <c r="C3310" s="13" t="s">
        <v>969</v>
      </c>
      <c r="D3310" s="13" t="s">
        <v>968</v>
      </c>
      <c r="E3310" s="15"/>
      <c r="F3310" s="15">
        <f>SUM(F3311:F3313)</f>
        <v>4.3214285714285712</v>
      </c>
      <c r="G3310" s="14">
        <f>G3311</f>
        <v>44757</v>
      </c>
      <c r="M3310" s="13"/>
      <c r="N3310" s="13"/>
      <c r="O3310" s="13"/>
      <c r="P3310" s="13"/>
      <c r="Q3310" s="13"/>
      <c r="R3310" s="13"/>
    </row>
    <row r="3311" spans="2:18">
      <c r="C3311" s="2" t="s">
        <v>5</v>
      </c>
      <c r="D3311" s="2" t="s">
        <v>730</v>
      </c>
      <c r="E3311" s="3">
        <v>25</v>
      </c>
      <c r="F3311" s="3">
        <f>18/7</f>
        <v>2.5714285714285716</v>
      </c>
      <c r="G3311" s="4">
        <v>44757</v>
      </c>
    </row>
    <row r="3312" spans="2:18">
      <c r="C3312" s="2" t="s">
        <v>4</v>
      </c>
      <c r="D3312" s="2" t="s">
        <v>730</v>
      </c>
      <c r="E3312" s="3">
        <v>4</v>
      </c>
      <c r="F3312" s="3">
        <v>1</v>
      </c>
      <c r="G3312" s="4">
        <v>44340</v>
      </c>
    </row>
    <row r="3313" spans="2:18">
      <c r="C3313" s="2" t="s">
        <v>4</v>
      </c>
      <c r="D3313" s="2" t="s">
        <v>730</v>
      </c>
      <c r="E3313" s="3">
        <v>1.5</v>
      </c>
      <c r="F3313" s="3">
        <v>0.75</v>
      </c>
      <c r="G3313" s="4">
        <v>43979</v>
      </c>
    </row>
    <row r="3314" spans="2:18">
      <c r="G3314" s="4"/>
    </row>
    <row r="3315" spans="2:18" s="12" customFormat="1">
      <c r="B3315" s="12" t="s">
        <v>974</v>
      </c>
      <c r="C3315" s="13" t="s">
        <v>969</v>
      </c>
      <c r="D3315" s="13" t="s">
        <v>968</v>
      </c>
      <c r="E3315" s="15"/>
      <c r="F3315" s="15">
        <f>SUM(F3316:F3317)</f>
        <v>4</v>
      </c>
      <c r="G3315" s="14">
        <f>G3316</f>
        <v>45070</v>
      </c>
      <c r="M3315" s="13"/>
      <c r="N3315" s="13"/>
      <c r="O3315" s="13"/>
      <c r="P3315" s="13"/>
      <c r="Q3315" s="13"/>
      <c r="R3315" s="13"/>
    </row>
    <row r="3316" spans="2:18">
      <c r="C3316" s="2" t="s">
        <v>5</v>
      </c>
      <c r="D3316" s="2" t="s">
        <v>783</v>
      </c>
      <c r="E3316" s="3">
        <v>10.9</v>
      </c>
      <c r="F3316" s="3">
        <f>8/8</f>
        <v>1</v>
      </c>
      <c r="G3316" s="4">
        <v>45070</v>
      </c>
    </row>
    <row r="3317" spans="2:18">
      <c r="C3317" s="2" t="s">
        <v>5</v>
      </c>
      <c r="D3317" s="2" t="s">
        <v>703</v>
      </c>
      <c r="E3317" s="3">
        <v>6</v>
      </c>
      <c r="F3317" s="3">
        <v>3</v>
      </c>
      <c r="G3317" s="4">
        <v>44917</v>
      </c>
    </row>
    <row r="3318" spans="2:18">
      <c r="G3318" s="4"/>
    </row>
    <row r="3319" spans="2:18" s="12" customFormat="1">
      <c r="B3319" s="12" t="s">
        <v>728</v>
      </c>
      <c r="C3319" s="13" t="s">
        <v>969</v>
      </c>
      <c r="D3319" s="13" t="s">
        <v>968</v>
      </c>
      <c r="E3319" s="15"/>
      <c r="F3319" s="15">
        <f>SUM(F3320:F3321)</f>
        <v>3.6666666666666665</v>
      </c>
      <c r="G3319" s="14">
        <f>G3320</f>
        <v>44676</v>
      </c>
    </row>
    <row r="3320" spans="2:18">
      <c r="C3320" s="2" t="s">
        <v>5</v>
      </c>
      <c r="D3320" s="2" t="s">
        <v>725</v>
      </c>
      <c r="E3320" s="3">
        <v>20</v>
      </c>
      <c r="F3320" s="3">
        <f>13/6</f>
        <v>2.1666666666666665</v>
      </c>
      <c r="G3320" s="4">
        <v>44676</v>
      </c>
    </row>
    <row r="3321" spans="2:18">
      <c r="C3321" s="2" t="s">
        <v>4</v>
      </c>
      <c r="D3321" s="2" t="s">
        <v>725</v>
      </c>
      <c r="E3321" s="3">
        <v>5</v>
      </c>
      <c r="F3321" s="3">
        <v>1.5</v>
      </c>
      <c r="G3321" s="4">
        <v>44060</v>
      </c>
    </row>
    <row r="3322" spans="2:18">
      <c r="G3322" s="4"/>
    </row>
    <row r="3323" spans="2:18" s="12" customFormat="1">
      <c r="B3323" s="12" t="s">
        <v>973</v>
      </c>
      <c r="C3323" s="13" t="s">
        <v>969</v>
      </c>
      <c r="D3323" s="13" t="s">
        <v>968</v>
      </c>
      <c r="E3323" s="15"/>
      <c r="F3323" s="15">
        <f>SUM(F3324:F3328)</f>
        <v>3.6749999999999998</v>
      </c>
      <c r="G3323" s="14">
        <f>G3324</f>
        <v>44341</v>
      </c>
      <c r="M3323" s="13"/>
      <c r="N3323" s="13"/>
      <c r="O3323" s="13"/>
      <c r="P3323" s="13"/>
      <c r="Q3323" s="13"/>
      <c r="R3323" s="13"/>
    </row>
    <row r="3324" spans="2:18">
      <c r="C3324" s="2" t="s">
        <v>5</v>
      </c>
      <c r="D3324" s="2" t="s">
        <v>548</v>
      </c>
      <c r="E3324" s="3">
        <v>10.5</v>
      </c>
      <c r="F3324" s="3">
        <f>5/5</f>
        <v>1</v>
      </c>
      <c r="G3324" s="4">
        <v>44341</v>
      </c>
    </row>
    <row r="3325" spans="2:18">
      <c r="C3325" s="2" t="s">
        <v>4</v>
      </c>
      <c r="D3325" s="2" t="s">
        <v>548</v>
      </c>
      <c r="E3325" s="3">
        <v>4</v>
      </c>
      <c r="F3325" s="3">
        <v>1</v>
      </c>
      <c r="G3325" s="4">
        <v>43671</v>
      </c>
    </row>
    <row r="3326" spans="2:18">
      <c r="C3326" s="2" t="s">
        <v>278</v>
      </c>
      <c r="D3326" s="2" t="s">
        <v>548</v>
      </c>
      <c r="E3326" s="3">
        <v>0.5</v>
      </c>
      <c r="F3326" s="3">
        <v>0.1</v>
      </c>
      <c r="G3326" s="4">
        <v>43262</v>
      </c>
    </row>
    <row r="3327" spans="2:18">
      <c r="C3327" s="2" t="s">
        <v>4</v>
      </c>
      <c r="D3327" s="2" t="s">
        <v>336</v>
      </c>
      <c r="E3327" s="3">
        <v>3</v>
      </c>
      <c r="F3327" s="3">
        <f>1.5/4</f>
        <v>0.375</v>
      </c>
      <c r="G3327" s="4">
        <v>44327</v>
      </c>
    </row>
    <row r="3328" spans="2:18">
      <c r="C3328" s="2" t="s">
        <v>278</v>
      </c>
      <c r="D3328" s="2" t="s">
        <v>336</v>
      </c>
      <c r="E3328" s="3">
        <v>1.2</v>
      </c>
      <c r="F3328" s="3">
        <v>1.2</v>
      </c>
      <c r="G3328" s="4">
        <v>42744</v>
      </c>
    </row>
    <row r="3329" spans="2:18">
      <c r="G3329" s="4"/>
    </row>
    <row r="3330" spans="2:18" s="12" customFormat="1">
      <c r="B3330" s="12" t="s">
        <v>6295</v>
      </c>
      <c r="C3330" s="13" t="s">
        <v>969</v>
      </c>
      <c r="D3330" s="13" t="s">
        <v>968</v>
      </c>
      <c r="E3330" s="15"/>
      <c r="F3330" s="15">
        <f>SUM(F3331:F3332)</f>
        <v>3.5</v>
      </c>
      <c r="G3330" s="14">
        <f>G3331</f>
        <v>44594</v>
      </c>
      <c r="M3330" s="13"/>
      <c r="N3330" s="13"/>
      <c r="O3330" s="13"/>
      <c r="P3330" s="13"/>
      <c r="Q3330" s="13"/>
      <c r="R3330" s="13"/>
    </row>
    <row r="3331" spans="2:18">
      <c r="B3331" s="134"/>
      <c r="C3331" s="140" t="s">
        <v>5</v>
      </c>
      <c r="D3331" s="140" t="s">
        <v>6293</v>
      </c>
      <c r="E3331" s="3">
        <v>25</v>
      </c>
      <c r="F3331" s="3">
        <v>3</v>
      </c>
      <c r="G3331" s="4">
        <v>44594</v>
      </c>
    </row>
    <row r="3332" spans="2:18">
      <c r="B3332" s="134"/>
      <c r="C3332" s="140" t="s">
        <v>4</v>
      </c>
      <c r="D3332" s="140" t="s">
        <v>6293</v>
      </c>
      <c r="E3332" s="3">
        <v>5</v>
      </c>
      <c r="F3332" s="3">
        <v>0.5</v>
      </c>
      <c r="G3332" s="4">
        <v>43335</v>
      </c>
    </row>
    <row r="3333" spans="2:18">
      <c r="B3333" s="134"/>
      <c r="C3333" s="140"/>
      <c r="D3333" s="140"/>
      <c r="G3333" s="4"/>
    </row>
    <row r="3334" spans="2:18" s="12" customFormat="1">
      <c r="B3334" s="12" t="s">
        <v>6674</v>
      </c>
      <c r="C3334" s="13" t="s">
        <v>969</v>
      </c>
      <c r="D3334" s="13" t="s">
        <v>968</v>
      </c>
      <c r="E3334" s="15"/>
      <c r="F3334" s="15">
        <f>SUM(F3335:F3336)</f>
        <v>4</v>
      </c>
      <c r="G3334" s="14">
        <f>G3335</f>
        <v>44917</v>
      </c>
      <c r="M3334" s="13"/>
      <c r="N3334" s="13"/>
      <c r="O3334" s="13"/>
      <c r="P3334" s="13"/>
      <c r="Q3334" s="13"/>
      <c r="R3334" s="13"/>
    </row>
    <row r="3335" spans="2:18">
      <c r="C3335" s="2" t="s">
        <v>5</v>
      </c>
      <c r="D3335" s="2" t="s">
        <v>703</v>
      </c>
      <c r="E3335" s="3">
        <v>6</v>
      </c>
      <c r="F3335" s="3">
        <v>1</v>
      </c>
      <c r="G3335" s="4">
        <v>44917</v>
      </c>
    </row>
    <row r="3336" spans="2:18">
      <c r="C3336" s="2" t="s">
        <v>4</v>
      </c>
      <c r="D3336" s="2" t="s">
        <v>703</v>
      </c>
      <c r="E3336" s="3">
        <v>5.9</v>
      </c>
      <c r="F3336" s="3">
        <v>3</v>
      </c>
      <c r="G3336" s="4">
        <v>44180</v>
      </c>
    </row>
    <row r="3337" spans="2:18">
      <c r="G3337" s="4"/>
    </row>
    <row r="3338" spans="2:18" s="12" customFormat="1">
      <c r="B3338" s="12" t="s">
        <v>671</v>
      </c>
      <c r="C3338" s="13" t="s">
        <v>969</v>
      </c>
      <c r="D3338" s="13" t="s">
        <v>968</v>
      </c>
      <c r="E3338" s="15"/>
      <c r="F3338" s="15">
        <f>SUM(F3339:F3340)</f>
        <v>3.62</v>
      </c>
      <c r="G3338" s="14">
        <f>G3339</f>
        <v>44705</v>
      </c>
    </row>
    <row r="3339" spans="2:18">
      <c r="C3339" s="2" t="s">
        <v>5</v>
      </c>
      <c r="D3339" s="2" t="s">
        <v>669</v>
      </c>
      <c r="E3339" s="3">
        <v>14</v>
      </c>
      <c r="F3339" s="3">
        <v>3</v>
      </c>
      <c r="G3339" s="4">
        <v>44705</v>
      </c>
      <c r="M3339" s="1"/>
      <c r="N3339" s="1"/>
      <c r="O3339" s="1"/>
      <c r="P3339" s="1"/>
      <c r="Q3339" s="1"/>
      <c r="R3339" s="1"/>
    </row>
    <row r="3340" spans="2:18">
      <c r="C3340" s="2" t="s">
        <v>670</v>
      </c>
      <c r="D3340" s="2" t="s">
        <v>669</v>
      </c>
      <c r="E3340" s="3">
        <v>0.62</v>
      </c>
      <c r="F3340" s="3">
        <v>0.62</v>
      </c>
      <c r="G3340" s="4">
        <v>44105</v>
      </c>
      <c r="M3340" s="1"/>
      <c r="N3340" s="1"/>
      <c r="O3340" s="1"/>
      <c r="P3340" s="1"/>
      <c r="Q3340" s="1"/>
      <c r="R3340" s="1"/>
    </row>
    <row r="3341" spans="2:18">
      <c r="G3341" s="4"/>
      <c r="M3341" s="1"/>
      <c r="N3341" s="1"/>
      <c r="O3341" s="1"/>
      <c r="P3341" s="1"/>
      <c r="Q3341" s="1"/>
      <c r="R3341" s="1"/>
    </row>
    <row r="3342" spans="2:18">
      <c r="B3342" s="12" t="s">
        <v>790</v>
      </c>
      <c r="C3342" s="13" t="s">
        <v>969</v>
      </c>
      <c r="D3342" s="13" t="s">
        <v>968</v>
      </c>
      <c r="F3342" s="15">
        <f>SUM(F3343:F3345)</f>
        <v>5</v>
      </c>
      <c r="G3342" s="14">
        <f>G3344</f>
        <v>44515</v>
      </c>
      <c r="M3342" s="1"/>
      <c r="N3342" s="1"/>
      <c r="O3342" s="1"/>
      <c r="P3342" s="1"/>
      <c r="Q3342" s="1"/>
      <c r="R3342" s="1"/>
    </row>
    <row r="3343" spans="2:18">
      <c r="B3343" s="12"/>
      <c r="C3343" s="2" t="s">
        <v>4</v>
      </c>
      <c r="D3343" s="2" t="s">
        <v>697</v>
      </c>
      <c r="E3343" s="3">
        <v>5.6</v>
      </c>
      <c r="F3343" s="3">
        <v>1</v>
      </c>
      <c r="G3343" s="4">
        <v>44292</v>
      </c>
      <c r="M3343" s="1"/>
      <c r="N3343" s="1"/>
      <c r="O3343" s="1"/>
      <c r="P3343" s="1"/>
      <c r="Q3343" s="1"/>
      <c r="R3343" s="1"/>
    </row>
    <row r="3344" spans="2:18">
      <c r="C3344" s="177" t="s">
        <v>5</v>
      </c>
      <c r="D3344" s="177" t="s">
        <v>6681</v>
      </c>
      <c r="E3344" s="3">
        <v>21</v>
      </c>
      <c r="F3344" s="3">
        <v>3</v>
      </c>
      <c r="G3344" s="4">
        <v>44515</v>
      </c>
      <c r="M3344" s="1"/>
      <c r="N3344" s="1"/>
      <c r="O3344" s="1"/>
      <c r="P3344" s="1"/>
      <c r="Q3344" s="1"/>
      <c r="R3344" s="1"/>
    </row>
    <row r="3345" spans="2:18">
      <c r="C3345" s="335" t="s">
        <v>4</v>
      </c>
      <c r="D3345" s="335" t="s">
        <v>8303</v>
      </c>
      <c r="E3345" s="3">
        <v>8</v>
      </c>
      <c r="F3345" s="3">
        <v>1</v>
      </c>
      <c r="G3345" s="4">
        <v>44482</v>
      </c>
      <c r="M3345" s="1"/>
      <c r="N3345" s="1"/>
      <c r="O3345" s="1"/>
      <c r="P3345" s="1"/>
      <c r="Q3345" s="1"/>
      <c r="R3345" s="1"/>
    </row>
    <row r="3346" spans="2:18">
      <c r="G3346" s="4"/>
      <c r="M3346" s="1"/>
      <c r="N3346" s="1"/>
      <c r="O3346" s="1"/>
      <c r="P3346" s="1"/>
      <c r="Q3346" s="1"/>
      <c r="R3346" s="1"/>
    </row>
    <row r="3347" spans="2:18" s="12" customFormat="1">
      <c r="B3347" s="12" t="s">
        <v>674</v>
      </c>
      <c r="C3347" s="13" t="s">
        <v>969</v>
      </c>
      <c r="D3347" s="13" t="s">
        <v>968</v>
      </c>
      <c r="E3347" s="15"/>
      <c r="F3347" s="15">
        <f>SUM(F3348:F3349)</f>
        <v>3.5</v>
      </c>
      <c r="G3347" s="14">
        <f>G3348</f>
        <v>44389</v>
      </c>
      <c r="M3347" s="13"/>
      <c r="N3347" s="13"/>
      <c r="O3347" s="13"/>
      <c r="P3347" s="13"/>
      <c r="Q3347" s="13"/>
      <c r="R3347" s="13"/>
    </row>
    <row r="3348" spans="2:18">
      <c r="C3348" s="2" t="s">
        <v>5</v>
      </c>
      <c r="D3348" s="2" t="s">
        <v>672</v>
      </c>
      <c r="E3348" s="3">
        <v>14.5</v>
      </c>
      <c r="F3348" s="3">
        <v>2.5</v>
      </c>
      <c r="G3348" s="4">
        <v>44389</v>
      </c>
      <c r="M3348" s="1"/>
      <c r="N3348" s="1"/>
      <c r="O3348" s="1"/>
      <c r="P3348" s="1"/>
      <c r="Q3348" s="1"/>
      <c r="R3348" s="1"/>
    </row>
    <row r="3349" spans="2:18">
      <c r="C3349" s="2" t="s">
        <v>4</v>
      </c>
      <c r="D3349" s="2" t="s">
        <v>672</v>
      </c>
      <c r="E3349" s="3">
        <v>3</v>
      </c>
      <c r="F3349" s="3">
        <v>1</v>
      </c>
      <c r="G3349" s="4">
        <v>43993</v>
      </c>
      <c r="M3349" s="1"/>
      <c r="N3349" s="1"/>
      <c r="O3349" s="1"/>
      <c r="P3349" s="1"/>
      <c r="Q3349" s="1"/>
      <c r="R3349" s="1"/>
    </row>
    <row r="3350" spans="2:18">
      <c r="G3350" s="4"/>
      <c r="M3350" s="1"/>
      <c r="N3350" s="1"/>
      <c r="O3350" s="1"/>
      <c r="P3350" s="1"/>
      <c r="Q3350" s="1"/>
      <c r="R3350" s="1"/>
    </row>
    <row r="3351" spans="2:18" s="12" customFormat="1">
      <c r="B3351" s="12" t="s">
        <v>764</v>
      </c>
      <c r="C3351" s="13" t="s">
        <v>969</v>
      </c>
      <c r="D3351" s="13" t="s">
        <v>968</v>
      </c>
      <c r="E3351" s="15"/>
      <c r="F3351" s="15">
        <f>SUM(F3352:F3353)</f>
        <v>3.5</v>
      </c>
      <c r="G3351" s="14">
        <f>G3353</f>
        <v>44510</v>
      </c>
    </row>
    <row r="3352" spans="2:18">
      <c r="C3352" s="2" t="s">
        <v>278</v>
      </c>
      <c r="D3352" s="2" t="s">
        <v>763</v>
      </c>
      <c r="E3352" s="3">
        <v>1</v>
      </c>
      <c r="F3352" s="3">
        <v>0.5</v>
      </c>
      <c r="G3352" s="4">
        <v>44287</v>
      </c>
      <c r="M3352" s="1"/>
      <c r="N3352" s="1"/>
      <c r="O3352" s="1"/>
      <c r="P3352" s="1"/>
      <c r="Q3352" s="1"/>
      <c r="R3352" s="1"/>
    </row>
    <row r="3353" spans="2:18">
      <c r="C3353" s="2" t="s">
        <v>5</v>
      </c>
      <c r="D3353" s="2" t="s">
        <v>110</v>
      </c>
      <c r="E3353" s="3">
        <v>25</v>
      </c>
      <c r="F3353" s="3">
        <v>3</v>
      </c>
      <c r="G3353" s="4">
        <v>44510</v>
      </c>
      <c r="M3353" s="1"/>
      <c r="N3353" s="1"/>
      <c r="O3353" s="1"/>
      <c r="P3353" s="1"/>
      <c r="Q3353" s="1"/>
      <c r="R3353" s="1"/>
    </row>
    <row r="3354" spans="2:18">
      <c r="G3354" s="4"/>
      <c r="M3354" s="1"/>
      <c r="N3354" s="1"/>
      <c r="O3354" s="1"/>
      <c r="P3354" s="1"/>
      <c r="Q3354" s="1"/>
      <c r="R3354" s="1"/>
    </row>
    <row r="3355" spans="2:18" s="12" customFormat="1">
      <c r="B3355" s="12" t="s">
        <v>118</v>
      </c>
      <c r="C3355" s="13" t="s">
        <v>969</v>
      </c>
      <c r="D3355" s="13" t="s">
        <v>968</v>
      </c>
      <c r="E3355" s="15"/>
      <c r="F3355" s="15">
        <f>SUM(F3356:F3357)</f>
        <v>4.3333333333333339</v>
      </c>
      <c r="G3355" s="14">
        <f>G3356</f>
        <v>44510</v>
      </c>
      <c r="M3355" s="13"/>
      <c r="N3355" s="13"/>
      <c r="O3355" s="13"/>
      <c r="P3355" s="13"/>
      <c r="Q3355" s="13"/>
      <c r="R3355" s="13"/>
    </row>
    <row r="3356" spans="2:18">
      <c r="C3356" s="2" t="s">
        <v>5</v>
      </c>
      <c r="D3356" s="2" t="s">
        <v>110</v>
      </c>
      <c r="E3356" s="3">
        <v>25</v>
      </c>
      <c r="F3356" s="3">
        <f>17/6</f>
        <v>2.8333333333333335</v>
      </c>
      <c r="G3356" s="4">
        <v>44510</v>
      </c>
    </row>
    <row r="3357" spans="2:18">
      <c r="C3357" s="2" t="s">
        <v>4</v>
      </c>
      <c r="D3357" s="2" t="s">
        <v>110</v>
      </c>
      <c r="E3357" s="3">
        <v>8</v>
      </c>
      <c r="F3357" s="3">
        <v>1.5</v>
      </c>
      <c r="G3357" s="4">
        <v>44063</v>
      </c>
    </row>
    <row r="3358" spans="2:18">
      <c r="G3358" s="4"/>
    </row>
    <row r="3359" spans="2:18" s="12" customFormat="1">
      <c r="B3359" s="12" t="s">
        <v>6673</v>
      </c>
      <c r="C3359" s="13" t="s">
        <v>969</v>
      </c>
      <c r="D3359" s="13" t="s">
        <v>968</v>
      </c>
      <c r="E3359" s="15"/>
      <c r="F3359" s="15">
        <f>SUM(F3360:F3361)</f>
        <v>3.588888888888889</v>
      </c>
      <c r="G3359" s="14">
        <f>G3360</f>
        <v>43031</v>
      </c>
    </row>
    <row r="3360" spans="2:18">
      <c r="C3360" s="2" t="s">
        <v>4</v>
      </c>
      <c r="D3360" s="2" t="s">
        <v>318</v>
      </c>
      <c r="E3360" s="3">
        <v>3.2</v>
      </c>
      <c r="F3360" s="3">
        <v>3.2</v>
      </c>
      <c r="G3360" s="4">
        <v>43031</v>
      </c>
      <c r="L3360" s="1">
        <f>+F3360*20</f>
        <v>64</v>
      </c>
      <c r="M3360" s="1"/>
      <c r="N3360" s="1"/>
      <c r="O3360" s="1"/>
      <c r="P3360" s="1"/>
      <c r="Q3360" s="1"/>
      <c r="R3360" s="1"/>
    </row>
    <row r="3361" spans="2:19">
      <c r="C3361" s="2" t="s">
        <v>4</v>
      </c>
      <c r="D3361" s="2" t="s">
        <v>258</v>
      </c>
      <c r="E3361" s="3">
        <v>3.5</v>
      </c>
      <c r="F3361" s="3">
        <f>+E3361/9</f>
        <v>0.3888888888888889</v>
      </c>
      <c r="G3361" s="4">
        <v>42979</v>
      </c>
      <c r="M3361" s="1"/>
      <c r="N3361" s="1"/>
      <c r="O3361" s="1"/>
      <c r="P3361" s="1"/>
      <c r="Q3361" s="1"/>
      <c r="R3361" s="1"/>
    </row>
    <row r="3362" spans="2:19">
      <c r="G3362" s="4"/>
      <c r="M3362" s="1"/>
      <c r="N3362" s="1"/>
      <c r="O3362" s="1"/>
      <c r="P3362" s="1"/>
      <c r="Q3362" s="1"/>
      <c r="R3362" s="1"/>
    </row>
    <row r="3363" spans="2:19" s="12" customFormat="1">
      <c r="B3363" s="12" t="s">
        <v>554</v>
      </c>
      <c r="C3363" s="13" t="s">
        <v>969</v>
      </c>
      <c r="D3363" s="13" t="s">
        <v>968</v>
      </c>
      <c r="E3363" s="15"/>
      <c r="F3363" s="15">
        <f>SUM(F3364:F3365)</f>
        <v>3.75</v>
      </c>
      <c r="G3363" s="14">
        <f>G3364</f>
        <v>45077</v>
      </c>
    </row>
    <row r="3364" spans="2:19">
      <c r="C3364" s="2" t="s">
        <v>7</v>
      </c>
      <c r="D3364" s="2" t="s">
        <v>548</v>
      </c>
      <c r="E3364" s="3">
        <v>20</v>
      </c>
      <c r="F3364" s="3">
        <f>12/6</f>
        <v>2</v>
      </c>
      <c r="G3364" s="4">
        <v>45077</v>
      </c>
      <c r="M3364" s="1"/>
      <c r="N3364" s="1"/>
      <c r="O3364" s="1"/>
      <c r="P3364" s="1"/>
      <c r="Q3364" s="1"/>
      <c r="R3364" s="1"/>
    </row>
    <row r="3365" spans="2:19">
      <c r="C3365" s="2" t="s">
        <v>5</v>
      </c>
      <c r="D3365" s="2" t="s">
        <v>408</v>
      </c>
      <c r="E3365" s="3">
        <v>10</v>
      </c>
      <c r="F3365" s="3">
        <f>7/4</f>
        <v>1.75</v>
      </c>
      <c r="G3365" s="4">
        <v>44740</v>
      </c>
      <c r="M3365" s="1"/>
      <c r="N3365" s="1"/>
      <c r="O3365" s="1"/>
      <c r="P3365" s="1"/>
      <c r="Q3365" s="1"/>
      <c r="R3365" s="1"/>
    </row>
    <row r="3366" spans="2:19">
      <c r="G3366" s="4"/>
      <c r="M3366" s="1"/>
      <c r="N3366" s="1"/>
      <c r="O3366" s="1"/>
      <c r="P3366" s="1"/>
      <c r="Q3366" s="1"/>
      <c r="R3366" s="1"/>
    </row>
    <row r="3367" spans="2:19" s="12" customFormat="1">
      <c r="B3367" s="12" t="s">
        <v>299</v>
      </c>
      <c r="C3367" s="13" t="s">
        <v>969</v>
      </c>
      <c r="D3367" s="13" t="s">
        <v>968</v>
      </c>
      <c r="E3367" s="15"/>
      <c r="F3367" s="15">
        <f>SUM(F3368:F3369)</f>
        <v>2.625</v>
      </c>
      <c r="G3367" s="14">
        <f>G3368</f>
        <v>44314</v>
      </c>
      <c r="M3367" s="13"/>
      <c r="N3367" s="13"/>
      <c r="O3367" s="13"/>
      <c r="P3367" s="13"/>
      <c r="Q3367" s="13"/>
      <c r="R3367" s="13"/>
    </row>
    <row r="3368" spans="2:19">
      <c r="C3368" s="2" t="s">
        <v>5</v>
      </c>
      <c r="D3368" s="2" t="s">
        <v>298</v>
      </c>
      <c r="E3368" s="3">
        <v>15</v>
      </c>
      <c r="F3368" s="3">
        <v>2</v>
      </c>
      <c r="G3368" s="4">
        <v>44314</v>
      </c>
      <c r="S3368" s="1" t="s">
        <v>297</v>
      </c>
    </row>
    <row r="3369" spans="2:19">
      <c r="C3369" s="2" t="s">
        <v>4</v>
      </c>
      <c r="D3369" s="2" t="s">
        <v>110</v>
      </c>
      <c r="E3369" s="3">
        <v>8</v>
      </c>
      <c r="F3369" s="3">
        <f>5/8</f>
        <v>0.625</v>
      </c>
      <c r="G3369" s="4">
        <v>44063</v>
      </c>
    </row>
    <row r="3370" spans="2:19">
      <c r="G3370" s="4"/>
    </row>
    <row r="3371" spans="2:19" s="12" customFormat="1">
      <c r="B3371" s="12" t="s">
        <v>6659</v>
      </c>
      <c r="C3371" s="13" t="s">
        <v>969</v>
      </c>
      <c r="D3371" s="13" t="s">
        <v>968</v>
      </c>
      <c r="E3371" s="15"/>
      <c r="F3371" s="15">
        <f>SUM(F3372:F3374)</f>
        <v>3.25</v>
      </c>
      <c r="G3371" s="14">
        <f>G3372</f>
        <v>44825</v>
      </c>
      <c r="M3371" s="13"/>
      <c r="N3371" s="13"/>
      <c r="O3371" s="13"/>
      <c r="P3371" s="13"/>
      <c r="Q3371" s="13"/>
      <c r="R3371" s="13"/>
    </row>
    <row r="3372" spans="2:19">
      <c r="B3372" s="173"/>
      <c r="C3372" s="174" t="s">
        <v>7</v>
      </c>
      <c r="D3372" s="174" t="s">
        <v>2030</v>
      </c>
      <c r="E3372" s="3">
        <v>16</v>
      </c>
      <c r="F3372" s="3">
        <v>2</v>
      </c>
      <c r="G3372" s="4">
        <v>44825</v>
      </c>
    </row>
    <row r="3373" spans="2:19">
      <c r="B3373" s="173"/>
      <c r="C3373" s="177" t="s">
        <v>5</v>
      </c>
      <c r="D3373" s="174" t="s">
        <v>2030</v>
      </c>
      <c r="E3373" s="3">
        <v>9.3000000000000007</v>
      </c>
      <c r="F3373" s="178">
        <v>1</v>
      </c>
      <c r="G3373" s="4">
        <v>44229</v>
      </c>
    </row>
    <row r="3374" spans="2:19">
      <c r="B3374" s="173"/>
      <c r="C3374" s="177" t="s">
        <v>4</v>
      </c>
      <c r="D3374" s="174" t="s">
        <v>2030</v>
      </c>
      <c r="E3374" s="3">
        <v>2</v>
      </c>
      <c r="F3374" s="3">
        <f>1.5/6</f>
        <v>0.25</v>
      </c>
      <c r="G3374" s="4">
        <v>43522</v>
      </c>
    </row>
    <row r="3375" spans="2:19">
      <c r="B3375" s="173"/>
      <c r="C3375" s="177"/>
      <c r="D3375" s="174"/>
      <c r="G3375" s="4"/>
    </row>
    <row r="3376" spans="2:19" s="12" customFormat="1">
      <c r="B3376" s="12" t="s">
        <v>775</v>
      </c>
      <c r="C3376" s="13" t="s">
        <v>969</v>
      </c>
      <c r="D3376" s="13" t="s">
        <v>968</v>
      </c>
      <c r="E3376" s="15"/>
      <c r="F3376" s="15">
        <f>SUM(F3377:F3379)</f>
        <v>2.86</v>
      </c>
      <c r="G3376" s="14">
        <f>G3377</f>
        <v>44677</v>
      </c>
    </row>
    <row r="3377" spans="2:18">
      <c r="C3377" s="2" t="s">
        <v>4</v>
      </c>
      <c r="D3377" s="2" t="s">
        <v>649</v>
      </c>
      <c r="E3377" s="3">
        <v>8</v>
      </c>
      <c r="F3377" s="3">
        <v>1</v>
      </c>
      <c r="G3377" s="4">
        <v>44677</v>
      </c>
      <c r="M3377" s="1"/>
      <c r="N3377" s="1"/>
      <c r="O3377" s="1"/>
      <c r="P3377" s="1"/>
      <c r="Q3377" s="1"/>
      <c r="R3377" s="1"/>
    </row>
    <row r="3378" spans="2:18">
      <c r="C3378" s="153" t="s">
        <v>5</v>
      </c>
      <c r="D3378" s="153" t="s">
        <v>2039</v>
      </c>
      <c r="E3378" s="3">
        <v>18</v>
      </c>
      <c r="F3378" s="3">
        <v>1</v>
      </c>
      <c r="G3378" s="4">
        <v>43445</v>
      </c>
      <c r="M3378" s="1"/>
      <c r="N3378" s="1"/>
      <c r="O3378" s="1"/>
      <c r="P3378" s="1"/>
      <c r="Q3378" s="1"/>
      <c r="R3378" s="1"/>
    </row>
    <row r="3379" spans="2:18">
      <c r="C3379" s="153" t="s">
        <v>4</v>
      </c>
      <c r="D3379" s="153" t="s">
        <v>2039</v>
      </c>
      <c r="E3379" s="3">
        <v>4.3</v>
      </c>
      <c r="F3379" s="3">
        <f>E3379/5</f>
        <v>0.86</v>
      </c>
      <c r="G3379" s="4">
        <v>43157</v>
      </c>
      <c r="M3379" s="1"/>
      <c r="N3379" s="1"/>
      <c r="O3379" s="1"/>
      <c r="P3379" s="1"/>
      <c r="Q3379" s="1"/>
      <c r="R3379" s="1"/>
    </row>
    <row r="3380" spans="2:18">
      <c r="G3380" s="4"/>
      <c r="M3380" s="1"/>
      <c r="N3380" s="1"/>
      <c r="O3380" s="1"/>
      <c r="P3380" s="1"/>
      <c r="Q3380" s="1"/>
      <c r="R3380" s="1"/>
    </row>
    <row r="3381" spans="2:18" s="12" customFormat="1">
      <c r="B3381" s="12" t="s">
        <v>117</v>
      </c>
      <c r="C3381" s="13" t="s">
        <v>969</v>
      </c>
      <c r="D3381" s="13" t="s">
        <v>968</v>
      </c>
      <c r="E3381" s="15"/>
      <c r="F3381" s="15">
        <f>SUM(F3382:F3383)</f>
        <v>3.4583333333333335</v>
      </c>
      <c r="G3381" s="14">
        <f>G3382</f>
        <v>44510</v>
      </c>
      <c r="M3381" s="13"/>
      <c r="N3381" s="13"/>
      <c r="O3381" s="13"/>
      <c r="P3381" s="13"/>
      <c r="Q3381" s="13"/>
      <c r="R3381" s="13"/>
    </row>
    <row r="3382" spans="2:18">
      <c r="C3382" s="2" t="s">
        <v>5</v>
      </c>
      <c r="D3382" s="2" t="s">
        <v>110</v>
      </c>
      <c r="E3382" s="3">
        <v>25</v>
      </c>
      <c r="F3382" s="3">
        <f>17/6</f>
        <v>2.8333333333333335</v>
      </c>
      <c r="G3382" s="4">
        <v>44510</v>
      </c>
    </row>
    <row r="3383" spans="2:18">
      <c r="C3383" s="2" t="s">
        <v>4</v>
      </c>
      <c r="D3383" s="2" t="s">
        <v>110</v>
      </c>
      <c r="E3383" s="3">
        <v>8</v>
      </c>
      <c r="F3383" s="3">
        <f t="shared" ref="F3383" si="1">5/8</f>
        <v>0.625</v>
      </c>
      <c r="G3383" s="4">
        <v>44063</v>
      </c>
    </row>
    <row r="3384" spans="2:18">
      <c r="G3384" s="4"/>
    </row>
    <row r="3385" spans="2:18" s="12" customFormat="1">
      <c r="B3385" s="12" t="s">
        <v>704</v>
      </c>
      <c r="C3385" s="13" t="s">
        <v>969</v>
      </c>
      <c r="D3385" s="13" t="s">
        <v>968</v>
      </c>
      <c r="E3385" s="15"/>
      <c r="F3385" s="15">
        <f>SUM(F3386:F3387)</f>
        <v>2.8</v>
      </c>
      <c r="G3385" s="14">
        <f>G3386</f>
        <v>44917</v>
      </c>
      <c r="M3385" s="13"/>
      <c r="N3385" s="13"/>
      <c r="O3385" s="13"/>
      <c r="P3385" s="13"/>
      <c r="Q3385" s="13"/>
      <c r="R3385" s="13"/>
    </row>
    <row r="3386" spans="2:18">
      <c r="C3386" s="2" t="s">
        <v>5</v>
      </c>
      <c r="D3386" s="2" t="s">
        <v>703</v>
      </c>
      <c r="E3386" s="3">
        <v>6</v>
      </c>
      <c r="F3386" s="3">
        <v>1</v>
      </c>
      <c r="G3386" s="4">
        <v>44917</v>
      </c>
    </row>
    <row r="3387" spans="2:18">
      <c r="C3387" s="2" t="s">
        <v>4</v>
      </c>
      <c r="D3387" s="2" t="s">
        <v>703</v>
      </c>
      <c r="E3387" s="3">
        <v>3.6</v>
      </c>
      <c r="F3387" s="3">
        <v>1.8</v>
      </c>
      <c r="G3387" s="4">
        <v>43361</v>
      </c>
    </row>
    <row r="3388" spans="2:18">
      <c r="G3388" s="4"/>
    </row>
    <row r="3389" spans="2:18" s="12" customFormat="1">
      <c r="B3389" s="12" t="s">
        <v>544</v>
      </c>
      <c r="C3389" s="13" t="s">
        <v>969</v>
      </c>
      <c r="D3389" s="13" t="s">
        <v>968</v>
      </c>
      <c r="E3389" s="15"/>
      <c r="F3389" s="15">
        <f>SUM(F3390:F3391)</f>
        <v>3.2</v>
      </c>
      <c r="G3389" s="14">
        <f>G3390</f>
        <v>44447</v>
      </c>
    </row>
    <row r="3390" spans="2:18">
      <c r="C3390" s="2" t="s">
        <v>5</v>
      </c>
      <c r="D3390" s="2" t="s">
        <v>542</v>
      </c>
      <c r="E3390" s="3">
        <v>14</v>
      </c>
      <c r="F3390" s="3">
        <f>8/5</f>
        <v>1.6</v>
      </c>
      <c r="G3390" s="4">
        <v>44447</v>
      </c>
      <c r="M3390" s="1"/>
      <c r="N3390" s="1"/>
      <c r="O3390" s="1"/>
      <c r="P3390" s="1"/>
      <c r="Q3390" s="1"/>
      <c r="R3390" s="1"/>
    </row>
    <row r="3391" spans="2:18">
      <c r="C3391" s="2" t="s">
        <v>5</v>
      </c>
      <c r="D3391" s="2" t="s">
        <v>542</v>
      </c>
      <c r="E3391" s="3">
        <v>12</v>
      </c>
      <c r="F3391" s="3">
        <f>8/5</f>
        <v>1.6</v>
      </c>
      <c r="G3391" s="4">
        <v>43532</v>
      </c>
      <c r="M3391" s="1"/>
      <c r="N3391" s="1"/>
      <c r="O3391" s="1"/>
      <c r="P3391" s="1"/>
      <c r="Q3391" s="1"/>
      <c r="R3391" s="1"/>
    </row>
    <row r="3392" spans="2:18">
      <c r="G3392" s="4"/>
      <c r="M3392" s="1"/>
      <c r="N3392" s="1"/>
      <c r="O3392" s="1"/>
      <c r="P3392" s="1"/>
      <c r="Q3392" s="1"/>
      <c r="R3392" s="1"/>
    </row>
    <row r="3393" spans="2:18" s="12" customFormat="1">
      <c r="B3393" s="12" t="s">
        <v>675</v>
      </c>
      <c r="C3393" s="13" t="s">
        <v>969</v>
      </c>
      <c r="D3393" s="13" t="s">
        <v>968</v>
      </c>
      <c r="E3393" s="15"/>
      <c r="F3393" s="15">
        <f>SUM(F3394:F3395)</f>
        <v>3</v>
      </c>
      <c r="G3393" s="14">
        <f>G3394</f>
        <v>44389</v>
      </c>
      <c r="M3393" s="13"/>
      <c r="N3393" s="13"/>
      <c r="O3393" s="13"/>
      <c r="P3393" s="13"/>
      <c r="Q3393" s="13"/>
      <c r="R3393" s="13"/>
    </row>
    <row r="3394" spans="2:18">
      <c r="C3394" s="2" t="s">
        <v>5</v>
      </c>
      <c r="D3394" s="2" t="s">
        <v>672</v>
      </c>
      <c r="E3394" s="3">
        <v>14.5</v>
      </c>
      <c r="F3394" s="3">
        <v>2.5</v>
      </c>
      <c r="G3394" s="4">
        <v>44389</v>
      </c>
      <c r="M3394" s="1"/>
      <c r="N3394" s="1"/>
      <c r="O3394" s="1"/>
      <c r="P3394" s="1"/>
      <c r="Q3394" s="1"/>
      <c r="R3394" s="1"/>
    </row>
    <row r="3395" spans="2:18">
      <c r="C3395" s="2" t="s">
        <v>4</v>
      </c>
      <c r="D3395" s="2" t="s">
        <v>672</v>
      </c>
      <c r="E3395" s="3">
        <v>3</v>
      </c>
      <c r="F3395" s="3">
        <v>0.5</v>
      </c>
      <c r="G3395" s="4">
        <v>43993</v>
      </c>
      <c r="M3395" s="1"/>
      <c r="N3395" s="1"/>
      <c r="O3395" s="1"/>
      <c r="P3395" s="1"/>
      <c r="Q3395" s="1"/>
      <c r="R3395" s="1"/>
    </row>
    <row r="3396" spans="2:18">
      <c r="G3396" s="4"/>
      <c r="M3396" s="1"/>
      <c r="N3396" s="1"/>
      <c r="O3396" s="1"/>
      <c r="P3396" s="1"/>
      <c r="Q3396" s="1"/>
      <c r="R3396" s="1"/>
    </row>
    <row r="3397" spans="2:18" s="12" customFormat="1">
      <c r="B3397" s="12" t="s">
        <v>6658</v>
      </c>
      <c r="C3397" s="13" t="s">
        <v>969</v>
      </c>
      <c r="D3397" s="13" t="s">
        <v>968</v>
      </c>
      <c r="E3397" s="15"/>
      <c r="F3397" s="15">
        <f>SUM(F3398:F3399)</f>
        <v>3</v>
      </c>
      <c r="G3397" s="14">
        <f>G3398</f>
        <v>44825</v>
      </c>
      <c r="M3397" s="13"/>
      <c r="N3397" s="13"/>
      <c r="O3397" s="13"/>
      <c r="P3397" s="13"/>
      <c r="Q3397" s="13"/>
      <c r="R3397" s="13"/>
    </row>
    <row r="3398" spans="2:18">
      <c r="B3398" s="173"/>
      <c r="C3398" s="174" t="s">
        <v>7</v>
      </c>
      <c r="D3398" s="174" t="s">
        <v>2030</v>
      </c>
      <c r="E3398" s="3">
        <v>16</v>
      </c>
      <c r="F3398" s="3">
        <v>2</v>
      </c>
      <c r="G3398" s="4">
        <v>44825</v>
      </c>
    </row>
    <row r="3399" spans="2:18">
      <c r="B3399" s="173"/>
      <c r="C3399" s="177" t="s">
        <v>5</v>
      </c>
      <c r="D3399" s="174" t="s">
        <v>2030</v>
      </c>
      <c r="E3399" s="3">
        <v>9.3000000000000007</v>
      </c>
      <c r="F3399" s="178">
        <v>1</v>
      </c>
      <c r="G3399" s="4">
        <v>44229</v>
      </c>
    </row>
    <row r="3400" spans="2:18">
      <c r="B3400" s="173"/>
      <c r="C3400" s="177"/>
      <c r="D3400" s="174"/>
      <c r="F3400" s="178"/>
      <c r="G3400" s="4"/>
    </row>
    <row r="3401" spans="2:18" s="12" customFormat="1">
      <c r="B3401" s="12" t="s">
        <v>733</v>
      </c>
      <c r="C3401" s="13" t="s">
        <v>969</v>
      </c>
      <c r="D3401" s="13" t="s">
        <v>968</v>
      </c>
      <c r="E3401" s="15"/>
      <c r="F3401" s="15">
        <f>SUM(F3402:F3403)</f>
        <v>3.0714285714285716</v>
      </c>
      <c r="G3401" s="14">
        <f>G3402</f>
        <v>44757</v>
      </c>
    </row>
    <row r="3402" spans="2:18">
      <c r="C3402" s="2" t="s">
        <v>5</v>
      </c>
      <c r="D3402" s="2" t="s">
        <v>730</v>
      </c>
      <c r="E3402" s="3">
        <v>25</v>
      </c>
      <c r="F3402" s="3">
        <f>18/7</f>
        <v>2.5714285714285716</v>
      </c>
      <c r="G3402" s="4">
        <v>44757</v>
      </c>
    </row>
    <row r="3403" spans="2:18">
      <c r="C3403" s="2" t="s">
        <v>4</v>
      </c>
      <c r="D3403" s="2" t="s">
        <v>730</v>
      </c>
      <c r="E3403" s="3">
        <v>4</v>
      </c>
      <c r="F3403" s="3">
        <v>0.5</v>
      </c>
      <c r="G3403" s="4">
        <v>44340</v>
      </c>
    </row>
    <row r="3405" spans="2:18" s="12" customFormat="1">
      <c r="B3405" s="12" t="s">
        <v>673</v>
      </c>
      <c r="C3405" s="13" t="s">
        <v>969</v>
      </c>
      <c r="D3405" s="13" t="s">
        <v>968</v>
      </c>
      <c r="E3405" s="15"/>
      <c r="F3405" s="15">
        <f>SUM(F3406:F3408)</f>
        <v>3.3</v>
      </c>
      <c r="G3405" s="14">
        <f>G3406</f>
        <v>44389</v>
      </c>
      <c r="M3405" s="13"/>
      <c r="N3405" s="13"/>
      <c r="O3405" s="13"/>
      <c r="P3405" s="13"/>
      <c r="Q3405" s="13"/>
      <c r="R3405" s="13"/>
    </row>
    <row r="3406" spans="2:18">
      <c r="C3406" s="2" t="s">
        <v>5</v>
      </c>
      <c r="D3406" s="2" t="s">
        <v>672</v>
      </c>
      <c r="E3406" s="3">
        <v>14.5</v>
      </c>
      <c r="F3406" s="3">
        <v>2.5</v>
      </c>
      <c r="G3406" s="4">
        <v>44389</v>
      </c>
      <c r="M3406" s="1"/>
      <c r="N3406" s="1"/>
      <c r="O3406" s="1"/>
      <c r="P3406" s="1"/>
      <c r="Q3406" s="1"/>
      <c r="R3406" s="1"/>
    </row>
    <row r="3407" spans="2:18">
      <c r="C3407" s="2" t="s">
        <v>4</v>
      </c>
      <c r="D3407" s="2" t="s">
        <v>672</v>
      </c>
      <c r="E3407" s="3">
        <v>3</v>
      </c>
      <c r="F3407" s="3">
        <v>0.5</v>
      </c>
      <c r="G3407" s="4">
        <v>43993</v>
      </c>
      <c r="M3407" s="1"/>
      <c r="N3407" s="1"/>
      <c r="O3407" s="1"/>
      <c r="P3407" s="1"/>
      <c r="Q3407" s="1"/>
      <c r="R3407" s="1"/>
    </row>
    <row r="3408" spans="2:18">
      <c r="C3408" s="140" t="s">
        <v>4</v>
      </c>
      <c r="D3408" s="140" t="s">
        <v>2057</v>
      </c>
      <c r="E3408" s="3">
        <v>2.2999999999999998</v>
      </c>
      <c r="F3408" s="3">
        <v>0.3</v>
      </c>
      <c r="G3408" s="4">
        <v>43195</v>
      </c>
      <c r="M3408" s="1"/>
      <c r="N3408" s="1"/>
      <c r="O3408" s="1"/>
      <c r="P3408" s="1"/>
      <c r="Q3408" s="1"/>
      <c r="R3408" s="1"/>
    </row>
    <row r="3409" spans="2:18">
      <c r="G3409" s="4"/>
      <c r="M3409" s="1"/>
      <c r="N3409" s="1"/>
      <c r="O3409" s="1"/>
      <c r="P3409" s="1"/>
      <c r="Q3409" s="1"/>
      <c r="R3409" s="1"/>
    </row>
    <row r="3410" spans="2:18" s="12" customFormat="1">
      <c r="B3410" s="12" t="s">
        <v>639</v>
      </c>
      <c r="C3410" s="13" t="s">
        <v>969</v>
      </c>
      <c r="D3410" s="13" t="s">
        <v>968</v>
      </c>
      <c r="E3410" s="15"/>
      <c r="F3410" s="15">
        <f>SUM(F3411:F3416)</f>
        <v>2.52</v>
      </c>
      <c r="G3410" s="14">
        <f>G3415</f>
        <v>44152</v>
      </c>
    </row>
    <row r="3411" spans="2:18">
      <c r="C3411" s="2" t="s">
        <v>278</v>
      </c>
      <c r="D3411" s="2" t="s">
        <v>638</v>
      </c>
      <c r="E3411" s="3">
        <v>0.1</v>
      </c>
      <c r="F3411" s="3">
        <v>0.1</v>
      </c>
      <c r="G3411" s="4">
        <v>43499</v>
      </c>
      <c r="M3411" s="1"/>
      <c r="N3411" s="1"/>
      <c r="O3411" s="1"/>
      <c r="P3411" s="1"/>
      <c r="Q3411" s="1"/>
      <c r="R3411" s="1"/>
    </row>
    <row r="3412" spans="2:18">
      <c r="C3412" s="2" t="s">
        <v>278</v>
      </c>
      <c r="D3412" s="2" t="s">
        <v>637</v>
      </c>
      <c r="E3412" s="3">
        <v>0.12</v>
      </c>
      <c r="F3412" s="3">
        <v>0.12</v>
      </c>
      <c r="G3412" s="4">
        <v>44082</v>
      </c>
      <c r="M3412" s="1"/>
      <c r="N3412" s="1"/>
      <c r="O3412" s="1"/>
      <c r="P3412" s="1"/>
      <c r="Q3412" s="1"/>
      <c r="R3412" s="1"/>
    </row>
    <row r="3413" spans="2:18">
      <c r="C3413" s="2" t="s">
        <v>278</v>
      </c>
      <c r="D3413" s="2" t="s">
        <v>341</v>
      </c>
      <c r="G3413" s="4"/>
      <c r="M3413" s="1"/>
      <c r="N3413" s="1"/>
      <c r="O3413" s="1"/>
      <c r="P3413" s="1"/>
      <c r="Q3413" s="1"/>
      <c r="R3413" s="1"/>
    </row>
    <row r="3414" spans="2:18">
      <c r="C3414" s="140" t="s">
        <v>4</v>
      </c>
      <c r="D3414" s="140" t="s">
        <v>2057</v>
      </c>
      <c r="E3414" s="3">
        <v>2.2999999999999998</v>
      </c>
      <c r="F3414" s="3">
        <v>0.3</v>
      </c>
      <c r="G3414" s="4">
        <v>43195</v>
      </c>
      <c r="M3414" s="1"/>
      <c r="N3414" s="1"/>
      <c r="O3414" s="1"/>
      <c r="P3414" s="1"/>
      <c r="Q3414" s="1"/>
      <c r="R3414" s="1"/>
    </row>
    <row r="3415" spans="2:18">
      <c r="C3415" s="241" t="s">
        <v>5</v>
      </c>
      <c r="D3415" s="241" t="s">
        <v>2012</v>
      </c>
      <c r="E3415" s="3">
        <v>9</v>
      </c>
      <c r="F3415" s="3">
        <v>1</v>
      </c>
      <c r="G3415" s="4">
        <v>44152</v>
      </c>
      <c r="M3415" s="1"/>
      <c r="N3415" s="1"/>
      <c r="O3415" s="1"/>
      <c r="P3415" s="1"/>
      <c r="Q3415" s="1"/>
      <c r="R3415" s="1"/>
    </row>
    <row r="3416" spans="2:18">
      <c r="C3416" s="241" t="s">
        <v>4</v>
      </c>
      <c r="D3416" s="241" t="s">
        <v>2012</v>
      </c>
      <c r="E3416" s="3">
        <v>4</v>
      </c>
      <c r="F3416" s="3">
        <v>1</v>
      </c>
      <c r="G3416" s="4">
        <v>43481</v>
      </c>
      <c r="M3416" s="1"/>
      <c r="N3416" s="1"/>
      <c r="O3416" s="1"/>
      <c r="P3416" s="1"/>
      <c r="Q3416" s="1"/>
      <c r="R3416" s="1"/>
    </row>
    <row r="3417" spans="2:18">
      <c r="G3417" s="4"/>
      <c r="M3417" s="1"/>
      <c r="N3417" s="1"/>
      <c r="O3417" s="1"/>
      <c r="P3417" s="1"/>
      <c r="Q3417" s="1"/>
      <c r="R3417" s="1"/>
    </row>
    <row r="3418" spans="2:18" s="12" customFormat="1">
      <c r="B3418" s="12" t="s">
        <v>353</v>
      </c>
      <c r="C3418" s="13" t="s">
        <v>969</v>
      </c>
      <c r="D3418" s="13" t="s">
        <v>968</v>
      </c>
      <c r="E3418" s="15"/>
      <c r="F3418" s="15">
        <f>SUM(F3419:F3420)</f>
        <v>3</v>
      </c>
      <c r="G3418" s="14">
        <f>G3419</f>
        <v>44861</v>
      </c>
    </row>
    <row r="3419" spans="2:18">
      <c r="C3419" s="2" t="s">
        <v>7</v>
      </c>
      <c r="D3419" s="2" t="s">
        <v>351</v>
      </c>
      <c r="E3419" s="3">
        <v>22</v>
      </c>
      <c r="F3419" s="3">
        <v>2</v>
      </c>
      <c r="G3419" s="4">
        <v>44861</v>
      </c>
      <c r="M3419" s="1"/>
      <c r="N3419" s="1"/>
      <c r="O3419" s="1"/>
      <c r="P3419" s="1"/>
      <c r="Q3419" s="1"/>
      <c r="R3419" s="1"/>
    </row>
    <row r="3420" spans="2:18">
      <c r="C3420" s="2" t="s">
        <v>5</v>
      </c>
      <c r="D3420" s="2" t="s">
        <v>351</v>
      </c>
      <c r="E3420" s="3">
        <v>15</v>
      </c>
      <c r="F3420" s="3">
        <v>1</v>
      </c>
      <c r="G3420" s="4">
        <v>44487</v>
      </c>
      <c r="M3420" s="1"/>
      <c r="N3420" s="1"/>
      <c r="O3420" s="1"/>
      <c r="P3420" s="1"/>
      <c r="Q3420" s="1"/>
      <c r="R3420" s="1"/>
    </row>
    <row r="3421" spans="2:18">
      <c r="G3421" s="4"/>
      <c r="M3421" s="1"/>
      <c r="N3421" s="1"/>
      <c r="O3421" s="1"/>
      <c r="P3421" s="1"/>
      <c r="Q3421" s="1"/>
      <c r="R3421" s="1"/>
    </row>
    <row r="3422" spans="2:18" s="12" customFormat="1">
      <c r="B3422" s="12" t="s">
        <v>732</v>
      </c>
      <c r="C3422" s="13" t="s">
        <v>969</v>
      </c>
      <c r="D3422" s="13" t="s">
        <v>968</v>
      </c>
      <c r="E3422" s="15"/>
      <c r="F3422" s="15">
        <f>SUM(F3423:F3424)</f>
        <v>3.0714285714285716</v>
      </c>
      <c r="G3422" s="14">
        <f>G3423</f>
        <v>44757</v>
      </c>
    </row>
    <row r="3423" spans="2:18">
      <c r="C3423" s="2" t="s">
        <v>5</v>
      </c>
      <c r="D3423" s="2" t="s">
        <v>730</v>
      </c>
      <c r="E3423" s="3">
        <v>25</v>
      </c>
      <c r="F3423" s="3">
        <f>18/7</f>
        <v>2.5714285714285716</v>
      </c>
      <c r="G3423" s="4">
        <v>44757</v>
      </c>
    </row>
    <row r="3424" spans="2:18">
      <c r="C3424" s="2" t="s">
        <v>4</v>
      </c>
      <c r="D3424" s="2" t="s">
        <v>730</v>
      </c>
      <c r="E3424" s="3">
        <v>4</v>
      </c>
      <c r="F3424" s="3">
        <v>0.5</v>
      </c>
      <c r="G3424" s="4">
        <v>44340</v>
      </c>
    </row>
    <row r="3425" spans="2:18">
      <c r="G3425" s="4"/>
    </row>
    <row r="3426" spans="2:18" s="12" customFormat="1">
      <c r="B3426" s="12" t="s">
        <v>726</v>
      </c>
      <c r="C3426" s="13" t="s">
        <v>969</v>
      </c>
      <c r="D3426" s="13" t="s">
        <v>968</v>
      </c>
      <c r="E3426" s="15"/>
      <c r="F3426" s="15">
        <f>SUM(F3427:F3428)</f>
        <v>2.6666666666666665</v>
      </c>
      <c r="G3426" s="14">
        <f>G3427</f>
        <v>44676</v>
      </c>
      <c r="M3426" s="13"/>
      <c r="N3426" s="13"/>
      <c r="O3426" s="13"/>
      <c r="P3426" s="13"/>
      <c r="Q3426" s="13"/>
      <c r="R3426" s="13"/>
    </row>
    <row r="3427" spans="2:18">
      <c r="C3427" s="2" t="s">
        <v>5</v>
      </c>
      <c r="D3427" s="2" t="s">
        <v>725</v>
      </c>
      <c r="E3427" s="3">
        <v>20</v>
      </c>
      <c r="F3427" s="3">
        <f>13/6</f>
        <v>2.1666666666666665</v>
      </c>
      <c r="G3427" s="4">
        <v>44676</v>
      </c>
    </row>
    <row r="3428" spans="2:18">
      <c r="C3428" s="2" t="s">
        <v>4</v>
      </c>
      <c r="D3428" s="2" t="s">
        <v>725</v>
      </c>
      <c r="E3428" s="3">
        <v>5</v>
      </c>
      <c r="F3428" s="3">
        <v>0.5</v>
      </c>
      <c r="G3428" s="4">
        <v>44060</v>
      </c>
    </row>
    <row r="3429" spans="2:18">
      <c r="G3429" s="4"/>
    </row>
    <row r="3430" spans="2:18" s="12" customFormat="1">
      <c r="B3430" s="12" t="s">
        <v>6</v>
      </c>
      <c r="C3430" s="13" t="s">
        <v>969</v>
      </c>
      <c r="D3430" s="13" t="s">
        <v>968</v>
      </c>
      <c r="E3430" s="15"/>
      <c r="F3430" s="15">
        <f>SUM(F3431:F3432)</f>
        <v>2.6666666666666665</v>
      </c>
      <c r="G3430" s="14">
        <f>G3431</f>
        <v>42828</v>
      </c>
      <c r="M3430" s="13"/>
      <c r="N3430" s="13"/>
      <c r="O3430" s="13"/>
      <c r="P3430" s="13"/>
      <c r="Q3430" s="13"/>
      <c r="R3430" s="13"/>
    </row>
    <row r="3431" spans="2:18">
      <c r="C3431" s="2" t="s">
        <v>5</v>
      </c>
      <c r="D3431" s="2" t="s">
        <v>3</v>
      </c>
      <c r="E3431" s="3">
        <v>10.5</v>
      </c>
      <c r="F3431" s="3">
        <v>2</v>
      </c>
      <c r="G3431" s="4">
        <v>42828</v>
      </c>
      <c r="J3431" s="1">
        <v>2200</v>
      </c>
    </row>
    <row r="3432" spans="2:18">
      <c r="C3432" s="2" t="s">
        <v>4</v>
      </c>
      <c r="D3432" s="2" t="s">
        <v>3</v>
      </c>
      <c r="E3432" s="3">
        <v>2</v>
      </c>
      <c r="F3432" s="3">
        <f>+E3432/3</f>
        <v>0.66666666666666663</v>
      </c>
      <c r="G3432" s="4">
        <v>42521</v>
      </c>
      <c r="J3432" s="1">
        <v>2200</v>
      </c>
    </row>
    <row r="3433" spans="2:18">
      <c r="G3433" s="4"/>
    </row>
    <row r="3434" spans="2:18" s="12" customFormat="1">
      <c r="B3434" s="12" t="s">
        <v>972</v>
      </c>
      <c r="C3434" s="13" t="s">
        <v>969</v>
      </c>
      <c r="D3434" s="13" t="s">
        <v>968</v>
      </c>
      <c r="E3434" s="15"/>
      <c r="F3434" s="15">
        <f>SUM(F3435:F3436)</f>
        <v>2.7142857142857144</v>
      </c>
      <c r="G3434" s="14">
        <f>G3435</f>
        <v>43816</v>
      </c>
      <c r="M3434" s="13"/>
      <c r="N3434" s="13"/>
      <c r="O3434" s="13"/>
      <c r="P3434" s="13"/>
      <c r="Q3434" s="13"/>
      <c r="R3434" s="13"/>
    </row>
    <row r="3435" spans="2:18">
      <c r="C3435" s="2" t="s">
        <v>5</v>
      </c>
      <c r="D3435" s="2" t="s">
        <v>832</v>
      </c>
      <c r="E3435" s="3">
        <v>20</v>
      </c>
      <c r="F3435" s="3">
        <f>12/6</f>
        <v>2</v>
      </c>
      <c r="G3435" s="4">
        <v>43816</v>
      </c>
    </row>
    <row r="3436" spans="2:18">
      <c r="C3436" s="2" t="s">
        <v>4</v>
      </c>
      <c r="D3436" s="2" t="s">
        <v>424</v>
      </c>
      <c r="E3436" s="3">
        <v>7</v>
      </c>
      <c r="F3436" s="3">
        <v>0.7142857142857143</v>
      </c>
      <c r="G3436" s="4">
        <v>43046</v>
      </c>
    </row>
    <row r="3437" spans="2:18">
      <c r="G3437" s="4"/>
    </row>
    <row r="3438" spans="2:18" s="12" customFormat="1">
      <c r="B3438" s="12" t="s">
        <v>90</v>
      </c>
      <c r="C3438" s="13" t="s">
        <v>969</v>
      </c>
      <c r="D3438" s="13" t="s">
        <v>968</v>
      </c>
      <c r="E3438" s="15"/>
      <c r="F3438" s="15">
        <f>SUM(F3439:F3440)</f>
        <v>2.2380952380952381</v>
      </c>
      <c r="G3438" s="14">
        <f>G3439</f>
        <v>43978</v>
      </c>
      <c r="M3438" s="13"/>
      <c r="N3438" s="13"/>
      <c r="O3438" s="13"/>
      <c r="P3438" s="13"/>
      <c r="Q3438" s="13"/>
      <c r="R3438" s="13"/>
    </row>
    <row r="3439" spans="2:18">
      <c r="C3439" s="2" t="s">
        <v>5</v>
      </c>
      <c r="D3439" s="2" t="s">
        <v>87</v>
      </c>
      <c r="E3439" s="3">
        <v>13.5</v>
      </c>
      <c r="F3439" s="3">
        <f>10/6</f>
        <v>1.6666666666666667</v>
      </c>
      <c r="G3439" s="4">
        <v>43978</v>
      </c>
    </row>
    <row r="3440" spans="2:18">
      <c r="C3440" s="2" t="s">
        <v>4</v>
      </c>
      <c r="D3440" s="2" t="s">
        <v>87</v>
      </c>
      <c r="E3440" s="3">
        <v>5.3</v>
      </c>
      <c r="F3440" s="3">
        <f>4/7</f>
        <v>0.5714285714285714</v>
      </c>
      <c r="G3440" s="4">
        <v>43398</v>
      </c>
    </row>
    <row r="3441" spans="2:18">
      <c r="G3441" s="4"/>
    </row>
    <row r="3442" spans="2:18" s="12" customFormat="1">
      <c r="B3442" s="12" t="s">
        <v>6389</v>
      </c>
      <c r="C3442" s="13" t="s">
        <v>969</v>
      </c>
      <c r="D3442" s="13" t="s">
        <v>968</v>
      </c>
      <c r="E3442" s="15"/>
      <c r="F3442" s="15">
        <f>SUM(F3443:F3444)</f>
        <v>1.8599999999999999</v>
      </c>
      <c r="G3442" s="14">
        <f>G3443</f>
        <v>43445</v>
      </c>
      <c r="M3442" s="13"/>
      <c r="N3442" s="13"/>
      <c r="O3442" s="13"/>
      <c r="P3442" s="13"/>
      <c r="Q3442" s="13"/>
      <c r="R3442" s="13"/>
    </row>
    <row r="3443" spans="2:18">
      <c r="B3443" s="152"/>
      <c r="C3443" s="2" t="s">
        <v>5</v>
      </c>
      <c r="D3443" s="2" t="s">
        <v>2039</v>
      </c>
      <c r="E3443" s="3">
        <v>18</v>
      </c>
      <c r="F3443" s="3">
        <v>1</v>
      </c>
      <c r="G3443" s="4">
        <v>43445</v>
      </c>
    </row>
    <row r="3444" spans="2:18">
      <c r="B3444" s="152"/>
      <c r="C3444" s="153" t="s">
        <v>4</v>
      </c>
      <c r="D3444" s="2" t="s">
        <v>2039</v>
      </c>
      <c r="E3444" s="3">
        <v>4.3</v>
      </c>
      <c r="F3444" s="3">
        <f>E3444/5</f>
        <v>0.86</v>
      </c>
      <c r="G3444" s="4">
        <v>43157</v>
      </c>
    </row>
    <row r="3445" spans="2:18">
      <c r="B3445" s="152"/>
      <c r="G3445" s="4"/>
    </row>
    <row r="3446" spans="2:18" s="12" customFormat="1">
      <c r="B3446" s="12" t="s">
        <v>91</v>
      </c>
      <c r="C3446" s="13" t="s">
        <v>969</v>
      </c>
      <c r="D3446" s="13" t="s">
        <v>968</v>
      </c>
      <c r="E3446" s="15"/>
      <c r="F3446" s="15">
        <f>SUM(F3447:F3448)</f>
        <v>2.2380952380952381</v>
      </c>
      <c r="G3446" s="14">
        <f>G3447</f>
        <v>43978</v>
      </c>
      <c r="M3446" s="13"/>
      <c r="N3446" s="13"/>
      <c r="O3446" s="13"/>
      <c r="P3446" s="13"/>
      <c r="Q3446" s="13"/>
      <c r="R3446" s="13"/>
    </row>
    <row r="3447" spans="2:18">
      <c r="C3447" s="2" t="s">
        <v>5</v>
      </c>
      <c r="D3447" s="2" t="s">
        <v>87</v>
      </c>
      <c r="E3447" s="3">
        <v>13.5</v>
      </c>
      <c r="F3447" s="3">
        <f>10/6</f>
        <v>1.6666666666666667</v>
      </c>
      <c r="G3447" s="4">
        <v>43978</v>
      </c>
    </row>
    <row r="3448" spans="2:18">
      <c r="C3448" s="2" t="s">
        <v>4</v>
      </c>
      <c r="D3448" s="2" t="s">
        <v>87</v>
      </c>
      <c r="E3448" s="3">
        <v>5.3</v>
      </c>
      <c r="F3448" s="3">
        <f>4/7</f>
        <v>0.5714285714285714</v>
      </c>
      <c r="G3448" s="4">
        <v>43398</v>
      </c>
    </row>
    <row r="3449" spans="2:18">
      <c r="G3449" s="4"/>
    </row>
    <row r="3450" spans="2:18" s="12" customFormat="1">
      <c r="B3450" s="12" t="s">
        <v>263</v>
      </c>
      <c r="C3450" s="13" t="s">
        <v>969</v>
      </c>
      <c r="D3450" s="13" t="s">
        <v>968</v>
      </c>
      <c r="E3450" s="15"/>
      <c r="F3450" s="15">
        <f>SUM(F3451:F3452)</f>
        <v>2.0555555555555558</v>
      </c>
      <c r="G3450" s="14">
        <f>G3451</f>
        <v>43690</v>
      </c>
      <c r="M3450" s="13"/>
      <c r="N3450" s="13"/>
      <c r="O3450" s="13"/>
      <c r="P3450" s="13"/>
      <c r="Q3450" s="13"/>
      <c r="R3450" s="13"/>
    </row>
    <row r="3451" spans="2:18">
      <c r="C3451" s="2" t="s">
        <v>5</v>
      </c>
      <c r="D3451" s="2" t="s">
        <v>258</v>
      </c>
      <c r="E3451" s="3">
        <v>14</v>
      </c>
      <c r="F3451" s="3">
        <v>1.6666666666666667</v>
      </c>
      <c r="G3451" s="4">
        <v>43690</v>
      </c>
    </row>
    <row r="3452" spans="2:18">
      <c r="C3452" s="2" t="s">
        <v>4</v>
      </c>
      <c r="D3452" s="2" t="s">
        <v>258</v>
      </c>
      <c r="E3452" s="3">
        <v>3.5</v>
      </c>
      <c r="F3452" s="3">
        <f>+E3452/9</f>
        <v>0.3888888888888889</v>
      </c>
      <c r="G3452" s="4">
        <v>42979</v>
      </c>
    </row>
    <row r="3453" spans="2:18">
      <c r="G3453" s="4"/>
    </row>
    <row r="3454" spans="2:18" s="12" customFormat="1">
      <c r="B3454" s="12" t="s">
        <v>713</v>
      </c>
      <c r="C3454" s="13" t="s">
        <v>969</v>
      </c>
      <c r="D3454" s="13" t="s">
        <v>968</v>
      </c>
      <c r="E3454" s="15"/>
      <c r="F3454" s="15">
        <f>SUM(F3455:F3456)</f>
        <v>2</v>
      </c>
      <c r="G3454" s="14">
        <f>G3455</f>
        <v>44679</v>
      </c>
      <c r="M3454" s="13"/>
      <c r="N3454" s="13"/>
      <c r="O3454" s="13"/>
      <c r="P3454" s="13"/>
      <c r="Q3454" s="13"/>
      <c r="R3454" s="13"/>
    </row>
    <row r="3455" spans="2:18">
      <c r="C3455" s="2" t="s">
        <v>5</v>
      </c>
      <c r="D3455" s="2" t="s">
        <v>663</v>
      </c>
      <c r="E3455" s="3">
        <v>17</v>
      </c>
      <c r="F3455" s="3">
        <v>1.5</v>
      </c>
      <c r="G3455" s="4">
        <v>44679</v>
      </c>
    </row>
    <row r="3456" spans="2:18">
      <c r="C3456" s="2" t="s">
        <v>4</v>
      </c>
      <c r="D3456" s="2" t="s">
        <v>663</v>
      </c>
      <c r="E3456" s="3">
        <v>4.5</v>
      </c>
      <c r="F3456" s="3">
        <v>0.5</v>
      </c>
      <c r="G3456" s="4">
        <v>44415</v>
      </c>
    </row>
    <row r="3457" spans="2:18">
      <c r="G3457" s="4"/>
    </row>
    <row r="3458" spans="2:18" s="12" customFormat="1">
      <c r="B3458" s="12" t="s">
        <v>6206</v>
      </c>
      <c r="C3458" s="13" t="s">
        <v>969</v>
      </c>
      <c r="D3458" s="13" t="s">
        <v>968</v>
      </c>
      <c r="E3458" s="15"/>
      <c r="F3458" s="15">
        <f>SUM(F3459:F3460)</f>
        <v>1.8</v>
      </c>
      <c r="G3458" s="14">
        <f>G3459</f>
        <v>43943</v>
      </c>
      <c r="M3458" s="13"/>
      <c r="N3458" s="13"/>
      <c r="O3458" s="13"/>
      <c r="P3458" s="13"/>
      <c r="Q3458" s="13"/>
      <c r="R3458" s="13"/>
    </row>
    <row r="3459" spans="2:18">
      <c r="B3459" s="134"/>
      <c r="C3459" s="140" t="s">
        <v>4</v>
      </c>
      <c r="D3459" s="140" t="s">
        <v>2057</v>
      </c>
      <c r="E3459" s="3">
        <v>4.5</v>
      </c>
      <c r="F3459" s="3">
        <v>1.5</v>
      </c>
      <c r="G3459" s="4">
        <v>43943</v>
      </c>
    </row>
    <row r="3460" spans="2:18">
      <c r="B3460" s="134"/>
      <c r="C3460" s="140" t="s">
        <v>4</v>
      </c>
      <c r="D3460" s="140" t="s">
        <v>2057</v>
      </c>
      <c r="E3460" s="3">
        <v>2.2999999999999998</v>
      </c>
      <c r="F3460" s="3">
        <v>0.3</v>
      </c>
      <c r="G3460" s="4">
        <v>43195</v>
      </c>
    </row>
    <row r="3461" spans="2:18">
      <c r="B3461" s="134"/>
      <c r="C3461" s="140"/>
      <c r="D3461" s="140"/>
      <c r="G3461" s="4"/>
    </row>
    <row r="3462" spans="2:18" s="12" customFormat="1">
      <c r="B3462" s="12" t="s">
        <v>600</v>
      </c>
      <c r="C3462" s="13" t="s">
        <v>969</v>
      </c>
      <c r="D3462" s="13" t="s">
        <v>968</v>
      </c>
      <c r="E3462" s="15"/>
      <c r="F3462" s="15">
        <f>SUM(F3463:F3464)</f>
        <v>1.5</v>
      </c>
      <c r="G3462" s="14">
        <f>G3464</f>
        <v>43335</v>
      </c>
    </row>
    <row r="3463" spans="2:18">
      <c r="C3463" s="2" t="s">
        <v>5</v>
      </c>
      <c r="D3463" s="2" t="s">
        <v>599</v>
      </c>
      <c r="E3463" s="3">
        <v>8</v>
      </c>
      <c r="F3463" s="3">
        <v>1</v>
      </c>
      <c r="G3463" s="4">
        <v>43249</v>
      </c>
      <c r="M3463" s="1"/>
      <c r="N3463" s="1"/>
      <c r="O3463" s="1"/>
      <c r="P3463" s="1"/>
      <c r="Q3463" s="1"/>
      <c r="R3463" s="1"/>
    </row>
    <row r="3464" spans="2:18">
      <c r="C3464" s="140" t="s">
        <v>4</v>
      </c>
      <c r="D3464" s="140" t="s">
        <v>6301</v>
      </c>
      <c r="E3464" s="3">
        <v>5</v>
      </c>
      <c r="F3464" s="3">
        <v>0.5</v>
      </c>
      <c r="G3464" s="4">
        <v>43335</v>
      </c>
      <c r="M3464" s="1"/>
      <c r="N3464" s="1"/>
      <c r="O3464" s="1"/>
      <c r="P3464" s="1"/>
      <c r="Q3464" s="1"/>
      <c r="R3464" s="1"/>
    </row>
    <row r="3465" spans="2:18">
      <c r="C3465" s="140"/>
      <c r="D3465" s="140"/>
      <c r="G3465" s="4"/>
      <c r="M3465" s="1"/>
      <c r="N3465" s="1"/>
      <c r="O3465" s="1"/>
      <c r="P3465" s="1"/>
      <c r="Q3465" s="1"/>
      <c r="R3465" s="1"/>
    </row>
    <row r="3466" spans="2:18" s="12" customFormat="1">
      <c r="B3466" s="12" t="s">
        <v>440</v>
      </c>
      <c r="C3466" s="13" t="s">
        <v>969</v>
      </c>
      <c r="D3466" s="13" t="s">
        <v>968</v>
      </c>
      <c r="E3466" s="15"/>
      <c r="F3466" s="15">
        <f>SUM(F3467:F3468)</f>
        <v>1.6</v>
      </c>
      <c r="G3466" s="14">
        <f>G3467</f>
        <v>44602</v>
      </c>
    </row>
    <row r="3467" spans="2:18">
      <c r="C3467" s="2" t="s">
        <v>4</v>
      </c>
      <c r="D3467" s="2" t="s">
        <v>439</v>
      </c>
      <c r="E3467" s="3">
        <v>7</v>
      </c>
      <c r="F3467" s="3">
        <v>0.5</v>
      </c>
      <c r="G3467" s="4">
        <v>44602</v>
      </c>
      <c r="M3467" s="1"/>
      <c r="N3467" s="1"/>
      <c r="O3467" s="1"/>
      <c r="P3467" s="1"/>
      <c r="Q3467" s="1"/>
      <c r="R3467" s="1"/>
    </row>
    <row r="3468" spans="2:18">
      <c r="C3468" s="2" t="s">
        <v>278</v>
      </c>
      <c r="D3468" s="2" t="s">
        <v>439</v>
      </c>
      <c r="E3468" s="3">
        <v>1.1000000000000001</v>
      </c>
      <c r="F3468" s="3">
        <v>1.1000000000000001</v>
      </c>
      <c r="G3468" s="4">
        <v>44061</v>
      </c>
      <c r="M3468" s="1"/>
      <c r="N3468" s="1"/>
      <c r="O3468" s="1"/>
      <c r="P3468" s="1"/>
      <c r="Q3468" s="1"/>
      <c r="R3468" s="1"/>
    </row>
    <row r="3469" spans="2:18">
      <c r="G3469" s="4"/>
      <c r="M3469" s="1"/>
      <c r="N3469" s="1"/>
      <c r="O3469" s="1"/>
      <c r="P3469" s="1"/>
      <c r="Q3469" s="1"/>
      <c r="R3469" s="1"/>
    </row>
    <row r="3470" spans="2:18" s="12" customFormat="1">
      <c r="B3470" s="12" t="s">
        <v>577</v>
      </c>
      <c r="C3470" s="13" t="s">
        <v>969</v>
      </c>
      <c r="D3470" s="13" t="s">
        <v>968</v>
      </c>
      <c r="E3470" s="15"/>
      <c r="F3470" s="15">
        <f>SUM(F3471:F3472)</f>
        <v>1.5</v>
      </c>
      <c r="G3470" s="14">
        <f>G3472</f>
        <v>45037</v>
      </c>
    </row>
    <row r="3471" spans="2:18">
      <c r="C3471" s="2" t="s">
        <v>4</v>
      </c>
      <c r="D3471" s="2" t="s">
        <v>573</v>
      </c>
      <c r="E3471" s="3">
        <v>10</v>
      </c>
      <c r="F3471" s="3">
        <v>1</v>
      </c>
      <c r="G3471" s="4">
        <v>44887</v>
      </c>
      <c r="M3471" s="1"/>
      <c r="N3471" s="1"/>
      <c r="O3471" s="1"/>
      <c r="P3471" s="1"/>
      <c r="Q3471" s="1"/>
      <c r="R3471" s="1"/>
    </row>
    <row r="3472" spans="2:18">
      <c r="C3472" s="2" t="s">
        <v>4</v>
      </c>
      <c r="D3472" s="2" t="s">
        <v>509</v>
      </c>
      <c r="E3472" s="3">
        <v>3</v>
      </c>
      <c r="F3472" s="3">
        <v>0.5</v>
      </c>
      <c r="G3472" s="4">
        <v>45037</v>
      </c>
      <c r="M3472" s="1"/>
      <c r="N3472" s="1"/>
      <c r="O3472" s="1"/>
      <c r="P3472" s="1"/>
      <c r="Q3472" s="1"/>
      <c r="R3472" s="1"/>
    </row>
    <row r="3473" spans="2:18">
      <c r="G3473" s="4"/>
      <c r="M3473" s="1"/>
      <c r="N3473" s="1"/>
      <c r="O3473" s="1"/>
      <c r="P3473" s="1"/>
      <c r="Q3473" s="1"/>
      <c r="R3473" s="1"/>
    </row>
    <row r="3474" spans="2:18" s="12" customFormat="1">
      <c r="B3474" s="12" t="s">
        <v>486</v>
      </c>
      <c r="C3474" s="13" t="s">
        <v>969</v>
      </c>
      <c r="D3474" s="13" t="s">
        <v>968</v>
      </c>
      <c r="E3474" s="15"/>
      <c r="F3474" s="15">
        <f>SUM(F3475:F3478)</f>
        <v>7.0111111111111111</v>
      </c>
      <c r="G3474" s="14">
        <f>G3475</f>
        <v>44516</v>
      </c>
    </row>
    <row r="3475" spans="2:18">
      <c r="C3475" s="2" t="s">
        <v>5</v>
      </c>
      <c r="D3475" s="2" t="s">
        <v>483</v>
      </c>
      <c r="E3475" s="3">
        <v>13</v>
      </c>
      <c r="F3475" s="3">
        <v>1.4</v>
      </c>
      <c r="G3475" s="4">
        <v>44516</v>
      </c>
      <c r="M3475" s="1"/>
      <c r="N3475" s="1"/>
      <c r="O3475" s="1"/>
      <c r="P3475" s="1"/>
      <c r="Q3475" s="1"/>
      <c r="R3475" s="1"/>
    </row>
    <row r="3476" spans="2:18">
      <c r="C3476" s="55" t="s">
        <v>5</v>
      </c>
      <c r="D3476" s="55" t="s">
        <v>4996</v>
      </c>
      <c r="E3476" s="3">
        <v>3</v>
      </c>
      <c r="F3476" s="3">
        <f>2/3</f>
        <v>0.66666666666666663</v>
      </c>
      <c r="G3476" s="4">
        <v>42220</v>
      </c>
      <c r="M3476" s="1"/>
      <c r="N3476" s="1"/>
      <c r="O3476" s="1"/>
      <c r="P3476" s="1"/>
      <c r="Q3476" s="1"/>
      <c r="R3476" s="1"/>
    </row>
    <row r="3477" spans="2:18">
      <c r="C3477" s="153" t="s">
        <v>7</v>
      </c>
      <c r="D3477" s="153" t="s">
        <v>2046</v>
      </c>
      <c r="E3477" s="3">
        <v>50</v>
      </c>
      <c r="F3477" s="3">
        <f>40/9</f>
        <v>4.4444444444444446</v>
      </c>
      <c r="G3477" s="4">
        <v>44252</v>
      </c>
      <c r="M3477" s="1"/>
      <c r="N3477" s="1"/>
      <c r="O3477" s="1"/>
      <c r="P3477" s="1"/>
      <c r="Q3477" s="1"/>
      <c r="R3477" s="1"/>
    </row>
    <row r="3478" spans="2:18">
      <c r="C3478" s="153" t="s">
        <v>4</v>
      </c>
      <c r="D3478" s="153" t="s">
        <v>2046</v>
      </c>
      <c r="E3478" s="3">
        <v>3</v>
      </c>
      <c r="F3478" s="3">
        <f>2/4</f>
        <v>0.5</v>
      </c>
      <c r="G3478" s="4">
        <v>42628</v>
      </c>
      <c r="M3478" s="1"/>
      <c r="N3478" s="1"/>
      <c r="O3478" s="1"/>
      <c r="P3478" s="1"/>
      <c r="Q3478" s="1"/>
      <c r="R3478" s="1"/>
    </row>
    <row r="3479" spans="2:18">
      <c r="G3479" s="4"/>
      <c r="M3479" s="1"/>
      <c r="N3479" s="1"/>
      <c r="O3479" s="1"/>
      <c r="P3479" s="1"/>
      <c r="Q3479" s="1"/>
      <c r="R3479" s="1"/>
    </row>
    <row r="3480" spans="2:18" s="12" customFormat="1">
      <c r="B3480" s="12" t="s">
        <v>711</v>
      </c>
      <c r="C3480" s="13" t="s">
        <v>969</v>
      </c>
      <c r="D3480" s="13" t="s">
        <v>968</v>
      </c>
      <c r="E3480" s="15"/>
      <c r="F3480" s="15">
        <f>SUM(F3481:F3482)</f>
        <v>2</v>
      </c>
      <c r="G3480" s="14">
        <f>G3481</f>
        <v>44679</v>
      </c>
      <c r="M3480" s="13"/>
      <c r="N3480" s="13"/>
      <c r="O3480" s="13"/>
      <c r="P3480" s="13"/>
      <c r="Q3480" s="13"/>
      <c r="R3480" s="13"/>
    </row>
    <row r="3481" spans="2:18">
      <c r="C3481" s="2" t="s">
        <v>5</v>
      </c>
      <c r="D3481" s="2" t="s">
        <v>663</v>
      </c>
      <c r="E3481" s="3">
        <v>17</v>
      </c>
      <c r="F3481" s="3">
        <v>1.5</v>
      </c>
      <c r="G3481" s="4">
        <v>44679</v>
      </c>
    </row>
    <row r="3482" spans="2:18">
      <c r="C3482" s="2" t="s">
        <v>4</v>
      </c>
      <c r="D3482" s="2" t="s">
        <v>663</v>
      </c>
      <c r="E3482" s="3">
        <v>4.5</v>
      </c>
      <c r="F3482" s="3">
        <v>0.5</v>
      </c>
      <c r="G3482" s="4">
        <v>44415</v>
      </c>
    </row>
    <row r="3483" spans="2:18">
      <c r="G3483" s="4"/>
    </row>
    <row r="3484" spans="2:18" s="12" customFormat="1">
      <c r="B3484" s="12" t="s">
        <v>712</v>
      </c>
      <c r="C3484" s="13" t="s">
        <v>969</v>
      </c>
      <c r="D3484" s="13" t="s">
        <v>968</v>
      </c>
      <c r="E3484" s="15"/>
      <c r="F3484" s="15">
        <f>SUM(F3485:F3486)</f>
        <v>2</v>
      </c>
      <c r="G3484" s="14">
        <f>G3485</f>
        <v>44679</v>
      </c>
      <c r="M3484" s="13"/>
      <c r="N3484" s="13"/>
      <c r="O3484" s="13"/>
      <c r="P3484" s="13"/>
      <c r="Q3484" s="13"/>
      <c r="R3484" s="13"/>
    </row>
    <row r="3485" spans="2:18">
      <c r="C3485" s="2" t="s">
        <v>5</v>
      </c>
      <c r="D3485" s="2" t="s">
        <v>663</v>
      </c>
      <c r="E3485" s="3">
        <v>17</v>
      </c>
      <c r="F3485" s="3">
        <v>1.5</v>
      </c>
      <c r="G3485" s="4">
        <v>44679</v>
      </c>
    </row>
    <row r="3486" spans="2:18">
      <c r="C3486" s="2" t="s">
        <v>4</v>
      </c>
      <c r="D3486" s="2" t="s">
        <v>663</v>
      </c>
      <c r="E3486" s="3">
        <v>4.5</v>
      </c>
      <c r="F3486" s="3">
        <v>0.5</v>
      </c>
      <c r="G3486" s="4">
        <v>44415</v>
      </c>
    </row>
    <row r="3487" spans="2:18">
      <c r="G3487" s="4"/>
    </row>
    <row r="3488" spans="2:18" s="12" customFormat="1">
      <c r="B3488" s="12" t="s">
        <v>714</v>
      </c>
      <c r="C3488" s="13" t="s">
        <v>969</v>
      </c>
      <c r="D3488" s="13" t="s">
        <v>968</v>
      </c>
      <c r="E3488" s="15"/>
      <c r="F3488" s="15">
        <f>SUM(F3489:F3490)</f>
        <v>2</v>
      </c>
      <c r="G3488" s="14">
        <f>G3489</f>
        <v>44679</v>
      </c>
      <c r="M3488" s="13"/>
      <c r="N3488" s="13"/>
      <c r="O3488" s="13"/>
      <c r="P3488" s="13"/>
      <c r="Q3488" s="13"/>
      <c r="R3488" s="13"/>
    </row>
    <row r="3489" spans="2:18">
      <c r="C3489" s="2" t="s">
        <v>5</v>
      </c>
      <c r="D3489" s="2" t="s">
        <v>663</v>
      </c>
      <c r="E3489" s="3">
        <v>17</v>
      </c>
      <c r="F3489" s="3">
        <v>1.5</v>
      </c>
      <c r="G3489" s="4">
        <v>44679</v>
      </c>
    </row>
    <row r="3490" spans="2:18">
      <c r="C3490" s="2" t="s">
        <v>4</v>
      </c>
      <c r="D3490" s="2" t="s">
        <v>663</v>
      </c>
      <c r="E3490" s="3">
        <v>4.5</v>
      </c>
      <c r="F3490" s="3">
        <v>0.5</v>
      </c>
      <c r="G3490" s="4">
        <v>44415</v>
      </c>
    </row>
    <row r="3491" spans="2:18">
      <c r="G3491" s="4"/>
    </row>
    <row r="3492" spans="2:18" s="12" customFormat="1">
      <c r="B3492" s="12" t="s">
        <v>774</v>
      </c>
      <c r="C3492" s="13" t="s">
        <v>969</v>
      </c>
      <c r="D3492" s="13" t="s">
        <v>968</v>
      </c>
      <c r="E3492" s="15"/>
      <c r="F3492" s="15">
        <f>SUM(F3493:F3495)</f>
        <v>3</v>
      </c>
      <c r="G3492" s="14">
        <f>G3493</f>
        <v>44488</v>
      </c>
    </row>
    <row r="3493" spans="2:18">
      <c r="C3493" s="2" t="s">
        <v>4</v>
      </c>
      <c r="D3493" s="2" t="s">
        <v>773</v>
      </c>
      <c r="E3493" s="3">
        <v>5.5</v>
      </c>
      <c r="F3493" s="3">
        <v>1</v>
      </c>
      <c r="G3493" s="4">
        <v>44488</v>
      </c>
      <c r="M3493" s="1"/>
      <c r="N3493" s="1"/>
      <c r="O3493" s="1"/>
      <c r="P3493" s="1"/>
      <c r="Q3493" s="1"/>
      <c r="R3493" s="1"/>
    </row>
    <row r="3494" spans="2:18">
      <c r="C3494" s="140" t="s">
        <v>4</v>
      </c>
      <c r="D3494" s="140" t="s">
        <v>6271</v>
      </c>
      <c r="E3494" s="3">
        <v>3.5</v>
      </c>
      <c r="F3494" s="3">
        <v>1</v>
      </c>
      <c r="G3494" s="4">
        <v>43831</v>
      </c>
      <c r="M3494" s="1"/>
      <c r="N3494" s="1"/>
      <c r="O3494" s="1"/>
      <c r="P3494" s="1"/>
      <c r="Q3494" s="1"/>
      <c r="R3494" s="1"/>
    </row>
    <row r="3495" spans="2:18">
      <c r="C3495" s="140" t="s">
        <v>4</v>
      </c>
      <c r="D3495" s="140" t="s">
        <v>2015</v>
      </c>
      <c r="E3495" s="3">
        <v>3</v>
      </c>
      <c r="F3495" s="3">
        <v>1</v>
      </c>
      <c r="G3495" s="4">
        <v>44452</v>
      </c>
      <c r="M3495" s="1"/>
      <c r="N3495" s="1"/>
      <c r="O3495" s="1"/>
      <c r="P3495" s="1"/>
      <c r="Q3495" s="1"/>
      <c r="R3495" s="1"/>
    </row>
    <row r="3496" spans="2:18">
      <c r="C3496" s="140"/>
      <c r="D3496" s="140"/>
      <c r="G3496" s="4"/>
      <c r="M3496" s="1"/>
      <c r="N3496" s="1"/>
      <c r="O3496" s="1"/>
      <c r="P3496" s="1"/>
      <c r="Q3496" s="1"/>
      <c r="R3496" s="1"/>
    </row>
    <row r="3497" spans="2:18" s="12" customFormat="1">
      <c r="B3497" s="12" t="s">
        <v>293</v>
      </c>
      <c r="C3497" s="13" t="s">
        <v>969</v>
      </c>
      <c r="D3497" s="13" t="s">
        <v>968</v>
      </c>
      <c r="E3497" s="15"/>
      <c r="F3497" s="15">
        <f>SUM(F3498:F3499)</f>
        <v>1.8050000000000002</v>
      </c>
      <c r="G3497" s="14">
        <f>G3498</f>
        <v>42458</v>
      </c>
      <c r="M3497" s="13"/>
      <c r="N3497" s="13"/>
      <c r="O3497" s="13"/>
      <c r="P3497" s="13"/>
      <c r="Q3497" s="13"/>
      <c r="R3497" s="13"/>
    </row>
    <row r="3498" spans="2:18">
      <c r="C3498" s="2" t="s">
        <v>7</v>
      </c>
      <c r="D3498" s="2" t="s">
        <v>292</v>
      </c>
      <c r="E3498" s="3">
        <v>6.9</v>
      </c>
      <c r="F3498" s="3">
        <f>E3498/5</f>
        <v>1.3800000000000001</v>
      </c>
      <c r="G3498" s="4">
        <v>42458</v>
      </c>
    </row>
    <row r="3499" spans="2:18">
      <c r="C3499" s="2" t="s">
        <v>5</v>
      </c>
      <c r="D3499" s="2" t="s">
        <v>292</v>
      </c>
      <c r="E3499" s="3">
        <v>2.7</v>
      </c>
      <c r="F3499" s="3">
        <f>1.7/4</f>
        <v>0.42499999999999999</v>
      </c>
      <c r="G3499" s="4">
        <v>42139</v>
      </c>
    </row>
    <row r="3500" spans="2:18">
      <c r="G3500" s="4"/>
    </row>
    <row r="3501" spans="2:18" s="12" customFormat="1">
      <c r="B3501" s="12" t="s">
        <v>715</v>
      </c>
      <c r="C3501" s="13" t="s">
        <v>969</v>
      </c>
      <c r="D3501" s="13" t="s">
        <v>968</v>
      </c>
      <c r="E3501" s="15"/>
      <c r="F3501" s="15">
        <f>SUM(F3502:F3503)</f>
        <v>2</v>
      </c>
      <c r="G3501" s="14">
        <f>G3502</f>
        <v>44679</v>
      </c>
      <c r="M3501" s="13"/>
      <c r="N3501" s="13"/>
      <c r="O3501" s="13"/>
      <c r="P3501" s="13"/>
      <c r="Q3501" s="13"/>
      <c r="R3501" s="13"/>
    </row>
    <row r="3502" spans="2:18">
      <c r="C3502" s="2" t="s">
        <v>5</v>
      </c>
      <c r="D3502" s="2" t="s">
        <v>663</v>
      </c>
      <c r="E3502" s="3">
        <v>17</v>
      </c>
      <c r="F3502" s="3">
        <v>1.5</v>
      </c>
      <c r="G3502" s="4">
        <v>44679</v>
      </c>
    </row>
    <row r="3503" spans="2:18">
      <c r="C3503" s="2" t="s">
        <v>4</v>
      </c>
      <c r="D3503" s="2" t="s">
        <v>663</v>
      </c>
      <c r="E3503" s="3">
        <v>4.5</v>
      </c>
      <c r="F3503" s="3">
        <v>0.5</v>
      </c>
      <c r="G3503" s="4">
        <v>44415</v>
      </c>
    </row>
    <row r="3504" spans="2:18">
      <c r="G3504" s="4"/>
    </row>
    <row r="3505" spans="2:18" s="12" customFormat="1">
      <c r="B3505" s="12" t="s">
        <v>6400</v>
      </c>
      <c r="C3505" s="13" t="s">
        <v>969</v>
      </c>
      <c r="D3505" s="13" t="s">
        <v>968</v>
      </c>
      <c r="E3505" s="15"/>
      <c r="F3505" s="15">
        <f>SUM(F3506:F3507)</f>
        <v>1.7</v>
      </c>
      <c r="G3505" s="14">
        <f>G3506</f>
        <v>44179</v>
      </c>
      <c r="M3505" s="13"/>
      <c r="N3505" s="13"/>
      <c r="O3505" s="13"/>
      <c r="P3505" s="13"/>
      <c r="Q3505" s="13"/>
      <c r="R3505" s="13"/>
    </row>
    <row r="3506" spans="2:18">
      <c r="B3506" s="152"/>
      <c r="C3506" s="153" t="s">
        <v>5</v>
      </c>
      <c r="D3506" s="153" t="s">
        <v>6397</v>
      </c>
      <c r="E3506" s="3">
        <v>8</v>
      </c>
      <c r="F3506" s="3">
        <f>6/5</f>
        <v>1.2</v>
      </c>
      <c r="G3506" s="4">
        <v>44179</v>
      </c>
    </row>
    <row r="3507" spans="2:18">
      <c r="B3507" s="152"/>
      <c r="C3507" s="153" t="s">
        <v>4</v>
      </c>
      <c r="D3507" s="153" t="s">
        <v>6397</v>
      </c>
      <c r="E3507" s="3">
        <v>2</v>
      </c>
      <c r="F3507" s="3">
        <f>E3507/4</f>
        <v>0.5</v>
      </c>
      <c r="G3507" s="4">
        <v>43430</v>
      </c>
    </row>
    <row r="3508" spans="2:18">
      <c r="B3508" s="152"/>
      <c r="C3508" s="153"/>
      <c r="D3508" s="153"/>
      <c r="G3508" s="4"/>
    </row>
    <row r="3509" spans="2:18" s="12" customFormat="1">
      <c r="B3509" s="12" t="s">
        <v>88</v>
      </c>
      <c r="C3509" s="13" t="s">
        <v>969</v>
      </c>
      <c r="D3509" s="13" t="s">
        <v>968</v>
      </c>
      <c r="E3509" s="15"/>
      <c r="F3509" s="15">
        <f>SUM(F3510:F3513)</f>
        <v>1.9464285714285714</v>
      </c>
      <c r="G3509" s="14">
        <f>G3513</f>
        <v>43522</v>
      </c>
      <c r="M3509" s="13"/>
      <c r="N3509" s="13"/>
      <c r="O3509" s="13"/>
      <c r="P3509" s="13"/>
      <c r="Q3509" s="13"/>
      <c r="R3509" s="13"/>
    </row>
    <row r="3510" spans="2:18">
      <c r="C3510" s="2" t="s">
        <v>4</v>
      </c>
      <c r="D3510" s="2" t="s">
        <v>87</v>
      </c>
      <c r="E3510" s="3">
        <v>5.3</v>
      </c>
      <c r="F3510" s="3">
        <f>4/7</f>
        <v>0.5714285714285714</v>
      </c>
      <c r="G3510" s="4">
        <v>43398</v>
      </c>
    </row>
    <row r="3511" spans="2:18">
      <c r="C3511" s="2" t="s">
        <v>4</v>
      </c>
      <c r="D3511" s="2" t="s">
        <v>87</v>
      </c>
      <c r="E3511" s="3">
        <v>4</v>
      </c>
      <c r="F3511" s="3">
        <f>2.5/4</f>
        <v>0.625</v>
      </c>
      <c r="G3511" s="4">
        <v>43122</v>
      </c>
    </row>
    <row r="3512" spans="2:18">
      <c r="C3512" s="140" t="s">
        <v>4</v>
      </c>
      <c r="D3512" s="140" t="s">
        <v>6301</v>
      </c>
      <c r="E3512" s="3">
        <v>5</v>
      </c>
      <c r="F3512" s="3">
        <v>0.5</v>
      </c>
      <c r="G3512" s="4">
        <v>43335</v>
      </c>
    </row>
    <row r="3513" spans="2:18">
      <c r="C3513" s="177" t="s">
        <v>4</v>
      </c>
      <c r="D3513" s="177" t="s">
        <v>2030</v>
      </c>
      <c r="E3513" s="3">
        <v>2</v>
      </c>
      <c r="F3513" s="3">
        <f>1.5/6</f>
        <v>0.25</v>
      </c>
      <c r="G3513" s="4">
        <v>43522</v>
      </c>
    </row>
    <row r="3514" spans="2:18">
      <c r="G3514" s="4"/>
    </row>
    <row r="3515" spans="2:18" s="12" customFormat="1">
      <c r="B3515" s="12" t="s">
        <v>755</v>
      </c>
      <c r="C3515" s="13" t="s">
        <v>969</v>
      </c>
      <c r="D3515" s="13" t="s">
        <v>968</v>
      </c>
      <c r="E3515" s="15"/>
      <c r="F3515" s="15">
        <f>SUM(F3516:F3517)</f>
        <v>1</v>
      </c>
      <c r="G3515" s="14">
        <f>G3517</f>
        <v>44434</v>
      </c>
    </row>
    <row r="3516" spans="2:18">
      <c r="C3516" s="2" t="s">
        <v>4</v>
      </c>
      <c r="D3516" s="2" t="s">
        <v>672</v>
      </c>
      <c r="E3516" s="3">
        <v>3</v>
      </c>
      <c r="F3516" s="3">
        <v>0.5</v>
      </c>
      <c r="G3516" s="4">
        <v>43993</v>
      </c>
      <c r="M3516" s="1"/>
      <c r="N3516" s="1"/>
      <c r="O3516" s="1"/>
      <c r="P3516" s="1"/>
      <c r="Q3516" s="1"/>
      <c r="R3516" s="1"/>
    </row>
    <row r="3517" spans="2:18">
      <c r="C3517" s="2" t="s">
        <v>4</v>
      </c>
      <c r="D3517" s="2" t="s">
        <v>122</v>
      </c>
      <c r="E3517" s="3">
        <v>4.5</v>
      </c>
      <c r="F3517" s="3">
        <v>0.5</v>
      </c>
      <c r="G3517" s="4">
        <v>44434</v>
      </c>
      <c r="M3517" s="1"/>
      <c r="N3517" s="1"/>
      <c r="O3517" s="1"/>
      <c r="P3517" s="1"/>
      <c r="Q3517" s="1"/>
      <c r="R3517" s="1"/>
    </row>
    <row r="3518" spans="2:18">
      <c r="G3518" s="4"/>
      <c r="M3518" s="1"/>
      <c r="N3518" s="1"/>
      <c r="O3518" s="1"/>
      <c r="P3518" s="1"/>
      <c r="Q3518" s="1"/>
      <c r="R3518" s="1"/>
    </row>
    <row r="3519" spans="2:18" s="12" customFormat="1">
      <c r="B3519" s="12" t="s">
        <v>155</v>
      </c>
      <c r="C3519" s="13" t="s">
        <v>969</v>
      </c>
      <c r="D3519" s="13" t="s">
        <v>968</v>
      </c>
      <c r="E3519" s="15"/>
      <c r="F3519" s="15">
        <f>SUM(F3520:F3522)</f>
        <v>1.2000000000000002</v>
      </c>
      <c r="G3519" s="14">
        <f>G3521</f>
        <v>42370</v>
      </c>
      <c r="M3519" s="13"/>
      <c r="N3519" s="13"/>
      <c r="O3519" s="13"/>
      <c r="P3519" s="13"/>
      <c r="Q3519" s="13"/>
      <c r="R3519" s="13"/>
    </row>
    <row r="3520" spans="2:18">
      <c r="C3520" s="2" t="s">
        <v>4</v>
      </c>
      <c r="D3520" s="2" t="s">
        <v>154</v>
      </c>
      <c r="E3520" s="3">
        <v>4</v>
      </c>
      <c r="F3520" s="3">
        <v>1</v>
      </c>
      <c r="G3520" s="4">
        <v>42023</v>
      </c>
    </row>
    <row r="3521" spans="2:18">
      <c r="C3521" s="2" t="s">
        <v>4</v>
      </c>
      <c r="D3521" s="2" t="s">
        <v>15</v>
      </c>
      <c r="E3521" s="3">
        <v>0.1</v>
      </c>
      <c r="F3521" s="3">
        <v>0.1</v>
      </c>
      <c r="G3521" s="4">
        <v>42370</v>
      </c>
    </row>
    <row r="3522" spans="2:18">
      <c r="C3522" s="2" t="s">
        <v>4</v>
      </c>
      <c r="D3522" s="2" t="s">
        <v>15</v>
      </c>
      <c r="E3522" s="3">
        <v>0.1</v>
      </c>
      <c r="F3522" s="3">
        <v>0.1</v>
      </c>
      <c r="G3522" s="4">
        <v>41549</v>
      </c>
    </row>
    <row r="3523" spans="2:18">
      <c r="G3523" s="4"/>
    </row>
    <row r="3524" spans="2:18" s="12" customFormat="1">
      <c r="B3524" s="12" t="s">
        <v>970</v>
      </c>
      <c r="C3524" s="13" t="s">
        <v>969</v>
      </c>
      <c r="D3524" s="13" t="s">
        <v>968</v>
      </c>
      <c r="E3524" s="15"/>
      <c r="F3524" s="15">
        <f>SUM(F3525:F3526)</f>
        <v>1.4</v>
      </c>
      <c r="G3524" s="14">
        <f>G3525</f>
        <v>44994</v>
      </c>
      <c r="M3524" s="13"/>
      <c r="N3524" s="13"/>
      <c r="O3524" s="13"/>
      <c r="P3524" s="13"/>
      <c r="Q3524" s="13"/>
      <c r="R3524" s="13"/>
    </row>
    <row r="3525" spans="2:18">
      <c r="C3525" s="2" t="s">
        <v>4</v>
      </c>
      <c r="D3525" s="2" t="s">
        <v>745</v>
      </c>
      <c r="E3525" s="3">
        <v>2.8</v>
      </c>
      <c r="F3525" s="3">
        <v>1</v>
      </c>
      <c r="G3525" s="4">
        <v>44994</v>
      </c>
    </row>
    <row r="3526" spans="2:18">
      <c r="C3526" s="2" t="s">
        <v>4</v>
      </c>
      <c r="D3526" s="2" t="s">
        <v>745</v>
      </c>
      <c r="E3526" s="3">
        <v>2.6</v>
      </c>
      <c r="F3526" s="3">
        <f>1.6/4</f>
        <v>0.4</v>
      </c>
      <c r="G3526" s="4">
        <v>44147</v>
      </c>
    </row>
    <row r="3528" spans="2:18" s="12" customFormat="1">
      <c r="B3528" s="12" t="s">
        <v>388</v>
      </c>
      <c r="C3528" s="13" t="s">
        <v>969</v>
      </c>
      <c r="D3528" s="13" t="s">
        <v>968</v>
      </c>
      <c r="E3528" s="15"/>
      <c r="F3528" s="15">
        <f>SUM(F3529:F3530)</f>
        <v>1.355</v>
      </c>
      <c r="G3528" s="14">
        <f>G3529</f>
        <v>42156</v>
      </c>
    </row>
    <row r="3529" spans="2:18">
      <c r="C3529" s="2" t="s">
        <v>5</v>
      </c>
      <c r="D3529" s="2" t="s">
        <v>386</v>
      </c>
      <c r="E3529" s="3">
        <v>5.5</v>
      </c>
      <c r="F3529" s="3">
        <v>1</v>
      </c>
      <c r="G3529" s="4">
        <v>42156</v>
      </c>
      <c r="M3529" s="1"/>
      <c r="N3529" s="1"/>
      <c r="O3529" s="1"/>
      <c r="P3529" s="1"/>
      <c r="Q3529" s="1"/>
      <c r="R3529" s="1"/>
    </row>
    <row r="3530" spans="2:18">
      <c r="C3530" s="2" t="s">
        <v>4</v>
      </c>
      <c r="D3530" s="2" t="s">
        <v>386</v>
      </c>
      <c r="E3530" s="3">
        <v>0.71</v>
      </c>
      <c r="F3530" s="3">
        <f>+E3530/2</f>
        <v>0.35499999999999998</v>
      </c>
      <c r="G3530" s="4">
        <v>41730</v>
      </c>
      <c r="M3530" s="1"/>
      <c r="N3530" s="1"/>
      <c r="O3530" s="1"/>
      <c r="P3530" s="1"/>
      <c r="Q3530" s="1"/>
      <c r="R3530" s="1"/>
    </row>
    <row r="3531" spans="2:18">
      <c r="G3531" s="4"/>
      <c r="M3531" s="1"/>
      <c r="N3531" s="1"/>
      <c r="O3531" s="1"/>
      <c r="P3531" s="1"/>
      <c r="Q3531" s="1"/>
      <c r="R3531" s="1"/>
    </row>
    <row r="3532" spans="2:18" s="12" customFormat="1">
      <c r="B3532" s="12" t="s">
        <v>621</v>
      </c>
      <c r="C3532" s="13" t="s">
        <v>969</v>
      </c>
      <c r="D3532" s="13" t="s">
        <v>968</v>
      </c>
      <c r="E3532" s="15"/>
      <c r="F3532" s="15">
        <f>SUM(F3533:F3536)</f>
        <v>1.6944444444444444</v>
      </c>
      <c r="G3532" s="14">
        <f>G3533</f>
        <v>45021</v>
      </c>
    </row>
    <row r="3533" spans="2:18">
      <c r="C3533" s="2" t="s">
        <v>278</v>
      </c>
      <c r="D3533" s="2" t="s">
        <v>620</v>
      </c>
      <c r="E3533" s="3">
        <v>0.5</v>
      </c>
      <c r="F3533" s="3">
        <v>0.5</v>
      </c>
      <c r="G3533" s="4">
        <v>45021</v>
      </c>
      <c r="M3533" s="1"/>
      <c r="N3533" s="1"/>
      <c r="O3533" s="1"/>
      <c r="P3533" s="1"/>
      <c r="Q3533" s="1"/>
      <c r="R3533" s="1"/>
    </row>
    <row r="3534" spans="2:18">
      <c r="C3534" s="2" t="s">
        <v>278</v>
      </c>
      <c r="D3534" s="2" t="s">
        <v>341</v>
      </c>
      <c r="E3534" s="3">
        <v>0.75</v>
      </c>
      <c r="F3534" s="3">
        <f>E3534/3</f>
        <v>0.25</v>
      </c>
      <c r="G3534" s="4">
        <v>44043</v>
      </c>
      <c r="M3534" s="1"/>
      <c r="N3534" s="1"/>
      <c r="O3534" s="1"/>
      <c r="P3534" s="1"/>
      <c r="Q3534" s="1"/>
      <c r="R3534" s="1"/>
    </row>
    <row r="3535" spans="2:18">
      <c r="C3535" s="153" t="s">
        <v>4</v>
      </c>
      <c r="D3535" s="153" t="s">
        <v>2046</v>
      </c>
      <c r="E3535" s="3">
        <v>3</v>
      </c>
      <c r="F3535" s="3">
        <f>2/4</f>
        <v>0.5</v>
      </c>
      <c r="G3535" s="4">
        <v>42628</v>
      </c>
      <c r="M3535" s="1"/>
      <c r="N3535" s="1"/>
      <c r="O3535" s="1"/>
      <c r="P3535" s="1"/>
      <c r="Q3535" s="1"/>
      <c r="R3535" s="1"/>
    </row>
    <row r="3536" spans="2:18">
      <c r="C3536" s="398" t="s">
        <v>278</v>
      </c>
      <c r="D3536" s="398" t="s">
        <v>9780</v>
      </c>
      <c r="E3536" s="3">
        <v>6</v>
      </c>
      <c r="F3536" s="3">
        <f>4/9</f>
        <v>0.44444444444444442</v>
      </c>
      <c r="G3536" s="4">
        <v>44348</v>
      </c>
      <c r="M3536" s="1"/>
      <c r="N3536" s="1"/>
      <c r="O3536" s="1"/>
      <c r="P3536" s="1"/>
      <c r="Q3536" s="1"/>
      <c r="R3536" s="1"/>
    </row>
    <row r="3537" spans="2:18">
      <c r="G3537" s="4"/>
      <c r="M3537" s="1"/>
      <c r="N3537" s="1"/>
      <c r="O3537" s="1"/>
      <c r="P3537" s="1"/>
      <c r="Q3537" s="1"/>
      <c r="R3537" s="1"/>
    </row>
    <row r="3538" spans="2:18" s="12" customFormat="1">
      <c r="B3538" s="12" t="s">
        <v>700</v>
      </c>
      <c r="C3538" s="13" t="s">
        <v>969</v>
      </c>
      <c r="D3538" s="13" t="s">
        <v>968</v>
      </c>
      <c r="E3538" s="15"/>
      <c r="F3538" s="15">
        <f>SUM(F3539:F3540)</f>
        <v>0.68333333333333335</v>
      </c>
      <c r="G3538" s="14">
        <f>G3539</f>
        <v>44469</v>
      </c>
      <c r="M3538" s="13"/>
      <c r="N3538" s="13"/>
      <c r="O3538" s="13"/>
      <c r="P3538" s="13"/>
      <c r="Q3538" s="13"/>
      <c r="R3538" s="13"/>
    </row>
    <row r="3539" spans="2:18">
      <c r="C3539" s="2" t="s">
        <v>4</v>
      </c>
      <c r="D3539" s="2" t="s">
        <v>699</v>
      </c>
      <c r="E3539" s="3">
        <v>2.5</v>
      </c>
      <c r="F3539" s="3">
        <f>2/6</f>
        <v>0.33333333333333331</v>
      </c>
      <c r="G3539" s="4">
        <v>44469</v>
      </c>
    </row>
    <row r="3540" spans="2:18">
      <c r="C3540" s="2" t="s">
        <v>4</v>
      </c>
      <c r="D3540" s="2" t="s">
        <v>347</v>
      </c>
      <c r="E3540" s="3">
        <v>3.5</v>
      </c>
      <c r="F3540" s="3">
        <f>E3540/10</f>
        <v>0.35</v>
      </c>
      <c r="G3540" s="4">
        <v>43046</v>
      </c>
      <c r="L3540" s="1">
        <v>0</v>
      </c>
    </row>
    <row r="3541" spans="2:18">
      <c r="C3541" s="140" t="s">
        <v>4</v>
      </c>
      <c r="D3541" s="140" t="s">
        <v>6301</v>
      </c>
      <c r="E3541" s="3">
        <v>5</v>
      </c>
      <c r="F3541" s="3">
        <v>0.5</v>
      </c>
      <c r="G3541" s="4">
        <v>43335</v>
      </c>
    </row>
    <row r="3542" spans="2:18">
      <c r="G3542" s="4"/>
    </row>
    <row r="3543" spans="2:18" s="12" customFormat="1">
      <c r="B3543" s="12" t="s">
        <v>551</v>
      </c>
      <c r="C3543" s="13" t="s">
        <v>969</v>
      </c>
      <c r="D3543" s="13" t="s">
        <v>968</v>
      </c>
      <c r="E3543" s="15"/>
      <c r="F3543" s="15">
        <f>SUM(F3544:F3546)</f>
        <v>1.6949999999999998</v>
      </c>
      <c r="G3543" s="14">
        <f>+G3546</f>
        <v>44482</v>
      </c>
    </row>
    <row r="3544" spans="2:18">
      <c r="C3544" s="2" t="s">
        <v>278</v>
      </c>
      <c r="D3544" s="2" t="s">
        <v>548</v>
      </c>
      <c r="E3544" s="3">
        <v>0.5</v>
      </c>
      <c r="F3544" s="3">
        <v>0.1</v>
      </c>
      <c r="G3544" s="4">
        <v>43262</v>
      </c>
      <c r="M3544" s="1"/>
      <c r="N3544" s="1"/>
      <c r="O3544" s="1"/>
      <c r="P3544" s="1"/>
      <c r="Q3544" s="1"/>
      <c r="R3544" s="1"/>
    </row>
    <row r="3545" spans="2:18">
      <c r="C3545" s="2" t="s">
        <v>550</v>
      </c>
      <c r="D3545" s="2" t="s">
        <v>3</v>
      </c>
      <c r="E3545" s="3">
        <v>0.59499999999999997</v>
      </c>
      <c r="F3545" s="3">
        <v>0.59499999999999997</v>
      </c>
      <c r="G3545" s="4">
        <v>42278</v>
      </c>
      <c r="M3545" s="1"/>
      <c r="N3545" s="1"/>
      <c r="O3545" s="1"/>
      <c r="P3545" s="1"/>
      <c r="Q3545" s="1"/>
      <c r="R3545" s="1"/>
    </row>
    <row r="3546" spans="2:18">
      <c r="C3546" s="335" t="s">
        <v>4</v>
      </c>
      <c r="D3546" s="335" t="s">
        <v>8303</v>
      </c>
      <c r="E3546" s="3">
        <v>8</v>
      </c>
      <c r="F3546" s="3">
        <v>1</v>
      </c>
      <c r="G3546" s="4">
        <v>44482</v>
      </c>
      <c r="M3546" s="1"/>
      <c r="N3546" s="1"/>
      <c r="O3546" s="1"/>
      <c r="P3546" s="1"/>
      <c r="Q3546" s="1"/>
      <c r="R3546" s="1"/>
    </row>
    <row r="3547" spans="2:18">
      <c r="G3547" s="4"/>
      <c r="M3547" s="1"/>
      <c r="N3547" s="1"/>
      <c r="O3547" s="1"/>
      <c r="P3547" s="1"/>
      <c r="Q3547" s="1"/>
      <c r="R3547" s="1"/>
    </row>
    <row r="3548" spans="2:18" s="12" customFormat="1">
      <c r="B3548" s="12" t="s">
        <v>514</v>
      </c>
      <c r="C3548" s="13" t="s">
        <v>969</v>
      </c>
      <c r="D3548" s="13" t="s">
        <v>968</v>
      </c>
      <c r="E3548" s="15"/>
      <c r="F3548" s="15">
        <f>SUM(F3549:F3550)</f>
        <v>0.8</v>
      </c>
      <c r="G3548" s="14">
        <f>G3549</f>
        <v>45037</v>
      </c>
    </row>
    <row r="3549" spans="2:18">
      <c r="C3549" s="2" t="s">
        <v>4</v>
      </c>
      <c r="D3549" s="2" t="s">
        <v>509</v>
      </c>
      <c r="E3549" s="3">
        <v>3</v>
      </c>
      <c r="F3549" s="3">
        <v>0.5</v>
      </c>
      <c r="G3549" s="4">
        <v>45037</v>
      </c>
      <c r="M3549" s="1"/>
      <c r="N3549" s="1"/>
      <c r="O3549" s="1"/>
      <c r="P3549" s="1"/>
      <c r="Q3549" s="1"/>
      <c r="R3549" s="1"/>
    </row>
    <row r="3550" spans="2:18">
      <c r="C3550" s="2" t="s">
        <v>278</v>
      </c>
      <c r="D3550" s="2" t="s">
        <v>509</v>
      </c>
      <c r="E3550" s="3">
        <v>1.2</v>
      </c>
      <c r="F3550" s="3">
        <v>0.3</v>
      </c>
      <c r="G3550" s="4">
        <v>44545</v>
      </c>
      <c r="M3550" s="1"/>
      <c r="N3550" s="1"/>
      <c r="O3550" s="1"/>
      <c r="P3550" s="1"/>
      <c r="Q3550" s="1"/>
      <c r="R3550" s="1"/>
    </row>
    <row r="3551" spans="2:18">
      <c r="G3551" s="4"/>
      <c r="M3551" s="1"/>
      <c r="N3551" s="1"/>
      <c r="O3551" s="1"/>
      <c r="P3551" s="1"/>
      <c r="Q3551" s="1"/>
      <c r="R3551" s="1"/>
    </row>
    <row r="3552" spans="2:18" s="12" customFormat="1">
      <c r="B3552" s="12" t="s">
        <v>382</v>
      </c>
      <c r="C3552" s="13" t="s">
        <v>969</v>
      </c>
      <c r="D3552" s="13" t="s">
        <v>968</v>
      </c>
      <c r="E3552" s="15"/>
      <c r="F3552" s="15">
        <f>SUM(F3553:F3554)</f>
        <v>1.1000000000000001</v>
      </c>
      <c r="G3552" s="14">
        <f>G3554</f>
        <v>44054</v>
      </c>
    </row>
    <row r="3553" spans="2:18">
      <c r="C3553" s="2" t="s">
        <v>4</v>
      </c>
      <c r="D3553" s="2" t="s">
        <v>381</v>
      </c>
      <c r="E3553" s="3">
        <v>8.5</v>
      </c>
      <c r="F3553" s="3">
        <v>1</v>
      </c>
      <c r="G3553" s="4">
        <v>43796</v>
      </c>
      <c r="M3553" s="1"/>
      <c r="N3553" s="1"/>
      <c r="O3553" s="1"/>
      <c r="P3553" s="1"/>
      <c r="Q3553" s="1"/>
      <c r="R3553" s="1"/>
    </row>
    <row r="3554" spans="2:18">
      <c r="C3554" s="2" t="s">
        <v>278</v>
      </c>
      <c r="D3554" s="2" t="s">
        <v>277</v>
      </c>
      <c r="E3554" s="3">
        <v>0.2</v>
      </c>
      <c r="F3554" s="3">
        <v>0.1</v>
      </c>
      <c r="G3554" s="4">
        <v>44054</v>
      </c>
      <c r="M3554" s="1"/>
      <c r="N3554" s="1"/>
      <c r="O3554" s="1"/>
      <c r="P3554" s="1"/>
      <c r="Q3554" s="1"/>
      <c r="R3554" s="1"/>
    </row>
    <row r="3555" spans="2:18">
      <c r="G3555" s="4"/>
      <c r="M3555" s="1"/>
      <c r="N3555" s="1"/>
      <c r="O3555" s="1"/>
      <c r="P3555" s="1"/>
      <c r="Q3555" s="1"/>
      <c r="R3555" s="1"/>
    </row>
    <row r="3556" spans="2:18" s="12" customFormat="1">
      <c r="B3556" s="12" t="s">
        <v>6669</v>
      </c>
      <c r="C3556" s="13" t="s">
        <v>969</v>
      </c>
      <c r="D3556" s="13" t="s">
        <v>968</v>
      </c>
      <c r="E3556" s="15"/>
      <c r="F3556" s="15">
        <f>SUM(F3557:F3558)</f>
        <v>1.25</v>
      </c>
      <c r="G3556" s="14">
        <f>G3557</f>
        <v>44229</v>
      </c>
      <c r="M3556" s="13"/>
      <c r="N3556" s="13"/>
      <c r="O3556" s="13"/>
      <c r="P3556" s="13"/>
      <c r="Q3556" s="13"/>
      <c r="R3556" s="13"/>
    </row>
    <row r="3557" spans="2:18">
      <c r="B3557" s="176"/>
      <c r="C3557" s="177" t="s">
        <v>5</v>
      </c>
      <c r="D3557" s="174" t="s">
        <v>2030</v>
      </c>
      <c r="E3557" s="3">
        <v>9.3000000000000007</v>
      </c>
      <c r="F3557" s="178">
        <v>1</v>
      </c>
      <c r="G3557" s="4">
        <v>44229</v>
      </c>
    </row>
    <row r="3558" spans="2:18">
      <c r="B3558" s="176"/>
      <c r="C3558" s="177" t="s">
        <v>4</v>
      </c>
      <c r="D3558" s="174" t="s">
        <v>2030</v>
      </c>
      <c r="E3558" s="3">
        <v>2</v>
      </c>
      <c r="F3558" s="3">
        <f>1.5/6</f>
        <v>0.25</v>
      </c>
      <c r="G3558" s="4">
        <v>43522</v>
      </c>
    </row>
    <row r="3559" spans="2:18">
      <c r="B3559" s="176"/>
      <c r="C3559" s="177"/>
      <c r="D3559" s="174"/>
      <c r="G3559" s="4"/>
    </row>
    <row r="3560" spans="2:18" s="12" customFormat="1">
      <c r="B3560" s="12" t="s">
        <v>749</v>
      </c>
      <c r="C3560" s="13" t="s">
        <v>969</v>
      </c>
      <c r="D3560" s="13" t="s">
        <v>968</v>
      </c>
      <c r="E3560" s="15"/>
      <c r="F3560" s="15">
        <f>SUM(F3561:F3562)</f>
        <v>1</v>
      </c>
      <c r="G3560" s="14">
        <f>G3561</f>
        <v>43580</v>
      </c>
    </row>
    <row r="3561" spans="2:18">
      <c r="C3561" s="2" t="s">
        <v>4</v>
      </c>
      <c r="D3561" s="2" t="s">
        <v>403</v>
      </c>
      <c r="E3561" s="3">
        <v>3.1</v>
      </c>
      <c r="F3561" s="3">
        <v>0.5</v>
      </c>
      <c r="G3561" s="4">
        <v>43580</v>
      </c>
      <c r="M3561" s="1"/>
      <c r="N3561" s="1"/>
      <c r="O3561" s="1"/>
      <c r="P3561" s="1"/>
      <c r="Q3561" s="1"/>
      <c r="R3561" s="1"/>
    </row>
    <row r="3562" spans="2:18">
      <c r="C3562" s="2" t="s">
        <v>4</v>
      </c>
      <c r="D3562" s="2" t="s">
        <v>2129</v>
      </c>
      <c r="E3562" s="3">
        <v>3</v>
      </c>
      <c r="F3562" s="3">
        <f>0.5</f>
        <v>0.5</v>
      </c>
      <c r="G3562" s="4">
        <v>42979</v>
      </c>
      <c r="M3562" s="1"/>
      <c r="N3562" s="1"/>
      <c r="O3562" s="1"/>
      <c r="P3562" s="1"/>
      <c r="Q3562" s="1"/>
      <c r="R3562" s="1"/>
    </row>
    <row r="3563" spans="2:18">
      <c r="G3563" s="4"/>
      <c r="M3563" s="1"/>
      <c r="N3563" s="1"/>
      <c r="O3563" s="1"/>
      <c r="P3563" s="1"/>
      <c r="Q3563" s="1"/>
      <c r="R3563" s="1"/>
    </row>
    <row r="3564" spans="2:18">
      <c r="B3564" s="12" t="s">
        <v>944</v>
      </c>
      <c r="C3564" s="13" t="s">
        <v>969</v>
      </c>
      <c r="D3564" s="13" t="s">
        <v>968</v>
      </c>
      <c r="F3564" s="15">
        <f>SUM(F3565:F3566)</f>
        <v>54.130434782608695</v>
      </c>
      <c r="G3564" s="14">
        <f>G3565</f>
        <v>44852</v>
      </c>
      <c r="I3564" s="5"/>
      <c r="J3564" s="5"/>
    </row>
    <row r="3565" spans="2:18">
      <c r="C3565" s="2" t="s">
        <v>5</v>
      </c>
      <c r="D3565" s="2" t="s">
        <v>763</v>
      </c>
      <c r="E3565" s="3">
        <v>125</v>
      </c>
      <c r="F3565" s="3">
        <v>15</v>
      </c>
      <c r="G3565" s="4">
        <v>44852</v>
      </c>
    </row>
    <row r="3566" spans="2:18">
      <c r="C3566" s="265" t="s">
        <v>504</v>
      </c>
      <c r="D3566" s="265" t="s">
        <v>1006</v>
      </c>
      <c r="E3566" s="3">
        <v>1000</v>
      </c>
      <c r="F3566" s="3">
        <f>900/23</f>
        <v>39.130434782608695</v>
      </c>
      <c r="G3566" s="4">
        <v>44228</v>
      </c>
      <c r="I3566" s="1">
        <v>27000</v>
      </c>
      <c r="J3566" s="1">
        <v>42500</v>
      </c>
    </row>
    <row r="3567" spans="2:18">
      <c r="G3567" s="4"/>
    </row>
    <row r="3568" spans="2:18">
      <c r="B3568" s="12" t="s">
        <v>545</v>
      </c>
      <c r="C3568" s="13" t="s">
        <v>969</v>
      </c>
      <c r="D3568" s="13" t="s">
        <v>968</v>
      </c>
      <c r="F3568" s="15">
        <f>SUM(F3569:F3572)</f>
        <v>76.666666666666671</v>
      </c>
      <c r="G3568" s="14">
        <f>G3570</f>
        <v>45125</v>
      </c>
    </row>
    <row r="3569" spans="2:18">
      <c r="C3569" s="2" t="s">
        <v>7</v>
      </c>
      <c r="D3569" s="2" t="s">
        <v>542</v>
      </c>
      <c r="E3569" s="3">
        <v>40</v>
      </c>
      <c r="F3569" s="3">
        <v>15</v>
      </c>
      <c r="G3569" s="4">
        <v>44811</v>
      </c>
      <c r="M3569" s="1"/>
      <c r="N3569" s="1"/>
      <c r="O3569" s="1"/>
      <c r="P3569" s="1"/>
      <c r="Q3569" s="1"/>
      <c r="R3569" s="1"/>
    </row>
    <row r="3570" spans="2:18">
      <c r="C3570" s="335" t="s">
        <v>9</v>
      </c>
      <c r="D3570" s="335" t="s">
        <v>8309</v>
      </c>
      <c r="E3570" s="3">
        <v>65</v>
      </c>
      <c r="F3570" s="3">
        <f>E3570/3</f>
        <v>21.666666666666668</v>
      </c>
      <c r="G3570" s="4">
        <v>45125</v>
      </c>
      <c r="M3570" s="1"/>
      <c r="N3570" s="1"/>
      <c r="O3570" s="1"/>
      <c r="P3570" s="1"/>
      <c r="Q3570" s="1"/>
      <c r="R3570" s="1"/>
    </row>
    <row r="3571" spans="2:18">
      <c r="C3571" s="335" t="s">
        <v>8</v>
      </c>
      <c r="D3571" s="335" t="s">
        <v>8309</v>
      </c>
      <c r="E3571" s="3">
        <v>60</v>
      </c>
      <c r="F3571" s="3">
        <v>30</v>
      </c>
      <c r="G3571" s="4">
        <v>44363</v>
      </c>
      <c r="M3571" s="1"/>
      <c r="N3571" s="1"/>
      <c r="O3571" s="1"/>
      <c r="P3571" s="1"/>
      <c r="Q3571" s="1"/>
      <c r="R3571" s="1"/>
    </row>
    <row r="3572" spans="2:18">
      <c r="C3572" s="335" t="s">
        <v>18</v>
      </c>
      <c r="D3572" s="335" t="s">
        <v>8309</v>
      </c>
      <c r="E3572" s="3">
        <v>25</v>
      </c>
      <c r="F3572" s="3">
        <v>10</v>
      </c>
      <c r="G3572" s="4">
        <v>43888</v>
      </c>
      <c r="M3572" s="1"/>
      <c r="N3572" s="1"/>
      <c r="O3572" s="1"/>
      <c r="P3572" s="1"/>
      <c r="Q3572" s="1"/>
      <c r="R3572" s="1"/>
    </row>
    <row r="3573" spans="2:18">
      <c r="G3573" s="4"/>
      <c r="M3573" s="1"/>
      <c r="N3573" s="1"/>
      <c r="O3573" s="1"/>
      <c r="P3573" s="1"/>
      <c r="Q3573" s="1"/>
      <c r="R3573" s="1"/>
    </row>
    <row r="3574" spans="2:18">
      <c r="B3574" s="12" t="s">
        <v>4841</v>
      </c>
      <c r="C3574" s="13" t="s">
        <v>969</v>
      </c>
      <c r="D3574" s="13" t="s">
        <v>968</v>
      </c>
      <c r="F3574" s="15">
        <f>+F3575+F3576</f>
        <v>16.285714285714285</v>
      </c>
      <c r="G3574" s="14">
        <f>+G3576</f>
        <v>45063</v>
      </c>
      <c r="M3574" s="1"/>
      <c r="N3574" s="1"/>
      <c r="O3574" s="1"/>
      <c r="P3574" s="1"/>
      <c r="Q3574" s="1"/>
      <c r="R3574" s="1"/>
    </row>
    <row r="3575" spans="2:18">
      <c r="B3575" s="51"/>
      <c r="C3575" s="52" t="s">
        <v>18</v>
      </c>
      <c r="D3575" s="52" t="s">
        <v>2118</v>
      </c>
      <c r="E3575" s="3">
        <v>300</v>
      </c>
      <c r="F3575" s="3">
        <f t="shared" ref="F3575:F3747" si="2">200/14</f>
        <v>14.285714285714286</v>
      </c>
      <c r="G3575" s="4">
        <v>44300</v>
      </c>
      <c r="I3575" s="1">
        <v>700</v>
      </c>
      <c r="J3575" s="1">
        <v>700</v>
      </c>
    </row>
    <row r="3576" spans="2:18">
      <c r="B3576" s="51"/>
      <c r="C3576" s="241" t="s">
        <v>5</v>
      </c>
      <c r="D3576" s="241" t="s">
        <v>2008</v>
      </c>
      <c r="E3576" s="3">
        <v>11.5</v>
      </c>
      <c r="F3576" s="3">
        <f>6/3</f>
        <v>2</v>
      </c>
      <c r="G3576" s="4">
        <v>45063</v>
      </c>
    </row>
    <row r="3577" spans="2:18">
      <c r="B3577" s="51"/>
      <c r="C3577" s="52"/>
      <c r="D3577" s="52"/>
      <c r="G3577" s="4"/>
    </row>
    <row r="3578" spans="2:18">
      <c r="B3578" s="12" t="s">
        <v>919</v>
      </c>
      <c r="C3578" s="13" t="s">
        <v>969</v>
      </c>
      <c r="D3578" s="13" t="s">
        <v>968</v>
      </c>
      <c r="F3578" s="15">
        <f>+F3579+F3580</f>
        <v>40.833333333333336</v>
      </c>
      <c r="G3578" s="14">
        <f>+G3580</f>
        <v>45230</v>
      </c>
    </row>
    <row r="3579" spans="2:18">
      <c r="C3579" s="2" t="s">
        <v>7</v>
      </c>
      <c r="D3579" s="2" t="s">
        <v>907</v>
      </c>
      <c r="E3579" s="3">
        <v>97.4</v>
      </c>
      <c r="F3579" s="3">
        <f>47/6</f>
        <v>7.833333333333333</v>
      </c>
      <c r="G3579" s="4">
        <v>45041</v>
      </c>
    </row>
    <row r="3580" spans="2:18">
      <c r="C3580" s="265" t="s">
        <v>53</v>
      </c>
      <c r="D3580" s="265" t="s">
        <v>3</v>
      </c>
      <c r="E3580" s="3">
        <v>200</v>
      </c>
      <c r="F3580" s="3">
        <v>33</v>
      </c>
      <c r="G3580" s="4">
        <v>45230</v>
      </c>
      <c r="I3580" s="1">
        <v>2500</v>
      </c>
      <c r="J3580" s="1">
        <v>2500</v>
      </c>
    </row>
    <row r="3581" spans="2:18">
      <c r="G3581" s="4"/>
    </row>
    <row r="3582" spans="2:18">
      <c r="B3582" s="12" t="s">
        <v>614</v>
      </c>
      <c r="C3582" s="13" t="s">
        <v>969</v>
      </c>
      <c r="D3582" s="13" t="s">
        <v>968</v>
      </c>
      <c r="F3582" s="15">
        <f>+F3583+F3584</f>
        <v>13.755555555555556</v>
      </c>
      <c r="G3582" s="14">
        <f>+G3584</f>
        <v>45124</v>
      </c>
    </row>
    <row r="3583" spans="2:18">
      <c r="C3583" s="2" t="s">
        <v>9</v>
      </c>
      <c r="D3583" s="2" t="s">
        <v>606</v>
      </c>
      <c r="E3583" s="3">
        <v>132</v>
      </c>
      <c r="F3583" s="3">
        <f>72/10</f>
        <v>7.2</v>
      </c>
      <c r="G3583" s="4">
        <v>44215</v>
      </c>
      <c r="I3583" s="1">
        <v>1400</v>
      </c>
      <c r="J3583" s="1">
        <v>1200</v>
      </c>
      <c r="M3583" s="1"/>
      <c r="N3583" s="1"/>
      <c r="O3583" s="1"/>
      <c r="P3583" s="1"/>
      <c r="Q3583" s="1"/>
      <c r="R3583" s="1"/>
    </row>
    <row r="3584" spans="2:18">
      <c r="C3584" s="265" t="s">
        <v>7934</v>
      </c>
      <c r="D3584" s="2" t="s">
        <v>606</v>
      </c>
      <c r="E3584" s="3">
        <v>59</v>
      </c>
      <c r="F3584" s="3">
        <f>59/9</f>
        <v>6.5555555555555554</v>
      </c>
      <c r="G3584" s="4">
        <v>45124</v>
      </c>
      <c r="I3584" s="1">
        <v>1200</v>
      </c>
      <c r="J3584" s="1">
        <v>1200</v>
      </c>
      <c r="M3584" s="1"/>
      <c r="N3584" s="1"/>
      <c r="O3584" s="1"/>
      <c r="P3584" s="1"/>
      <c r="Q3584" s="1"/>
      <c r="R3584" s="1"/>
    </row>
    <row r="3585" spans="2:18">
      <c r="C3585" s="265"/>
      <c r="G3585" s="4"/>
      <c r="M3585" s="1"/>
      <c r="N3585" s="1"/>
      <c r="O3585" s="1"/>
      <c r="P3585" s="1"/>
      <c r="Q3585" s="1"/>
      <c r="R3585" s="1"/>
    </row>
    <row r="3586" spans="2:18">
      <c r="B3586" s="12" t="s">
        <v>910</v>
      </c>
      <c r="C3586" s="13" t="s">
        <v>969</v>
      </c>
      <c r="D3586" s="13" t="s">
        <v>968</v>
      </c>
      <c r="F3586" s="15">
        <f>+F3587+F3588</f>
        <v>7.666666666666667</v>
      </c>
      <c r="G3586" s="14">
        <f>+G3587</f>
        <v>44539</v>
      </c>
    </row>
    <row r="3587" spans="2:18">
      <c r="C3587" s="2" t="s">
        <v>5</v>
      </c>
      <c r="D3587" s="2" t="s">
        <v>907</v>
      </c>
      <c r="E3587" s="3">
        <v>80</v>
      </c>
      <c r="F3587" s="3">
        <f t="shared" ref="F3587:F3870" si="3">40/6</f>
        <v>6.666666666666667</v>
      </c>
      <c r="G3587" s="4">
        <v>44539</v>
      </c>
    </row>
    <row r="3588" spans="2:18">
      <c r="C3588" s="335" t="s">
        <v>4</v>
      </c>
      <c r="D3588" s="335" t="s">
        <v>8303</v>
      </c>
      <c r="E3588" s="3">
        <v>8</v>
      </c>
      <c r="F3588" s="3">
        <v>1</v>
      </c>
      <c r="G3588" s="4">
        <v>44482</v>
      </c>
    </row>
    <row r="3589" spans="2:18">
      <c r="G3589" s="4"/>
    </row>
    <row r="3590" spans="2:18">
      <c r="B3590" s="1" t="s">
        <v>58</v>
      </c>
      <c r="C3590" s="2" t="s">
        <v>5</v>
      </c>
      <c r="D3590" s="2" t="s">
        <v>57</v>
      </c>
      <c r="E3590" s="3">
        <v>29.5</v>
      </c>
      <c r="F3590" s="3">
        <f>E3590-24</f>
        <v>5.5</v>
      </c>
      <c r="G3590" s="4">
        <v>43410</v>
      </c>
    </row>
    <row r="3591" spans="2:18">
      <c r="C3591" s="2" t="s">
        <v>4</v>
      </c>
      <c r="D3591" s="2" t="s">
        <v>7297</v>
      </c>
      <c r="E3591" s="3">
        <v>3</v>
      </c>
      <c r="F3591" s="3">
        <v>1</v>
      </c>
      <c r="G3591" s="4">
        <v>44452</v>
      </c>
    </row>
    <row r="3592" spans="2:18">
      <c r="G3592" s="4"/>
    </row>
    <row r="3593" spans="2:18">
      <c r="B3593" s="264" t="s">
        <v>7905</v>
      </c>
      <c r="C3593" s="153" t="s">
        <v>7</v>
      </c>
      <c r="D3593" s="153" t="s">
        <v>2041</v>
      </c>
      <c r="E3593" s="3">
        <v>42</v>
      </c>
      <c r="F3593" s="3">
        <f>22/4</f>
        <v>5.5</v>
      </c>
      <c r="G3593" s="4">
        <v>44831</v>
      </c>
    </row>
    <row r="3594" spans="2:18">
      <c r="B3594" s="264"/>
      <c r="C3594" s="265" t="s">
        <v>504</v>
      </c>
      <c r="D3594" s="265" t="s">
        <v>1006</v>
      </c>
      <c r="E3594" s="3">
        <v>1000</v>
      </c>
      <c r="F3594" s="3">
        <f>900/23</f>
        <v>39.130434782608695</v>
      </c>
      <c r="G3594" s="4">
        <v>44228</v>
      </c>
      <c r="I3594" s="1">
        <v>27000</v>
      </c>
      <c r="J3594" s="1">
        <v>42500</v>
      </c>
    </row>
    <row r="3595" spans="2:18">
      <c r="B3595" s="152"/>
      <c r="C3595" s="153"/>
      <c r="D3595" s="153"/>
      <c r="G3595" s="4"/>
    </row>
    <row r="3596" spans="2:18">
      <c r="B3596" s="238" t="s">
        <v>7401</v>
      </c>
      <c r="C3596" s="2" t="s">
        <v>4</v>
      </c>
      <c r="D3596" s="2" t="s">
        <v>887</v>
      </c>
      <c r="E3596" s="3">
        <v>20</v>
      </c>
      <c r="F3596" s="3">
        <v>5</v>
      </c>
      <c r="G3596" s="4">
        <v>44614</v>
      </c>
    </row>
    <row r="3597" spans="2:18">
      <c r="C3597" s="241" t="s">
        <v>4</v>
      </c>
      <c r="D3597" s="241" t="s">
        <v>2013</v>
      </c>
      <c r="E3597" s="3">
        <v>11</v>
      </c>
      <c r="F3597" s="3">
        <f>8/6</f>
        <v>1.3333333333333333</v>
      </c>
      <c r="G3597" s="4">
        <v>44686</v>
      </c>
    </row>
    <row r="3598" spans="2:18">
      <c r="G3598" s="4"/>
    </row>
    <row r="3599" spans="2:18">
      <c r="B3599" s="1" t="s">
        <v>875</v>
      </c>
      <c r="C3599" s="2" t="s">
        <v>5</v>
      </c>
      <c r="D3599" s="2" t="s">
        <v>644</v>
      </c>
      <c r="E3599" s="3">
        <v>12.5</v>
      </c>
      <c r="F3599" s="3">
        <f>E3599/3</f>
        <v>4.166666666666667</v>
      </c>
      <c r="G3599" s="4">
        <v>44825</v>
      </c>
    </row>
    <row r="3600" spans="2:18">
      <c r="C3600" s="241" t="s">
        <v>4</v>
      </c>
      <c r="D3600" s="241" t="s">
        <v>2013</v>
      </c>
      <c r="E3600" s="3">
        <v>11</v>
      </c>
      <c r="F3600" s="3">
        <v>3</v>
      </c>
      <c r="G3600" s="247">
        <v>44686</v>
      </c>
    </row>
    <row r="3601" spans="2:9">
      <c r="G3601" s="4"/>
    </row>
    <row r="3602" spans="2:9">
      <c r="B3602" s="1" t="s">
        <v>149</v>
      </c>
      <c r="C3602" s="2" t="s">
        <v>7</v>
      </c>
      <c r="D3602" s="2" t="s">
        <v>148</v>
      </c>
      <c r="E3602" s="3">
        <v>10</v>
      </c>
      <c r="F3602" s="6" t="s">
        <v>147</v>
      </c>
      <c r="G3602" s="4">
        <v>42355</v>
      </c>
    </row>
    <row r="3603" spans="2:9">
      <c r="C3603" s="241" t="s">
        <v>5</v>
      </c>
      <c r="D3603" s="241" t="s">
        <v>2012</v>
      </c>
      <c r="E3603" s="3">
        <v>9</v>
      </c>
      <c r="F3603" s="6">
        <v>1</v>
      </c>
      <c r="G3603" s="4">
        <v>44152</v>
      </c>
    </row>
    <row r="3604" spans="2:9">
      <c r="C3604" s="241" t="s">
        <v>4</v>
      </c>
      <c r="D3604" s="241" t="s">
        <v>2012</v>
      </c>
      <c r="E3604" s="3">
        <v>4</v>
      </c>
      <c r="F3604" s="6">
        <v>1</v>
      </c>
      <c r="G3604" s="4">
        <v>43481</v>
      </c>
    </row>
    <row r="3605" spans="2:9">
      <c r="F3605" s="6"/>
      <c r="G3605" s="4"/>
    </row>
    <row r="3606" spans="2:9">
      <c r="B3606" s="1" t="s">
        <v>285</v>
      </c>
      <c r="C3606" s="2" t="s">
        <v>4</v>
      </c>
      <c r="D3606" s="2" t="s">
        <v>283</v>
      </c>
      <c r="E3606" s="3">
        <v>2.1</v>
      </c>
      <c r="F3606" s="3">
        <v>1.1000000000000001</v>
      </c>
      <c r="G3606" s="4">
        <v>44565</v>
      </c>
    </row>
    <row r="3607" spans="2:9">
      <c r="C3607" s="241" t="s">
        <v>5</v>
      </c>
      <c r="D3607" s="241" t="s">
        <v>7431</v>
      </c>
      <c r="E3607" s="3">
        <v>10</v>
      </c>
      <c r="F3607" s="3">
        <v>4</v>
      </c>
      <c r="G3607" s="4">
        <v>44384</v>
      </c>
    </row>
    <row r="3608" spans="2:9">
      <c r="G3608" s="4"/>
    </row>
    <row r="3609" spans="2:9">
      <c r="B3609" s="1" t="s">
        <v>284</v>
      </c>
      <c r="C3609" s="2" t="s">
        <v>4</v>
      </c>
      <c r="D3609" s="2" t="s">
        <v>283</v>
      </c>
      <c r="E3609" s="3">
        <v>2.1</v>
      </c>
      <c r="F3609" s="3">
        <v>1</v>
      </c>
      <c r="G3609" s="4">
        <v>44565</v>
      </c>
    </row>
    <row r="3610" spans="2:9">
      <c r="C3610" s="241" t="s">
        <v>5</v>
      </c>
      <c r="D3610" s="241" t="s">
        <v>7431</v>
      </c>
      <c r="E3610" s="3">
        <v>10</v>
      </c>
      <c r="F3610" s="3">
        <v>2</v>
      </c>
      <c r="G3610" s="4">
        <v>44384</v>
      </c>
    </row>
    <row r="3611" spans="2:9">
      <c r="G3611" s="4"/>
    </row>
    <row r="3612" spans="2:9">
      <c r="B3612" s="152" t="s">
        <v>6390</v>
      </c>
      <c r="C3612" s="2" t="s">
        <v>5</v>
      </c>
      <c r="D3612" s="2" t="s">
        <v>2039</v>
      </c>
      <c r="E3612" s="3">
        <v>18</v>
      </c>
      <c r="F3612" s="3">
        <v>1</v>
      </c>
      <c r="G3612" s="4">
        <v>43445</v>
      </c>
    </row>
    <row r="3613" spans="2:9">
      <c r="B3613" s="152"/>
      <c r="C3613" s="335" t="s">
        <v>4</v>
      </c>
      <c r="D3613" s="335" t="s">
        <v>9429</v>
      </c>
      <c r="E3613" s="3">
        <v>20</v>
      </c>
      <c r="F3613" s="3">
        <f>16/10</f>
        <v>1.6</v>
      </c>
      <c r="G3613" s="4">
        <v>45061</v>
      </c>
    </row>
    <row r="3614" spans="2:9">
      <c r="B3614" s="152"/>
      <c r="C3614" s="335"/>
      <c r="D3614" s="335"/>
      <c r="G3614" s="4"/>
    </row>
    <row r="3615" spans="2:9">
      <c r="B3615" s="1" t="s">
        <v>967</v>
      </c>
      <c r="C3615" s="2" t="s">
        <v>7</v>
      </c>
      <c r="D3615" s="2" t="s">
        <v>964</v>
      </c>
      <c r="E3615" s="3">
        <v>580</v>
      </c>
      <c r="F3615" s="3">
        <v>580</v>
      </c>
      <c r="G3615" s="4">
        <v>44680</v>
      </c>
      <c r="I3615" s="238" t="s">
        <v>7412</v>
      </c>
    </row>
    <row r="3616" spans="2:9">
      <c r="B3616" s="1" t="s">
        <v>243</v>
      </c>
      <c r="C3616" s="2" t="s">
        <v>8</v>
      </c>
      <c r="D3616" s="2" t="s">
        <v>232</v>
      </c>
      <c r="E3616" s="3">
        <v>750</v>
      </c>
      <c r="F3616" s="3">
        <v>300</v>
      </c>
      <c r="G3616" s="4">
        <v>43593</v>
      </c>
    </row>
    <row r="3617" spans="2:11">
      <c r="B3617" s="1" t="s">
        <v>31</v>
      </c>
      <c r="C3617" s="2" t="s">
        <v>5</v>
      </c>
      <c r="D3617" s="2" t="s">
        <v>29</v>
      </c>
      <c r="E3617" s="3">
        <f>1600/7</f>
        <v>228.57142857142858</v>
      </c>
      <c r="F3617" s="3">
        <v>160</v>
      </c>
      <c r="G3617" s="4">
        <v>45078</v>
      </c>
      <c r="I3617" s="5">
        <v>1000</v>
      </c>
      <c r="J3617" s="5">
        <v>1000</v>
      </c>
    </row>
    <row r="3618" spans="2:11">
      <c r="B3618" s="1" t="s">
        <v>79</v>
      </c>
      <c r="C3618" s="2" t="s">
        <v>53</v>
      </c>
      <c r="D3618" s="2" t="s">
        <v>74</v>
      </c>
      <c r="E3618" s="3">
        <v>250</v>
      </c>
      <c r="F3618" s="3">
        <v>150</v>
      </c>
      <c r="G3618" s="4">
        <v>44510</v>
      </c>
      <c r="I3618" s="5">
        <v>3800</v>
      </c>
      <c r="J3618" s="5">
        <v>3800</v>
      </c>
      <c r="K3618" s="5">
        <f>(E3618/(I3618+E3618))*J3618*(F3618/E3618)</f>
        <v>140.74074074074073</v>
      </c>
    </row>
    <row r="3619" spans="2:11">
      <c r="B3619" s="1" t="s">
        <v>244</v>
      </c>
      <c r="C3619" s="2" t="s">
        <v>8</v>
      </c>
      <c r="D3619" s="2" t="s">
        <v>232</v>
      </c>
      <c r="E3619" s="3">
        <v>750</v>
      </c>
      <c r="F3619" s="3">
        <f>450/4</f>
        <v>112.5</v>
      </c>
      <c r="G3619" s="4">
        <v>43593</v>
      </c>
      <c r="I3619" s="5"/>
      <c r="J3619" s="5"/>
    </row>
    <row r="3620" spans="2:11">
      <c r="B3620" s="91" t="s">
        <v>5642</v>
      </c>
      <c r="C3620" s="92" t="s">
        <v>5</v>
      </c>
      <c r="D3620" s="92" t="s">
        <v>2083</v>
      </c>
      <c r="E3620" s="3">
        <v>110</v>
      </c>
      <c r="F3620" s="3">
        <v>110</v>
      </c>
      <c r="G3620" s="4">
        <v>44509</v>
      </c>
      <c r="I3620" s="5"/>
      <c r="J3620" s="5"/>
    </row>
    <row r="3621" spans="2:11">
      <c r="B3621" s="1" t="s">
        <v>252</v>
      </c>
      <c r="C3621" s="2" t="s">
        <v>18</v>
      </c>
      <c r="D3621" s="2" t="s">
        <v>245</v>
      </c>
      <c r="E3621" s="3">
        <v>820</v>
      </c>
      <c r="F3621" s="3">
        <f>600/6</f>
        <v>100</v>
      </c>
      <c r="G3621" s="4">
        <v>43223</v>
      </c>
      <c r="I3621" s="5"/>
      <c r="J3621" s="5"/>
    </row>
    <row r="3622" spans="2:11">
      <c r="B3622" s="1" t="s">
        <v>251</v>
      </c>
      <c r="C3622" s="2" t="s">
        <v>18</v>
      </c>
      <c r="D3622" s="2" t="s">
        <v>245</v>
      </c>
      <c r="E3622" s="3">
        <v>820</v>
      </c>
      <c r="F3622" s="3">
        <f>600/6</f>
        <v>100</v>
      </c>
      <c r="G3622" s="4">
        <v>43223</v>
      </c>
      <c r="I3622" s="5"/>
      <c r="J3622" s="5"/>
    </row>
    <row r="3623" spans="2:11">
      <c r="B3623" s="1" t="s">
        <v>250</v>
      </c>
      <c r="C3623" s="2" t="s">
        <v>18</v>
      </c>
      <c r="D3623" s="2" t="s">
        <v>245</v>
      </c>
      <c r="E3623" s="3">
        <v>820</v>
      </c>
      <c r="F3623" s="3">
        <f>600/6</f>
        <v>100</v>
      </c>
      <c r="G3623" s="4">
        <v>43223</v>
      </c>
      <c r="I3623" s="5"/>
      <c r="J3623" s="5"/>
    </row>
    <row r="3624" spans="2:11">
      <c r="B3624" s="1" t="s">
        <v>230</v>
      </c>
      <c r="C3624" s="2" t="s">
        <v>8</v>
      </c>
      <c r="D3624" s="2" t="s">
        <v>211</v>
      </c>
      <c r="E3624" s="3">
        <v>700</v>
      </c>
      <c r="F3624" s="3">
        <v>100</v>
      </c>
      <c r="G3624" s="4">
        <v>44218</v>
      </c>
      <c r="I3624" s="5"/>
      <c r="J3624" s="5"/>
    </row>
    <row r="3625" spans="2:11">
      <c r="B3625" s="1" t="s">
        <v>229</v>
      </c>
      <c r="C3625" s="2" t="s">
        <v>8</v>
      </c>
      <c r="D3625" s="2" t="s">
        <v>211</v>
      </c>
      <c r="E3625" s="3">
        <v>700</v>
      </c>
      <c r="F3625" s="3">
        <v>100</v>
      </c>
      <c r="G3625" s="4">
        <v>44218</v>
      </c>
      <c r="I3625" s="5"/>
      <c r="J3625" s="5"/>
    </row>
    <row r="3626" spans="2:11">
      <c r="G3626" s="4"/>
      <c r="I3626" s="5"/>
      <c r="J3626" s="5"/>
    </row>
    <row r="3627" spans="2:11">
      <c r="G3627" s="4"/>
      <c r="I3627" s="5"/>
      <c r="J3627" s="5"/>
    </row>
    <row r="3628" spans="2:11">
      <c r="G3628" s="4"/>
      <c r="I3628" s="5"/>
      <c r="J3628" s="5"/>
    </row>
    <row r="3629" spans="2:11">
      <c r="B3629" s="1" t="s">
        <v>188</v>
      </c>
      <c r="C3629" s="2" t="s">
        <v>9</v>
      </c>
      <c r="D3629" s="2" t="s">
        <v>176</v>
      </c>
      <c r="E3629" s="3">
        <v>392</v>
      </c>
      <c r="F3629" s="3">
        <f>E3629/5</f>
        <v>78.400000000000006</v>
      </c>
      <c r="G3629" s="4">
        <v>43280</v>
      </c>
      <c r="I3629" s="5">
        <v>1200</v>
      </c>
      <c r="J3629" s="5"/>
    </row>
    <row r="3630" spans="2:11">
      <c r="B3630" s="1" t="s">
        <v>187</v>
      </c>
      <c r="C3630" s="2" t="s">
        <v>9</v>
      </c>
      <c r="D3630" s="2" t="s">
        <v>176</v>
      </c>
      <c r="E3630" s="3">
        <v>392</v>
      </c>
      <c r="F3630" s="3">
        <f>E3630/5</f>
        <v>78.400000000000006</v>
      </c>
      <c r="G3630" s="4">
        <v>43280</v>
      </c>
      <c r="I3630" s="5">
        <v>1200</v>
      </c>
      <c r="J3630" s="5"/>
    </row>
    <row r="3631" spans="2:11">
      <c r="B3631" s="1" t="s">
        <v>186</v>
      </c>
      <c r="C3631" s="2" t="s">
        <v>9</v>
      </c>
      <c r="D3631" s="2" t="s">
        <v>176</v>
      </c>
      <c r="E3631" s="3">
        <v>392</v>
      </c>
      <c r="F3631" s="3">
        <f>E3631/5</f>
        <v>78.400000000000006</v>
      </c>
      <c r="G3631" s="4">
        <v>43280</v>
      </c>
      <c r="I3631" s="5">
        <v>1200</v>
      </c>
      <c r="J3631" s="5"/>
    </row>
    <row r="3632" spans="2:11">
      <c r="B3632" s="1" t="s">
        <v>185</v>
      </c>
      <c r="C3632" s="2" t="s">
        <v>9</v>
      </c>
      <c r="D3632" s="2" t="s">
        <v>176</v>
      </c>
      <c r="E3632" s="3">
        <v>392</v>
      </c>
      <c r="F3632" s="3">
        <f>E3632/5</f>
        <v>78.400000000000006</v>
      </c>
      <c r="G3632" s="4">
        <v>43280</v>
      </c>
      <c r="I3632" s="5">
        <v>1200</v>
      </c>
      <c r="J3632" s="5"/>
    </row>
    <row r="3633" spans="2:10">
      <c r="B3633" s="1" t="s">
        <v>254</v>
      </c>
      <c r="C3633" s="2" t="s">
        <v>18</v>
      </c>
      <c r="D3633" s="2" t="s">
        <v>253</v>
      </c>
      <c r="E3633" s="3">
        <v>500</v>
      </c>
      <c r="F3633" s="3">
        <v>75</v>
      </c>
      <c r="G3633" s="4">
        <v>44144</v>
      </c>
      <c r="I3633" s="5"/>
      <c r="J3633" s="5"/>
    </row>
    <row r="3634" spans="2:10">
      <c r="G3634" s="4"/>
      <c r="I3634" s="5"/>
      <c r="J3634" s="5"/>
    </row>
    <row r="3635" spans="2:10">
      <c r="B3635" s="1" t="s">
        <v>256</v>
      </c>
      <c r="C3635" s="2" t="s">
        <v>8</v>
      </c>
      <c r="D3635" s="2" t="s">
        <v>253</v>
      </c>
      <c r="E3635" s="3">
        <v>600</v>
      </c>
      <c r="F3635" s="3">
        <f>500/8</f>
        <v>62.5</v>
      </c>
      <c r="G3635" s="4">
        <v>44502</v>
      </c>
      <c r="I3635" s="5"/>
      <c r="J3635" s="5"/>
    </row>
    <row r="3636" spans="2:10">
      <c r="G3636" s="4"/>
      <c r="I3636" s="5"/>
      <c r="J3636" s="5"/>
    </row>
    <row r="3637" spans="2:10">
      <c r="B3637" s="1" t="s">
        <v>30</v>
      </c>
      <c r="C3637" s="2" t="s">
        <v>5</v>
      </c>
      <c r="D3637" s="2" t="s">
        <v>29</v>
      </c>
      <c r="E3637" s="3">
        <f>1600/7</f>
        <v>228.57142857142858</v>
      </c>
      <c r="F3637" s="3">
        <f>109/2</f>
        <v>54.5</v>
      </c>
      <c r="G3637" s="4">
        <v>45078</v>
      </c>
      <c r="I3637" s="5">
        <v>1000</v>
      </c>
      <c r="J3637" s="5">
        <v>1000</v>
      </c>
    </row>
    <row r="3638" spans="2:10">
      <c r="B3638" s="1" t="s">
        <v>86</v>
      </c>
      <c r="C3638" s="2" t="s">
        <v>18</v>
      </c>
      <c r="D3638" s="2" t="s">
        <v>80</v>
      </c>
      <c r="E3638" s="3">
        <v>257</v>
      </c>
      <c r="F3638" s="3">
        <v>50</v>
      </c>
      <c r="G3638" s="4">
        <v>44201</v>
      </c>
      <c r="I3638" s="5">
        <v>1286</v>
      </c>
      <c r="J3638" s="5"/>
    </row>
    <row r="3639" spans="2:10">
      <c r="B3639" s="1" t="s">
        <v>2</v>
      </c>
      <c r="C3639" s="2" t="s">
        <v>1</v>
      </c>
      <c r="D3639" s="2" t="s">
        <v>0</v>
      </c>
      <c r="E3639" s="3">
        <v>300</v>
      </c>
      <c r="F3639" s="3">
        <v>50</v>
      </c>
      <c r="G3639" s="4">
        <v>45044</v>
      </c>
      <c r="I3639" s="5">
        <v>28700</v>
      </c>
      <c r="J3639" s="5">
        <v>28700</v>
      </c>
    </row>
    <row r="3640" spans="2:10">
      <c r="B3640" s="1" t="s">
        <v>4361</v>
      </c>
      <c r="C3640" s="2" t="s">
        <v>9</v>
      </c>
      <c r="D3640" s="2" t="s">
        <v>3935</v>
      </c>
      <c r="E3640" s="3">
        <v>50</v>
      </c>
      <c r="F3640" s="3">
        <v>50</v>
      </c>
      <c r="G3640" s="4">
        <v>44321</v>
      </c>
      <c r="I3640" s="5"/>
      <c r="J3640" s="5"/>
    </row>
    <row r="3641" spans="2:10">
      <c r="B3641" s="1" t="s">
        <v>238</v>
      </c>
      <c r="C3641" s="2" t="s">
        <v>18</v>
      </c>
      <c r="D3641" s="2" t="s">
        <v>232</v>
      </c>
      <c r="E3641" s="3">
        <v>460</v>
      </c>
      <c r="F3641" s="3">
        <f>160/4</f>
        <v>40</v>
      </c>
      <c r="G3641" s="4">
        <v>43040</v>
      </c>
      <c r="I3641" s="5"/>
      <c r="J3641" s="5"/>
    </row>
    <row r="3642" spans="2:10">
      <c r="B3642" s="1" t="s">
        <v>237</v>
      </c>
      <c r="C3642" s="2" t="s">
        <v>18</v>
      </c>
      <c r="D3642" s="2" t="s">
        <v>232</v>
      </c>
      <c r="E3642" s="3">
        <v>460</v>
      </c>
      <c r="F3642" s="3">
        <f>160/4</f>
        <v>40</v>
      </c>
      <c r="G3642" s="4">
        <v>43040</v>
      </c>
      <c r="I3642" s="5"/>
      <c r="J3642" s="5"/>
    </row>
    <row r="3643" spans="2:10">
      <c r="B3643" s="1" t="s">
        <v>235</v>
      </c>
      <c r="C3643" s="2" t="s">
        <v>18</v>
      </c>
      <c r="D3643" s="2" t="s">
        <v>232</v>
      </c>
      <c r="E3643" s="3">
        <v>100</v>
      </c>
      <c r="F3643" s="3">
        <v>40</v>
      </c>
      <c r="G3643" s="4">
        <v>42735</v>
      </c>
      <c r="I3643" s="5"/>
      <c r="J3643" s="5"/>
    </row>
    <row r="3644" spans="2:10">
      <c r="B3644" s="1" t="s">
        <v>4327</v>
      </c>
      <c r="C3644" s="2" t="s">
        <v>8</v>
      </c>
      <c r="D3644" s="2" t="s">
        <v>2134</v>
      </c>
      <c r="E3644" s="3">
        <v>200</v>
      </c>
      <c r="F3644" s="3">
        <v>40</v>
      </c>
      <c r="G3644" s="4">
        <v>44237</v>
      </c>
      <c r="I3644" s="5"/>
      <c r="J3644" s="5"/>
    </row>
    <row r="3645" spans="2:10">
      <c r="B3645" s="1" t="s">
        <v>196</v>
      </c>
      <c r="C3645" s="2" t="s">
        <v>53</v>
      </c>
      <c r="D3645" s="2" t="s">
        <v>176</v>
      </c>
      <c r="E3645" s="3">
        <v>475</v>
      </c>
      <c r="F3645" s="3">
        <f t="shared" ref="F3645:F3651" si="4">E3645/12</f>
        <v>39.583333333333336</v>
      </c>
      <c r="G3645" s="4">
        <v>44278</v>
      </c>
      <c r="I3645" s="5"/>
      <c r="J3645" s="5"/>
    </row>
    <row r="3646" spans="2:10">
      <c r="B3646" s="1" t="s">
        <v>195</v>
      </c>
      <c r="C3646" s="2" t="s">
        <v>53</v>
      </c>
      <c r="D3646" s="2" t="s">
        <v>176</v>
      </c>
      <c r="E3646" s="3">
        <v>475</v>
      </c>
      <c r="F3646" s="3">
        <f t="shared" si="4"/>
        <v>39.583333333333336</v>
      </c>
      <c r="G3646" s="4">
        <v>44278</v>
      </c>
      <c r="I3646" s="5"/>
      <c r="J3646" s="5"/>
    </row>
    <row r="3647" spans="2:10">
      <c r="B3647" s="176" t="s">
        <v>6806</v>
      </c>
      <c r="C3647" s="2" t="s">
        <v>53</v>
      </c>
      <c r="D3647" s="2" t="s">
        <v>176</v>
      </c>
      <c r="E3647" s="3">
        <v>475</v>
      </c>
      <c r="F3647" s="3">
        <f t="shared" si="4"/>
        <v>39.583333333333336</v>
      </c>
      <c r="G3647" s="4">
        <v>44278</v>
      </c>
      <c r="I3647" s="5"/>
      <c r="J3647" s="5"/>
    </row>
    <row r="3648" spans="2:10">
      <c r="B3648" s="1" t="s">
        <v>194</v>
      </c>
      <c r="C3648" s="2" t="s">
        <v>53</v>
      </c>
      <c r="D3648" s="2" t="s">
        <v>176</v>
      </c>
      <c r="E3648" s="3">
        <v>475</v>
      </c>
      <c r="F3648" s="3">
        <f t="shared" si="4"/>
        <v>39.583333333333336</v>
      </c>
      <c r="G3648" s="4">
        <v>44278</v>
      </c>
      <c r="I3648" s="5"/>
      <c r="J3648" s="5"/>
    </row>
    <row r="3649" spans="2:18">
      <c r="B3649" s="1" t="s">
        <v>191</v>
      </c>
      <c r="C3649" s="2" t="s">
        <v>53</v>
      </c>
      <c r="D3649" s="2" t="s">
        <v>176</v>
      </c>
      <c r="E3649" s="3">
        <v>475</v>
      </c>
      <c r="F3649" s="3">
        <f t="shared" si="4"/>
        <v>39.583333333333336</v>
      </c>
      <c r="G3649" s="4">
        <v>44278</v>
      </c>
      <c r="I3649" s="5"/>
      <c r="J3649" s="5"/>
    </row>
    <row r="3650" spans="2:18">
      <c r="B3650" s="1" t="s">
        <v>190</v>
      </c>
      <c r="C3650" s="2" t="s">
        <v>53</v>
      </c>
      <c r="D3650" s="2" t="s">
        <v>176</v>
      </c>
      <c r="E3650" s="3">
        <v>475</v>
      </c>
      <c r="F3650" s="3">
        <f t="shared" si="4"/>
        <v>39.583333333333336</v>
      </c>
      <c r="G3650" s="4">
        <v>44278</v>
      </c>
      <c r="I3650" s="5"/>
      <c r="J3650" s="5"/>
    </row>
    <row r="3651" spans="2:18">
      <c r="B3651" s="1" t="s">
        <v>189</v>
      </c>
      <c r="C3651" s="2" t="s">
        <v>53</v>
      </c>
      <c r="D3651" s="2" t="s">
        <v>176</v>
      </c>
      <c r="E3651" s="3">
        <v>475</v>
      </c>
      <c r="F3651" s="3">
        <f t="shared" si="4"/>
        <v>39.583333333333336</v>
      </c>
      <c r="G3651" s="4">
        <v>44278</v>
      </c>
      <c r="I3651" s="5"/>
      <c r="J3651" s="5"/>
    </row>
    <row r="3652" spans="2:18">
      <c r="B3652" s="1" t="s">
        <v>221</v>
      </c>
      <c r="C3652" s="2" t="s">
        <v>18</v>
      </c>
      <c r="D3652" s="2" t="s">
        <v>211</v>
      </c>
      <c r="E3652" s="3">
        <v>230</v>
      </c>
      <c r="F3652" s="3">
        <f>E3652/6</f>
        <v>38.333333333333336</v>
      </c>
      <c r="G3652" s="4">
        <v>43923</v>
      </c>
      <c r="I3652" s="5"/>
      <c r="J3652" s="5"/>
    </row>
    <row r="3653" spans="2:18">
      <c r="B3653" s="1" t="s">
        <v>219</v>
      </c>
      <c r="C3653" s="2" t="s">
        <v>18</v>
      </c>
      <c r="D3653" s="2" t="s">
        <v>211</v>
      </c>
      <c r="E3653" s="3">
        <v>230</v>
      </c>
      <c r="F3653" s="3">
        <f>E3653/6</f>
        <v>38.333333333333336</v>
      </c>
      <c r="G3653" s="4">
        <v>43923</v>
      </c>
      <c r="I3653" s="5"/>
      <c r="J3653" s="5"/>
    </row>
    <row r="3654" spans="2:18">
      <c r="B3654" s="1" t="s">
        <v>67</v>
      </c>
      <c r="C3654" s="2" t="s">
        <v>5</v>
      </c>
      <c r="D3654" s="2" t="s">
        <v>64</v>
      </c>
      <c r="E3654" s="3">
        <f>500/7</f>
        <v>71.428571428571431</v>
      </c>
      <c r="F3654" s="3">
        <f>E3654/2</f>
        <v>35.714285714285715</v>
      </c>
      <c r="G3654" s="4">
        <v>44315</v>
      </c>
      <c r="I3654" s="5"/>
      <c r="J3654" s="5"/>
    </row>
    <row r="3655" spans="2:18">
      <c r="B3655" s="1" t="s">
        <v>159</v>
      </c>
      <c r="C3655" s="2" t="s">
        <v>9</v>
      </c>
      <c r="D3655" s="2" t="s">
        <v>154</v>
      </c>
      <c r="E3655" s="3">
        <v>400</v>
      </c>
      <c r="F3655" s="3">
        <f>320/9</f>
        <v>35.555555555555557</v>
      </c>
      <c r="G3655" s="4">
        <v>44413</v>
      </c>
      <c r="I3655" s="5">
        <v>4200</v>
      </c>
      <c r="J3655" s="5"/>
    </row>
    <row r="3656" spans="2:18">
      <c r="B3656" s="1" t="s">
        <v>171</v>
      </c>
      <c r="C3656" s="2" t="s">
        <v>18</v>
      </c>
      <c r="D3656" s="2" t="s">
        <v>161</v>
      </c>
      <c r="E3656" s="3">
        <v>267</v>
      </c>
      <c r="F3656" s="3">
        <f>167/5</f>
        <v>33.4</v>
      </c>
      <c r="G3656" s="4">
        <v>44140</v>
      </c>
      <c r="I3656" s="5">
        <v>5000</v>
      </c>
      <c r="J3656" s="5">
        <v>8400</v>
      </c>
    </row>
    <row r="3657" spans="2:18">
      <c r="B3657" s="1" t="s">
        <v>228</v>
      </c>
      <c r="C3657" s="2" t="s">
        <v>8</v>
      </c>
      <c r="D3657" s="2" t="s">
        <v>211</v>
      </c>
      <c r="E3657" s="3">
        <v>700</v>
      </c>
      <c r="F3657" s="3">
        <f t="shared" ref="F3657:F3662" si="5">400/12</f>
        <v>33.333333333333336</v>
      </c>
      <c r="G3657" s="4">
        <v>44218</v>
      </c>
      <c r="I3657" s="5"/>
      <c r="J3657" s="5"/>
    </row>
    <row r="3658" spans="2:18">
      <c r="B3658" s="1" t="s">
        <v>227</v>
      </c>
      <c r="C3658" s="2" t="s">
        <v>8</v>
      </c>
      <c r="D3658" s="2" t="s">
        <v>211</v>
      </c>
      <c r="E3658" s="3">
        <v>700</v>
      </c>
      <c r="F3658" s="3">
        <f t="shared" si="5"/>
        <v>33.333333333333336</v>
      </c>
      <c r="G3658" s="4">
        <v>44218</v>
      </c>
      <c r="I3658" s="5"/>
      <c r="J3658" s="5"/>
    </row>
    <row r="3659" spans="2:18">
      <c r="B3659" s="1" t="s">
        <v>226</v>
      </c>
      <c r="C3659" s="2" t="s">
        <v>8</v>
      </c>
      <c r="D3659" s="2" t="s">
        <v>211</v>
      </c>
      <c r="E3659" s="3">
        <v>700</v>
      </c>
      <c r="F3659" s="3">
        <f t="shared" si="5"/>
        <v>33.333333333333336</v>
      </c>
      <c r="G3659" s="4">
        <v>44218</v>
      </c>
      <c r="I3659" s="5"/>
      <c r="J3659" s="5"/>
    </row>
    <row r="3660" spans="2:18">
      <c r="B3660" s="1" t="s">
        <v>224</v>
      </c>
      <c r="C3660" s="2" t="s">
        <v>8</v>
      </c>
      <c r="D3660" s="2" t="s">
        <v>211</v>
      </c>
      <c r="E3660" s="3">
        <v>700</v>
      </c>
      <c r="F3660" s="3">
        <f t="shared" si="5"/>
        <v>33.333333333333336</v>
      </c>
      <c r="G3660" s="4">
        <v>44218</v>
      </c>
      <c r="I3660" s="5"/>
      <c r="J3660" s="5"/>
    </row>
    <row r="3661" spans="2:18">
      <c r="B3661" s="1" t="s">
        <v>223</v>
      </c>
      <c r="C3661" s="2" t="s">
        <v>8</v>
      </c>
      <c r="D3661" s="2" t="s">
        <v>211</v>
      </c>
      <c r="E3661" s="3">
        <v>700</v>
      </c>
      <c r="F3661" s="3">
        <f t="shared" si="5"/>
        <v>33.333333333333336</v>
      </c>
      <c r="G3661" s="4">
        <v>44218</v>
      </c>
      <c r="I3661" s="5"/>
      <c r="J3661" s="5"/>
    </row>
    <row r="3662" spans="2:18">
      <c r="B3662" s="1" t="s">
        <v>222</v>
      </c>
      <c r="C3662" s="2" t="s">
        <v>8</v>
      </c>
      <c r="D3662" s="2" t="s">
        <v>211</v>
      </c>
      <c r="E3662" s="3">
        <v>700</v>
      </c>
      <c r="F3662" s="3">
        <f t="shared" si="5"/>
        <v>33.333333333333336</v>
      </c>
      <c r="G3662" s="4">
        <v>44218</v>
      </c>
      <c r="I3662" s="5"/>
      <c r="J3662" s="5"/>
    </row>
    <row r="3663" spans="2:18">
      <c r="B3663" s="1" t="s">
        <v>415</v>
      </c>
      <c r="C3663" s="2" t="s">
        <v>18</v>
      </c>
      <c r="D3663" s="2" t="s">
        <v>414</v>
      </c>
      <c r="E3663" s="3">
        <v>65</v>
      </c>
      <c r="F3663" s="3">
        <v>32.5</v>
      </c>
      <c r="G3663" s="4">
        <v>43789</v>
      </c>
      <c r="M3663" s="1"/>
      <c r="N3663" s="1"/>
      <c r="O3663" s="1"/>
      <c r="P3663" s="1"/>
      <c r="Q3663" s="1"/>
      <c r="R3663" s="1"/>
    </row>
    <row r="3664" spans="2:18">
      <c r="B3664" s="1" t="s">
        <v>507</v>
      </c>
      <c r="C3664" s="2" t="s">
        <v>504</v>
      </c>
      <c r="D3664" s="2" t="s">
        <v>489</v>
      </c>
      <c r="E3664" s="3">
        <v>250</v>
      </c>
      <c r="F3664" s="3">
        <f>150/5</f>
        <v>30</v>
      </c>
      <c r="G3664" s="4">
        <v>44376</v>
      </c>
      <c r="M3664" s="1"/>
      <c r="N3664" s="1"/>
      <c r="O3664" s="1"/>
      <c r="P3664" s="1"/>
      <c r="Q3664" s="1"/>
      <c r="R3664" s="1"/>
    </row>
    <row r="3665" spans="2:18">
      <c r="B3665" s="1" t="s">
        <v>506</v>
      </c>
      <c r="C3665" s="2" t="s">
        <v>504</v>
      </c>
      <c r="D3665" s="2" t="s">
        <v>489</v>
      </c>
      <c r="E3665" s="3">
        <v>250</v>
      </c>
      <c r="F3665" s="3">
        <f>150/5</f>
        <v>30</v>
      </c>
      <c r="G3665" s="4">
        <v>44376</v>
      </c>
      <c r="M3665" s="1"/>
      <c r="N3665" s="1"/>
      <c r="O3665" s="1"/>
      <c r="P3665" s="1"/>
      <c r="Q3665" s="1"/>
      <c r="R3665" s="1"/>
    </row>
    <row r="3666" spans="2:18">
      <c r="G3666" s="4"/>
      <c r="M3666" s="1"/>
      <c r="N3666" s="1"/>
      <c r="O3666" s="1"/>
      <c r="P3666" s="1"/>
      <c r="Q3666" s="1"/>
      <c r="R3666" s="1"/>
    </row>
    <row r="3667" spans="2:18">
      <c r="B3667" s="1" t="s">
        <v>373</v>
      </c>
      <c r="C3667" s="2" t="s">
        <v>7</v>
      </c>
      <c r="D3667" s="2" t="s">
        <v>363</v>
      </c>
      <c r="E3667" s="3">
        <v>120</v>
      </c>
      <c r="F3667" s="3">
        <v>30</v>
      </c>
      <c r="G3667" s="4">
        <v>44602</v>
      </c>
      <c r="M3667" s="1"/>
      <c r="N3667" s="1"/>
      <c r="O3667" s="1"/>
      <c r="P3667" s="1"/>
      <c r="Q3667" s="1"/>
      <c r="R3667" s="1"/>
    </row>
    <row r="3668" spans="2:18">
      <c r="B3668" s="1" t="s">
        <v>203</v>
      </c>
      <c r="C3668" s="2" t="s">
        <v>7</v>
      </c>
      <c r="D3668" s="2" t="s">
        <v>197</v>
      </c>
      <c r="E3668" s="3">
        <v>120</v>
      </c>
      <c r="F3668" s="3">
        <v>30</v>
      </c>
      <c r="G3668" s="4">
        <v>43391</v>
      </c>
    </row>
    <row r="3669" spans="2:18">
      <c r="B3669" s="1" t="s">
        <v>201</v>
      </c>
      <c r="C3669" s="2" t="s">
        <v>7</v>
      </c>
      <c r="D3669" s="2" t="s">
        <v>197</v>
      </c>
      <c r="E3669" s="3">
        <v>120</v>
      </c>
      <c r="F3669" s="3">
        <v>30</v>
      </c>
      <c r="G3669" s="4">
        <v>43391</v>
      </c>
    </row>
    <row r="3670" spans="2:18">
      <c r="B3670" s="1" t="s">
        <v>73</v>
      </c>
      <c r="C3670" s="2" t="s">
        <v>7</v>
      </c>
      <c r="D3670" s="2" t="s">
        <v>64</v>
      </c>
      <c r="E3670" s="3">
        <f>1600/7</f>
        <v>228.57142857142858</v>
      </c>
      <c r="F3670" s="3">
        <v>30</v>
      </c>
      <c r="G3670" s="4">
        <v>44550</v>
      </c>
    </row>
    <row r="3671" spans="2:18">
      <c r="B3671" s="1" t="s">
        <v>70</v>
      </c>
      <c r="C3671" s="2" t="s">
        <v>7</v>
      </c>
      <c r="D3671" s="2" t="s">
        <v>64</v>
      </c>
      <c r="E3671" s="3">
        <f>1600/7</f>
        <v>228.57142857142858</v>
      </c>
      <c r="F3671" s="3">
        <v>30</v>
      </c>
      <c r="G3671" s="4">
        <v>44550</v>
      </c>
    </row>
    <row r="3672" spans="2:18">
      <c r="B3672" s="1" t="s">
        <v>68</v>
      </c>
      <c r="C3672" s="2" t="s">
        <v>7</v>
      </c>
      <c r="D3672" s="2" t="s">
        <v>64</v>
      </c>
      <c r="E3672" s="3">
        <f>1600/7</f>
        <v>228.57142857142858</v>
      </c>
      <c r="F3672" s="3">
        <v>30</v>
      </c>
      <c r="G3672" s="4">
        <v>44550</v>
      </c>
    </row>
    <row r="3673" spans="2:18">
      <c r="B3673" s="1" t="s">
        <v>21</v>
      </c>
      <c r="C3673" s="2" t="s">
        <v>8</v>
      </c>
      <c r="D3673" s="2" t="s">
        <v>15</v>
      </c>
      <c r="E3673" s="3">
        <v>220</v>
      </c>
      <c r="F3673" s="3">
        <v>30</v>
      </c>
      <c r="G3673" s="4">
        <v>44502</v>
      </c>
      <c r="I3673" s="1">
        <v>794</v>
      </c>
      <c r="J3673" s="1">
        <v>794</v>
      </c>
    </row>
    <row r="3674" spans="2:18">
      <c r="B3674" s="1" t="s">
        <v>4379</v>
      </c>
      <c r="C3674" s="2" t="s">
        <v>7</v>
      </c>
      <c r="D3674" s="2" t="s">
        <v>2130</v>
      </c>
      <c r="E3674" s="3">
        <f>1300/7</f>
        <v>185.71428571428572</v>
      </c>
      <c r="F3674" s="3">
        <v>30</v>
      </c>
      <c r="G3674" s="4">
        <v>44648</v>
      </c>
    </row>
    <row r="3675" spans="2:18">
      <c r="B3675" s="1" t="s">
        <v>4380</v>
      </c>
      <c r="C3675" s="2" t="s">
        <v>7</v>
      </c>
      <c r="D3675" s="2" t="s">
        <v>2130</v>
      </c>
      <c r="E3675" s="3">
        <f>1300/7</f>
        <v>185.71428571428572</v>
      </c>
      <c r="F3675" s="3">
        <v>30</v>
      </c>
      <c r="G3675" s="4">
        <v>44648</v>
      </c>
    </row>
    <row r="3676" spans="2:18">
      <c r="B3676" s="54" t="s">
        <v>5000</v>
      </c>
      <c r="C3676" s="55" t="s">
        <v>53</v>
      </c>
      <c r="D3676" s="55" t="s">
        <v>4996</v>
      </c>
      <c r="E3676" s="3">
        <v>100</v>
      </c>
      <c r="F3676" s="3">
        <v>30</v>
      </c>
      <c r="G3676" s="4">
        <v>44474</v>
      </c>
    </row>
    <row r="3677" spans="2:18">
      <c r="B3677" s="1" t="s">
        <v>4365</v>
      </c>
      <c r="C3677" s="2" t="s">
        <v>504</v>
      </c>
      <c r="D3677" s="2" t="s">
        <v>3935</v>
      </c>
      <c r="E3677" s="3">
        <v>56</v>
      </c>
      <c r="F3677" s="3">
        <f>E3677/2</f>
        <v>28</v>
      </c>
      <c r="G3677" s="4">
        <v>41183</v>
      </c>
    </row>
    <row r="3678" spans="2:18">
      <c r="B3678" s="1" t="s">
        <v>960</v>
      </c>
      <c r="C3678" s="2" t="s">
        <v>7</v>
      </c>
      <c r="D3678" s="2" t="s">
        <v>430</v>
      </c>
      <c r="E3678" s="3">
        <v>26</v>
      </c>
      <c r="F3678" s="3">
        <v>26</v>
      </c>
      <c r="G3678" s="4">
        <v>44594</v>
      </c>
    </row>
    <row r="3679" spans="2:18">
      <c r="B3679" s="1" t="s">
        <v>959</v>
      </c>
      <c r="C3679" s="2" t="s">
        <v>4</v>
      </c>
      <c r="D3679" s="2" t="s">
        <v>936</v>
      </c>
      <c r="E3679" s="3">
        <v>100</v>
      </c>
      <c r="F3679" s="3">
        <v>25</v>
      </c>
      <c r="G3679" s="4">
        <v>44846</v>
      </c>
    </row>
    <row r="3680" spans="2:18">
      <c r="G3680" s="4"/>
    </row>
    <row r="3681" spans="2:18">
      <c r="B3681" s="1" t="s">
        <v>958</v>
      </c>
      <c r="C3681" s="265" t="s">
        <v>1040</v>
      </c>
      <c r="D3681" s="2" t="s">
        <v>957</v>
      </c>
      <c r="E3681" s="3">
        <v>141</v>
      </c>
      <c r="F3681" s="3">
        <v>30</v>
      </c>
      <c r="G3681" s="4">
        <v>45106</v>
      </c>
      <c r="I3681" s="1">
        <v>1400</v>
      </c>
      <c r="J3681" s="1">
        <v>1400</v>
      </c>
    </row>
    <row r="3682" spans="2:18">
      <c r="G3682" s="4"/>
    </row>
    <row r="3683" spans="2:18">
      <c r="G3683" s="4"/>
    </row>
    <row r="3684" spans="2:18">
      <c r="G3684" s="4"/>
    </row>
    <row r="3685" spans="2:18">
      <c r="B3685" s="1" t="s">
        <v>532</v>
      </c>
      <c r="C3685" s="2" t="s">
        <v>8</v>
      </c>
      <c r="D3685" s="2" t="s">
        <v>520</v>
      </c>
      <c r="E3685" s="3">
        <v>100</v>
      </c>
      <c r="F3685" s="3">
        <v>25</v>
      </c>
      <c r="G3685" s="4">
        <v>44419</v>
      </c>
      <c r="M3685" s="1"/>
      <c r="N3685" s="1"/>
      <c r="O3685" s="1"/>
      <c r="P3685" s="1"/>
      <c r="Q3685" s="1"/>
      <c r="R3685" s="1"/>
    </row>
    <row r="3686" spans="2:18">
      <c r="B3686" s="54" t="s">
        <v>4978</v>
      </c>
      <c r="C3686" s="55" t="s">
        <v>9</v>
      </c>
      <c r="D3686" s="55" t="s">
        <v>2112</v>
      </c>
      <c r="E3686" s="3">
        <v>100</v>
      </c>
      <c r="F3686" s="3">
        <v>25</v>
      </c>
      <c r="G3686" s="4">
        <v>44507</v>
      </c>
      <c r="I3686" s="1">
        <v>1600</v>
      </c>
      <c r="J3686" s="1">
        <v>1600</v>
      </c>
    </row>
    <row r="3687" spans="2:18">
      <c r="B3687" s="1" t="s">
        <v>44</v>
      </c>
      <c r="C3687" s="2" t="s">
        <v>9</v>
      </c>
      <c r="D3687" s="2" t="s">
        <v>39</v>
      </c>
      <c r="E3687" s="3">
        <v>230</v>
      </c>
      <c r="F3687" s="3">
        <f>170/7</f>
        <v>24.285714285714285</v>
      </c>
      <c r="G3687" s="4">
        <v>44984</v>
      </c>
      <c r="I3687" s="1">
        <v>2000</v>
      </c>
      <c r="J3687" s="1">
        <v>2000</v>
      </c>
    </row>
    <row r="3688" spans="2:18">
      <c r="B3688" s="1" t="s">
        <v>43</v>
      </c>
      <c r="C3688" s="2" t="s">
        <v>9</v>
      </c>
      <c r="D3688" s="2" t="s">
        <v>39</v>
      </c>
      <c r="E3688" s="3">
        <v>230</v>
      </c>
      <c r="F3688" s="3">
        <f>170/7</f>
        <v>24.285714285714285</v>
      </c>
      <c r="G3688" s="4">
        <v>44984</v>
      </c>
      <c r="I3688" s="1">
        <v>2000</v>
      </c>
      <c r="J3688" s="1">
        <v>2000</v>
      </c>
    </row>
    <row r="3689" spans="2:18">
      <c r="B3689" s="1" t="s">
        <v>956</v>
      </c>
      <c r="C3689" s="2" t="s">
        <v>18</v>
      </c>
      <c r="D3689" s="2" t="s">
        <v>952</v>
      </c>
      <c r="E3689" s="3">
        <v>270</v>
      </c>
      <c r="F3689" s="3">
        <v>24</v>
      </c>
      <c r="G3689" s="4">
        <v>45048</v>
      </c>
    </row>
    <row r="3690" spans="2:18">
      <c r="B3690" s="1" t="s">
        <v>954</v>
      </c>
      <c r="C3690" s="2" t="s">
        <v>18</v>
      </c>
      <c r="D3690" s="2" t="s">
        <v>952</v>
      </c>
      <c r="E3690" s="3">
        <v>270</v>
      </c>
      <c r="F3690" s="3">
        <v>24</v>
      </c>
      <c r="G3690" s="4">
        <v>45048</v>
      </c>
    </row>
    <row r="3691" spans="2:18">
      <c r="B3691" s="1" t="s">
        <v>953</v>
      </c>
      <c r="C3691" s="2" t="s">
        <v>18</v>
      </c>
      <c r="D3691" s="2" t="s">
        <v>952</v>
      </c>
      <c r="E3691" s="3">
        <v>270</v>
      </c>
      <c r="F3691" s="3">
        <v>24</v>
      </c>
      <c r="G3691" s="4">
        <v>45048</v>
      </c>
    </row>
    <row r="3692" spans="2:18">
      <c r="B3692" s="1" t="s">
        <v>206</v>
      </c>
      <c r="C3692" s="2" t="s">
        <v>18</v>
      </c>
      <c r="D3692" s="2" t="s">
        <v>197</v>
      </c>
      <c r="E3692" s="3">
        <v>500</v>
      </c>
      <c r="F3692" s="3">
        <f>200/9</f>
        <v>22.222222222222221</v>
      </c>
      <c r="G3692" s="4">
        <v>44274</v>
      </c>
    </row>
    <row r="3693" spans="2:18">
      <c r="G3693" s="4"/>
    </row>
    <row r="3694" spans="2:18">
      <c r="B3694" s="1" t="s">
        <v>951</v>
      </c>
      <c r="C3694" s="2" t="s">
        <v>7</v>
      </c>
      <c r="D3694" s="2" t="s">
        <v>949</v>
      </c>
      <c r="E3694" s="3">
        <v>350</v>
      </c>
      <c r="F3694" s="3">
        <v>20</v>
      </c>
      <c r="G3694" s="4">
        <v>44999</v>
      </c>
    </row>
    <row r="3695" spans="2:18">
      <c r="B3695" s="1" t="s">
        <v>950</v>
      </c>
      <c r="C3695" s="2" t="s">
        <v>7</v>
      </c>
      <c r="D3695" s="2" t="s">
        <v>949</v>
      </c>
      <c r="E3695" s="3">
        <v>350</v>
      </c>
      <c r="F3695" s="3">
        <v>20</v>
      </c>
      <c r="G3695" s="4">
        <v>44999</v>
      </c>
    </row>
    <row r="3696" spans="2:18">
      <c r="B3696" s="1" t="s">
        <v>948</v>
      </c>
      <c r="C3696" s="2" t="s">
        <v>4</v>
      </c>
      <c r="D3696" s="2" t="s">
        <v>912</v>
      </c>
      <c r="E3696" s="3">
        <v>42</v>
      </c>
      <c r="F3696" s="3">
        <v>20</v>
      </c>
      <c r="G3696" s="4">
        <v>44882</v>
      </c>
    </row>
    <row r="3697" spans="2:18">
      <c r="B3697" s="1" t="s">
        <v>547</v>
      </c>
      <c r="C3697" s="2" t="s">
        <v>5</v>
      </c>
      <c r="D3697" s="2" t="s">
        <v>546</v>
      </c>
      <c r="E3697" s="3">
        <v>58</v>
      </c>
      <c r="F3697" s="3">
        <v>20</v>
      </c>
      <c r="G3697" s="4">
        <v>45104</v>
      </c>
      <c r="M3697" s="1"/>
      <c r="N3697" s="1"/>
      <c r="O3697" s="1"/>
      <c r="P3697" s="1"/>
      <c r="Q3697" s="1"/>
      <c r="R3697" s="1"/>
    </row>
    <row r="3698" spans="2:18">
      <c r="B3698" s="1" t="s">
        <v>392</v>
      </c>
      <c r="C3698" s="2" t="s">
        <v>18</v>
      </c>
      <c r="D3698" s="2" t="s">
        <v>386</v>
      </c>
      <c r="E3698" s="3">
        <v>110</v>
      </c>
      <c r="F3698" s="3">
        <v>20</v>
      </c>
      <c r="G3698" s="4">
        <v>43690</v>
      </c>
      <c r="M3698" s="1"/>
      <c r="N3698" s="1"/>
      <c r="O3698" s="1"/>
      <c r="P3698" s="1"/>
      <c r="Q3698" s="1"/>
      <c r="R3698" s="1"/>
    </row>
    <row r="3699" spans="2:18">
      <c r="B3699" s="1" t="s">
        <v>4321</v>
      </c>
      <c r="C3699" s="2" t="s">
        <v>8</v>
      </c>
      <c r="D3699" s="2" t="s">
        <v>2134</v>
      </c>
      <c r="E3699" s="3">
        <v>220</v>
      </c>
      <c r="F3699" s="3">
        <v>20</v>
      </c>
      <c r="G3699" s="4">
        <v>44287</v>
      </c>
    </row>
    <row r="3700" spans="2:18">
      <c r="B3700" s="1" t="s">
        <v>166</v>
      </c>
      <c r="C3700" s="2" t="s">
        <v>5</v>
      </c>
      <c r="D3700" s="2" t="s">
        <v>161</v>
      </c>
      <c r="E3700" s="3">
        <v>112</v>
      </c>
      <c r="F3700" s="3">
        <v>20</v>
      </c>
      <c r="G3700" s="4">
        <v>43115</v>
      </c>
      <c r="J3700" s="1">
        <v>8400</v>
      </c>
    </row>
    <row r="3701" spans="2:18">
      <c r="B3701" s="1" t="s">
        <v>143</v>
      </c>
      <c r="C3701" s="2" t="s">
        <v>8</v>
      </c>
      <c r="D3701" s="2" t="s">
        <v>131</v>
      </c>
      <c r="E3701" s="3">
        <v>135</v>
      </c>
      <c r="F3701" s="3">
        <v>20</v>
      </c>
      <c r="G3701" s="4">
        <v>44880</v>
      </c>
    </row>
    <row r="3702" spans="2:18">
      <c r="B3702" s="1" t="s">
        <v>137</v>
      </c>
      <c r="C3702" s="2" t="s">
        <v>18</v>
      </c>
      <c r="D3702" s="2" t="s">
        <v>131</v>
      </c>
      <c r="E3702" s="3">
        <v>73</v>
      </c>
      <c r="F3702" s="3">
        <v>20</v>
      </c>
      <c r="G3702" s="4">
        <v>44565</v>
      </c>
      <c r="J3702" s="1">
        <v>615</v>
      </c>
    </row>
    <row r="3703" spans="2:18">
      <c r="B3703" s="1" t="s">
        <v>136</v>
      </c>
      <c r="C3703" s="2" t="s">
        <v>18</v>
      </c>
      <c r="D3703" s="2" t="s">
        <v>131</v>
      </c>
      <c r="E3703" s="3">
        <v>73</v>
      </c>
      <c r="F3703" s="3">
        <v>20</v>
      </c>
      <c r="G3703" s="4">
        <v>44565</v>
      </c>
    </row>
    <row r="3704" spans="2:18">
      <c r="B3704" s="1" t="s">
        <v>4320</v>
      </c>
      <c r="C3704" s="2" t="s">
        <v>8</v>
      </c>
      <c r="D3704" s="2" t="s">
        <v>2134</v>
      </c>
      <c r="E3704" s="3">
        <v>220</v>
      </c>
      <c r="F3704" s="3">
        <f>140/7</f>
        <v>20</v>
      </c>
      <c r="G3704" s="4">
        <v>44287</v>
      </c>
    </row>
    <row r="3705" spans="2:18">
      <c r="B3705" s="1" t="s">
        <v>4322</v>
      </c>
      <c r="C3705" s="2" t="s">
        <v>8</v>
      </c>
      <c r="D3705" s="2" t="s">
        <v>2134</v>
      </c>
      <c r="E3705" s="3">
        <v>220</v>
      </c>
      <c r="F3705" s="3">
        <f>140/7</f>
        <v>20</v>
      </c>
      <c r="G3705" s="4">
        <v>44287</v>
      </c>
    </row>
    <row r="3706" spans="2:18">
      <c r="B3706" s="1" t="s">
        <v>4323</v>
      </c>
      <c r="C3706" s="2" t="s">
        <v>8</v>
      </c>
      <c r="D3706" s="2" t="s">
        <v>2134</v>
      </c>
      <c r="E3706" s="3">
        <v>220</v>
      </c>
      <c r="F3706" s="3">
        <f>140/7</f>
        <v>20</v>
      </c>
      <c r="G3706" s="4">
        <v>44287</v>
      </c>
    </row>
    <row r="3707" spans="2:18">
      <c r="B3707" s="1" t="s">
        <v>4324</v>
      </c>
      <c r="C3707" s="2" t="s">
        <v>8</v>
      </c>
      <c r="D3707" s="2" t="s">
        <v>2134</v>
      </c>
      <c r="E3707" s="3">
        <v>220</v>
      </c>
      <c r="F3707" s="3">
        <f>140/7</f>
        <v>20</v>
      </c>
      <c r="G3707" s="4">
        <v>44287</v>
      </c>
    </row>
    <row r="3708" spans="2:18">
      <c r="B3708" s="1" t="s">
        <v>4325</v>
      </c>
      <c r="C3708" s="2" t="s">
        <v>8</v>
      </c>
      <c r="D3708" s="2" t="s">
        <v>2134</v>
      </c>
      <c r="E3708" s="3">
        <v>220</v>
      </c>
      <c r="F3708" s="3">
        <f>140/7</f>
        <v>20</v>
      </c>
      <c r="G3708" s="4">
        <v>44287</v>
      </c>
    </row>
    <row r="3709" spans="2:18">
      <c r="B3709" s="1" t="s">
        <v>4329</v>
      </c>
      <c r="C3709" s="2" t="s">
        <v>8</v>
      </c>
      <c r="D3709" s="2" t="s">
        <v>2134</v>
      </c>
      <c r="E3709" s="3">
        <v>200</v>
      </c>
      <c r="F3709" s="3">
        <f>160/8</f>
        <v>20</v>
      </c>
      <c r="G3709" s="4">
        <v>44237</v>
      </c>
    </row>
    <row r="3710" spans="2:18">
      <c r="B3710" s="1" t="s">
        <v>4330</v>
      </c>
      <c r="C3710" s="2" t="s">
        <v>8</v>
      </c>
      <c r="D3710" s="2" t="s">
        <v>2134</v>
      </c>
      <c r="E3710" s="3">
        <v>200</v>
      </c>
      <c r="F3710" s="3">
        <f>160/8</f>
        <v>20</v>
      </c>
      <c r="G3710" s="4">
        <v>44237</v>
      </c>
    </row>
    <row r="3711" spans="2:18">
      <c r="B3711" s="1" t="s">
        <v>4331</v>
      </c>
      <c r="C3711" s="2" t="s">
        <v>8</v>
      </c>
      <c r="D3711" s="2" t="s">
        <v>2134</v>
      </c>
      <c r="E3711" s="3">
        <v>200</v>
      </c>
      <c r="F3711" s="3">
        <f>160/8</f>
        <v>20</v>
      </c>
      <c r="G3711" s="4">
        <v>44237</v>
      </c>
    </row>
    <row r="3712" spans="2:18">
      <c r="B3712" s="1" t="s">
        <v>4332</v>
      </c>
      <c r="C3712" s="2" t="s">
        <v>8</v>
      </c>
      <c r="D3712" s="2" t="s">
        <v>2134</v>
      </c>
      <c r="E3712" s="3">
        <v>200</v>
      </c>
      <c r="F3712" s="3">
        <f>160/8</f>
        <v>20</v>
      </c>
      <c r="G3712" s="4">
        <v>44237</v>
      </c>
    </row>
    <row r="3713" spans="2:18">
      <c r="B3713" s="134" t="s">
        <v>6202</v>
      </c>
      <c r="C3713" s="140" t="s">
        <v>7</v>
      </c>
      <c r="D3713" s="140" t="s">
        <v>2057</v>
      </c>
      <c r="E3713" s="3">
        <v>50</v>
      </c>
      <c r="F3713" s="3">
        <v>20</v>
      </c>
      <c r="G3713" s="4">
        <v>44518</v>
      </c>
    </row>
    <row r="3714" spans="2:18">
      <c r="B3714" s="134" t="s">
        <v>6270</v>
      </c>
      <c r="C3714" s="140" t="s">
        <v>7</v>
      </c>
      <c r="D3714" s="140" t="s">
        <v>6271</v>
      </c>
      <c r="E3714" s="3">
        <v>52.2</v>
      </c>
      <c r="F3714" s="3">
        <v>20</v>
      </c>
      <c r="G3714" s="4">
        <v>44476</v>
      </c>
    </row>
    <row r="3715" spans="2:18">
      <c r="B3715" s="1" t="s">
        <v>946</v>
      </c>
      <c r="C3715" s="2" t="s">
        <v>9</v>
      </c>
      <c r="D3715" s="2" t="s">
        <v>803</v>
      </c>
      <c r="E3715" s="3">
        <v>325</v>
      </c>
      <c r="F3715" s="3">
        <v>18.5</v>
      </c>
      <c r="G3715" s="4">
        <v>44299</v>
      </c>
    </row>
    <row r="3716" spans="2:18">
      <c r="B3716" s="1" t="s">
        <v>35</v>
      </c>
      <c r="C3716" s="2" t="s">
        <v>18</v>
      </c>
      <c r="D3716" s="2" t="s">
        <v>32</v>
      </c>
      <c r="E3716" s="3">
        <v>230</v>
      </c>
      <c r="F3716" s="3">
        <f>110/7</f>
        <v>15.714285714285714</v>
      </c>
      <c r="G3716" s="4">
        <v>43634</v>
      </c>
      <c r="I3716" s="1">
        <v>770</v>
      </c>
      <c r="J3716" s="1">
        <v>770</v>
      </c>
    </row>
    <row r="3717" spans="2:18">
      <c r="B3717" s="1" t="s">
        <v>34</v>
      </c>
      <c r="C3717" s="2" t="s">
        <v>18</v>
      </c>
      <c r="D3717" s="2" t="s">
        <v>32</v>
      </c>
      <c r="E3717" s="3">
        <v>230</v>
      </c>
      <c r="F3717" s="3">
        <f>110/7</f>
        <v>15.714285714285714</v>
      </c>
      <c r="G3717" s="4">
        <v>43634</v>
      </c>
      <c r="I3717" s="1">
        <v>770</v>
      </c>
      <c r="J3717" s="1">
        <v>770</v>
      </c>
    </row>
    <row r="3718" spans="2:18">
      <c r="B3718" s="1" t="s">
        <v>463</v>
      </c>
      <c r="C3718" s="2" t="s">
        <v>7</v>
      </c>
      <c r="D3718" s="2" t="s">
        <v>461</v>
      </c>
      <c r="E3718" s="3">
        <v>25.7</v>
      </c>
      <c r="F3718" s="3">
        <v>15.7</v>
      </c>
      <c r="G3718" s="4">
        <v>43837</v>
      </c>
      <c r="M3718" s="1"/>
      <c r="N3718" s="1"/>
      <c r="O3718" s="1"/>
      <c r="P3718" s="1"/>
      <c r="Q3718" s="1"/>
      <c r="R3718" s="1"/>
    </row>
    <row r="3719" spans="2:18">
      <c r="B3719" s="1" t="s">
        <v>218</v>
      </c>
      <c r="C3719" s="2" t="s">
        <v>18</v>
      </c>
      <c r="D3719" s="2" t="s">
        <v>211</v>
      </c>
      <c r="E3719" s="3">
        <v>140</v>
      </c>
      <c r="F3719" s="3">
        <f t="shared" ref="F3719:F3725" si="6">E3719/9</f>
        <v>15.555555555555555</v>
      </c>
      <c r="G3719" s="4">
        <v>43453</v>
      </c>
    </row>
    <row r="3720" spans="2:18">
      <c r="B3720" s="1" t="s">
        <v>217</v>
      </c>
      <c r="C3720" s="2" t="s">
        <v>18</v>
      </c>
      <c r="D3720" s="2" t="s">
        <v>211</v>
      </c>
      <c r="E3720" s="3">
        <v>140</v>
      </c>
      <c r="F3720" s="3">
        <f t="shared" si="6"/>
        <v>15.555555555555555</v>
      </c>
      <c r="G3720" s="4">
        <v>43453</v>
      </c>
    </row>
    <row r="3721" spans="2:18">
      <c r="B3721" s="1" t="s">
        <v>216</v>
      </c>
      <c r="C3721" s="2" t="s">
        <v>18</v>
      </c>
      <c r="D3721" s="2" t="s">
        <v>211</v>
      </c>
      <c r="E3721" s="3">
        <v>140</v>
      </c>
      <c r="F3721" s="3">
        <f t="shared" si="6"/>
        <v>15.555555555555555</v>
      </c>
      <c r="G3721" s="4">
        <v>43453</v>
      </c>
    </row>
    <row r="3722" spans="2:18">
      <c r="B3722" s="1" t="s">
        <v>215</v>
      </c>
      <c r="C3722" s="2" t="s">
        <v>18</v>
      </c>
      <c r="D3722" s="2" t="s">
        <v>211</v>
      </c>
      <c r="E3722" s="3">
        <v>140</v>
      </c>
      <c r="F3722" s="3">
        <f t="shared" si="6"/>
        <v>15.555555555555555</v>
      </c>
      <c r="G3722" s="4">
        <v>43453</v>
      </c>
    </row>
    <row r="3723" spans="2:18">
      <c r="B3723" s="1" t="s">
        <v>214</v>
      </c>
      <c r="C3723" s="2" t="s">
        <v>18</v>
      </c>
      <c r="D3723" s="2" t="s">
        <v>211</v>
      </c>
      <c r="E3723" s="3">
        <v>140</v>
      </c>
      <c r="F3723" s="3">
        <f t="shared" si="6"/>
        <v>15.555555555555555</v>
      </c>
      <c r="G3723" s="4">
        <v>43453</v>
      </c>
    </row>
    <row r="3724" spans="2:18">
      <c r="B3724" s="1" t="s">
        <v>213</v>
      </c>
      <c r="C3724" s="2" t="s">
        <v>18</v>
      </c>
      <c r="D3724" s="2" t="s">
        <v>211</v>
      </c>
      <c r="E3724" s="3">
        <v>140</v>
      </c>
      <c r="F3724" s="3">
        <f t="shared" si="6"/>
        <v>15.555555555555555</v>
      </c>
      <c r="G3724" s="4">
        <v>43453</v>
      </c>
    </row>
    <row r="3725" spans="2:18">
      <c r="B3725" s="1" t="s">
        <v>212</v>
      </c>
      <c r="C3725" s="2" t="s">
        <v>18</v>
      </c>
      <c r="D3725" s="2" t="s">
        <v>211</v>
      </c>
      <c r="E3725" s="3">
        <v>140</v>
      </c>
      <c r="F3725" s="3">
        <f t="shared" si="6"/>
        <v>15.555555555555555</v>
      </c>
      <c r="G3725" s="4">
        <v>43453</v>
      </c>
    </row>
    <row r="3726" spans="2:18">
      <c r="B3726" s="1" t="s">
        <v>945</v>
      </c>
      <c r="C3726" s="2" t="s">
        <v>5</v>
      </c>
      <c r="D3726" s="2" t="s">
        <v>763</v>
      </c>
      <c r="E3726" s="3">
        <v>125</v>
      </c>
      <c r="F3726" s="3">
        <v>15</v>
      </c>
      <c r="G3726" s="4">
        <v>44852</v>
      </c>
    </row>
    <row r="3727" spans="2:18">
      <c r="G3727" s="4"/>
    </row>
    <row r="3728" spans="2:18">
      <c r="B3728" s="1" t="s">
        <v>943</v>
      </c>
      <c r="C3728" s="2" t="s">
        <v>5</v>
      </c>
      <c r="D3728" s="2" t="s">
        <v>928</v>
      </c>
      <c r="E3728" s="3">
        <v>25</v>
      </c>
      <c r="F3728" s="3">
        <v>15</v>
      </c>
      <c r="G3728" s="4">
        <v>44944</v>
      </c>
    </row>
    <row r="3729" spans="2:18">
      <c r="G3729" s="4"/>
    </row>
    <row r="3730" spans="2:18">
      <c r="B3730" s="1" t="s">
        <v>540</v>
      </c>
      <c r="C3730" s="2" t="s">
        <v>18</v>
      </c>
      <c r="D3730" s="2" t="s">
        <v>533</v>
      </c>
      <c r="E3730" s="3">
        <v>45</v>
      </c>
      <c r="F3730" s="3">
        <v>15</v>
      </c>
      <c r="G3730" s="4">
        <v>44159</v>
      </c>
      <c r="M3730" s="1"/>
      <c r="N3730" s="1"/>
      <c r="O3730" s="1"/>
      <c r="P3730" s="1"/>
      <c r="Q3730" s="1"/>
      <c r="R3730" s="1"/>
    </row>
    <row r="3731" spans="2:18">
      <c r="B3731" s="1" t="s">
        <v>455</v>
      </c>
      <c r="C3731" s="2" t="s">
        <v>7</v>
      </c>
      <c r="D3731" s="2" t="s">
        <v>454</v>
      </c>
      <c r="E3731" s="3">
        <v>25</v>
      </c>
      <c r="F3731" s="3">
        <v>15</v>
      </c>
      <c r="G3731" s="4">
        <v>43972</v>
      </c>
      <c r="M3731" s="1"/>
      <c r="N3731" s="1"/>
      <c r="O3731" s="1"/>
      <c r="P3731" s="1"/>
      <c r="Q3731" s="1"/>
      <c r="R3731" s="1"/>
    </row>
    <row r="3732" spans="2:18">
      <c r="B3732" s="1" t="s">
        <v>407</v>
      </c>
      <c r="C3732" s="2" t="s">
        <v>18</v>
      </c>
      <c r="D3732" s="2" t="s">
        <v>403</v>
      </c>
      <c r="E3732" s="3">
        <v>90</v>
      </c>
      <c r="F3732" s="3">
        <v>15</v>
      </c>
      <c r="G3732" s="4">
        <v>45090</v>
      </c>
      <c r="M3732" s="1"/>
      <c r="N3732" s="1"/>
      <c r="O3732" s="1"/>
      <c r="P3732" s="1"/>
      <c r="Q3732" s="1"/>
      <c r="R3732" s="1"/>
    </row>
    <row r="3733" spans="2:18">
      <c r="B3733" s="1" t="s">
        <v>60</v>
      </c>
      <c r="C3733" s="2" t="s">
        <v>18</v>
      </c>
      <c r="D3733" s="2" t="s">
        <v>57</v>
      </c>
      <c r="E3733" s="3">
        <v>100</v>
      </c>
      <c r="F3733" s="3">
        <f>75/5</f>
        <v>15</v>
      </c>
      <c r="G3733" s="4">
        <v>44650</v>
      </c>
    </row>
    <row r="3734" spans="2:18">
      <c r="B3734" s="1" t="s">
        <v>59</v>
      </c>
      <c r="C3734" s="2" t="s">
        <v>18</v>
      </c>
      <c r="D3734" s="2" t="s">
        <v>57</v>
      </c>
      <c r="E3734" s="3">
        <v>100</v>
      </c>
      <c r="F3734" s="3">
        <f>75/5</f>
        <v>15</v>
      </c>
      <c r="G3734" s="4">
        <v>44650</v>
      </c>
    </row>
    <row r="3735" spans="2:18">
      <c r="B3735" s="1" t="s">
        <v>42</v>
      </c>
      <c r="C3735" s="2" t="s">
        <v>18</v>
      </c>
      <c r="D3735" s="2" t="s">
        <v>39</v>
      </c>
      <c r="E3735" s="3">
        <v>100</v>
      </c>
      <c r="F3735" s="3">
        <v>15</v>
      </c>
      <c r="G3735" s="4">
        <v>44025</v>
      </c>
      <c r="J3735" s="1">
        <v>2000</v>
      </c>
    </row>
    <row r="3736" spans="2:18">
      <c r="B3736" s="1" t="s">
        <v>4359</v>
      </c>
      <c r="C3736" s="2" t="s">
        <v>8</v>
      </c>
      <c r="D3736" s="2" t="s">
        <v>3935</v>
      </c>
      <c r="E3736" s="3">
        <v>90</v>
      </c>
      <c r="F3736" s="3">
        <f>45/3</f>
        <v>15</v>
      </c>
      <c r="G3736" s="4">
        <v>40354</v>
      </c>
      <c r="I3736" s="1">
        <v>645</v>
      </c>
      <c r="J3736" s="1">
        <v>32500</v>
      </c>
    </row>
    <row r="3737" spans="2:18">
      <c r="B3737" s="91" t="s">
        <v>5231</v>
      </c>
      <c r="C3737" s="92" t="s">
        <v>18</v>
      </c>
      <c r="D3737" s="92" t="s">
        <v>5232</v>
      </c>
      <c r="E3737" s="3">
        <v>115</v>
      </c>
      <c r="F3737" s="3">
        <v>15</v>
      </c>
      <c r="G3737" s="4">
        <v>44469</v>
      </c>
    </row>
    <row r="3738" spans="2:18">
      <c r="B3738" s="51"/>
      <c r="C3738" s="52"/>
      <c r="D3738" s="52"/>
      <c r="G3738" s="4"/>
    </row>
    <row r="3739" spans="2:18">
      <c r="B3739" s="51" t="s">
        <v>4842</v>
      </c>
      <c r="C3739" s="52" t="s">
        <v>18</v>
      </c>
      <c r="D3739" s="52" t="s">
        <v>2118</v>
      </c>
      <c r="E3739" s="3">
        <v>300</v>
      </c>
      <c r="F3739" s="3">
        <f t="shared" si="2"/>
        <v>14.285714285714286</v>
      </c>
      <c r="G3739" s="4">
        <v>44300</v>
      </c>
      <c r="I3739" s="1">
        <v>700</v>
      </c>
      <c r="J3739" s="1">
        <v>700</v>
      </c>
    </row>
    <row r="3740" spans="2:18">
      <c r="B3740" s="51" t="s">
        <v>4843</v>
      </c>
      <c r="C3740" s="52" t="s">
        <v>18</v>
      </c>
      <c r="D3740" s="52" t="s">
        <v>2118</v>
      </c>
      <c r="E3740" s="3">
        <v>300</v>
      </c>
      <c r="F3740" s="3">
        <f t="shared" si="2"/>
        <v>14.285714285714286</v>
      </c>
      <c r="G3740" s="4">
        <v>44300</v>
      </c>
      <c r="I3740" s="1">
        <v>700</v>
      </c>
      <c r="J3740" s="1">
        <v>700</v>
      </c>
    </row>
    <row r="3741" spans="2:18">
      <c r="B3741" s="51" t="s">
        <v>2279</v>
      </c>
      <c r="C3741" s="52" t="s">
        <v>18</v>
      </c>
      <c r="D3741" s="52" t="s">
        <v>2118</v>
      </c>
      <c r="E3741" s="3">
        <v>300</v>
      </c>
      <c r="F3741" s="3">
        <f t="shared" si="2"/>
        <v>14.285714285714286</v>
      </c>
      <c r="G3741" s="4">
        <v>44300</v>
      </c>
      <c r="I3741" s="1">
        <v>700</v>
      </c>
      <c r="J3741" s="1">
        <v>700</v>
      </c>
    </row>
    <row r="3742" spans="2:18">
      <c r="B3742" s="51" t="s">
        <v>4844</v>
      </c>
      <c r="C3742" s="52" t="s">
        <v>18</v>
      </c>
      <c r="D3742" s="52" t="s">
        <v>2118</v>
      </c>
      <c r="E3742" s="3">
        <v>300</v>
      </c>
      <c r="F3742" s="3">
        <f t="shared" si="2"/>
        <v>14.285714285714286</v>
      </c>
      <c r="G3742" s="4">
        <v>44300</v>
      </c>
      <c r="I3742" s="1">
        <v>700</v>
      </c>
      <c r="J3742" s="1">
        <v>700</v>
      </c>
    </row>
    <row r="3743" spans="2:18">
      <c r="B3743" s="51" t="s">
        <v>4845</v>
      </c>
      <c r="C3743" s="52" t="s">
        <v>18</v>
      </c>
      <c r="D3743" s="52" t="s">
        <v>2118</v>
      </c>
      <c r="E3743" s="3">
        <v>300</v>
      </c>
      <c r="F3743" s="3">
        <f t="shared" si="2"/>
        <v>14.285714285714286</v>
      </c>
      <c r="G3743" s="4">
        <v>44300</v>
      </c>
      <c r="I3743" s="1">
        <v>700</v>
      </c>
      <c r="J3743" s="1">
        <v>700</v>
      </c>
    </row>
    <row r="3744" spans="2:18">
      <c r="B3744" s="51" t="s">
        <v>4846</v>
      </c>
      <c r="C3744" s="52" t="s">
        <v>18</v>
      </c>
      <c r="D3744" s="52" t="s">
        <v>2118</v>
      </c>
      <c r="E3744" s="3">
        <v>300</v>
      </c>
      <c r="F3744" s="3">
        <f t="shared" si="2"/>
        <v>14.285714285714286</v>
      </c>
      <c r="G3744" s="4">
        <v>44300</v>
      </c>
      <c r="I3744" s="1">
        <v>700</v>
      </c>
      <c r="J3744" s="1">
        <v>700</v>
      </c>
    </row>
    <row r="3745" spans="2:18">
      <c r="B3745" s="51" t="s">
        <v>4847</v>
      </c>
      <c r="C3745" s="52" t="s">
        <v>18</v>
      </c>
      <c r="D3745" s="52" t="s">
        <v>2118</v>
      </c>
      <c r="E3745" s="3">
        <v>300</v>
      </c>
      <c r="F3745" s="3">
        <f t="shared" si="2"/>
        <v>14.285714285714286</v>
      </c>
      <c r="G3745" s="4">
        <v>44300</v>
      </c>
      <c r="I3745" s="1">
        <v>700</v>
      </c>
      <c r="J3745" s="1">
        <v>700</v>
      </c>
    </row>
    <row r="3746" spans="2:18">
      <c r="B3746" s="51" t="s">
        <v>4848</v>
      </c>
      <c r="C3746" s="52" t="s">
        <v>18</v>
      </c>
      <c r="D3746" s="52" t="s">
        <v>2118</v>
      </c>
      <c r="E3746" s="3">
        <v>300</v>
      </c>
      <c r="F3746" s="3">
        <f t="shared" si="2"/>
        <v>14.285714285714286</v>
      </c>
      <c r="G3746" s="4">
        <v>44300</v>
      </c>
      <c r="I3746" s="1">
        <v>700</v>
      </c>
      <c r="J3746" s="1">
        <v>700</v>
      </c>
    </row>
    <row r="3747" spans="2:18">
      <c r="B3747" s="51" t="s">
        <v>4849</v>
      </c>
      <c r="C3747" s="52" t="s">
        <v>18</v>
      </c>
      <c r="D3747" s="52" t="s">
        <v>2118</v>
      </c>
      <c r="E3747" s="3">
        <v>300</v>
      </c>
      <c r="F3747" s="3">
        <f t="shared" si="2"/>
        <v>14.285714285714286</v>
      </c>
      <c r="G3747" s="4">
        <v>44300</v>
      </c>
      <c r="I3747" s="1">
        <v>700</v>
      </c>
      <c r="J3747" s="1">
        <v>700</v>
      </c>
    </row>
    <row r="3748" spans="2:18">
      <c r="B3748" s="1" t="s">
        <v>51</v>
      </c>
      <c r="C3748" s="2" t="s">
        <v>8</v>
      </c>
      <c r="D3748" s="2" t="s">
        <v>47</v>
      </c>
      <c r="E3748" s="3">
        <v>145</v>
      </c>
      <c r="F3748" s="3">
        <f>85/6</f>
        <v>14.166666666666666</v>
      </c>
      <c r="G3748" s="4">
        <v>43228</v>
      </c>
      <c r="I3748" s="1">
        <v>855</v>
      </c>
      <c r="J3748" s="1">
        <v>4100</v>
      </c>
    </row>
    <row r="3749" spans="2:18">
      <c r="B3749" s="1" t="s">
        <v>50</v>
      </c>
      <c r="C3749" s="2" t="s">
        <v>8</v>
      </c>
      <c r="D3749" s="2" t="s">
        <v>47</v>
      </c>
      <c r="E3749" s="3">
        <v>145</v>
      </c>
      <c r="F3749" s="3">
        <f>85/6</f>
        <v>14.166666666666666</v>
      </c>
      <c r="G3749" s="4">
        <v>43228</v>
      </c>
      <c r="I3749" s="1">
        <v>855</v>
      </c>
      <c r="J3749" s="1">
        <v>4100</v>
      </c>
    </row>
    <row r="3750" spans="2:18">
      <c r="B3750" s="1" t="s">
        <v>942</v>
      </c>
      <c r="C3750" s="2" t="s">
        <v>5</v>
      </c>
      <c r="D3750" s="2" t="s">
        <v>873</v>
      </c>
      <c r="E3750" s="3">
        <v>30</v>
      </c>
      <c r="F3750" s="3">
        <v>14</v>
      </c>
      <c r="G3750" s="4">
        <v>44522</v>
      </c>
    </row>
    <row r="3751" spans="2:18">
      <c r="B3751" s="1" t="s">
        <v>494</v>
      </c>
      <c r="C3751" s="2" t="s">
        <v>9</v>
      </c>
      <c r="D3751" s="2" t="s">
        <v>489</v>
      </c>
      <c r="E3751" s="3">
        <v>206</v>
      </c>
      <c r="F3751" s="3">
        <v>14</v>
      </c>
      <c r="G3751" s="4">
        <v>43725</v>
      </c>
      <c r="M3751" s="1"/>
      <c r="N3751" s="1"/>
      <c r="O3751" s="1"/>
      <c r="P3751" s="1"/>
      <c r="Q3751" s="1"/>
      <c r="R3751" s="1"/>
    </row>
    <row r="3752" spans="2:18">
      <c r="B3752" s="1" t="s">
        <v>492</v>
      </c>
      <c r="C3752" s="2" t="s">
        <v>9</v>
      </c>
      <c r="D3752" s="2" t="s">
        <v>489</v>
      </c>
      <c r="E3752" s="3">
        <v>206</v>
      </c>
      <c r="F3752" s="3">
        <v>14</v>
      </c>
      <c r="G3752" s="4">
        <v>43725</v>
      </c>
      <c r="M3752" s="1"/>
      <c r="N3752" s="1"/>
      <c r="O3752" s="1"/>
      <c r="P3752" s="1"/>
      <c r="Q3752" s="1"/>
      <c r="R3752" s="1"/>
    </row>
    <row r="3753" spans="2:18">
      <c r="B3753" s="1" t="s">
        <v>311</v>
      </c>
      <c r="C3753" s="2" t="s">
        <v>18</v>
      </c>
      <c r="D3753" s="2" t="s">
        <v>310</v>
      </c>
      <c r="E3753" s="3">
        <v>110</v>
      </c>
      <c r="F3753" s="3">
        <v>14</v>
      </c>
      <c r="G3753" s="4">
        <v>44369</v>
      </c>
      <c r="M3753" s="1"/>
      <c r="N3753" s="1"/>
      <c r="O3753" s="1"/>
      <c r="P3753" s="1"/>
      <c r="Q3753" s="1"/>
      <c r="R3753" s="1"/>
    </row>
    <row r="3754" spans="2:18">
      <c r="B3754" s="1" t="s">
        <v>173</v>
      </c>
      <c r="C3754" s="2" t="s">
        <v>18</v>
      </c>
      <c r="D3754" s="2" t="s">
        <v>161</v>
      </c>
      <c r="E3754" s="3">
        <v>100</v>
      </c>
      <c r="F3754" s="3">
        <v>14</v>
      </c>
      <c r="G3754" s="4">
        <v>44235</v>
      </c>
      <c r="I3754" s="1">
        <v>5200</v>
      </c>
      <c r="J3754" s="1">
        <v>8400</v>
      </c>
    </row>
    <row r="3755" spans="2:18">
      <c r="B3755" s="1" t="s">
        <v>77</v>
      </c>
      <c r="C3755" s="2" t="s">
        <v>8</v>
      </c>
      <c r="D3755" s="2" t="s">
        <v>74</v>
      </c>
      <c r="E3755" s="3">
        <v>81</v>
      </c>
      <c r="F3755" s="3">
        <f>+E3755/6</f>
        <v>13.5</v>
      </c>
      <c r="G3755" s="4">
        <v>43418</v>
      </c>
      <c r="I3755" s="1">
        <v>1700</v>
      </c>
      <c r="J3755" s="1">
        <v>3800</v>
      </c>
      <c r="K3755" s="5">
        <f>(E3755/(I3755+E3755))*J3755*(F3755/E3755)</f>
        <v>28.804042672655811</v>
      </c>
    </row>
    <row r="3756" spans="2:18">
      <c r="B3756" s="1" t="s">
        <v>940</v>
      </c>
      <c r="C3756" s="2" t="s">
        <v>18</v>
      </c>
      <c r="D3756" s="2" t="s">
        <v>398</v>
      </c>
      <c r="E3756" s="3">
        <v>13</v>
      </c>
      <c r="F3756" s="3">
        <v>13</v>
      </c>
      <c r="G3756" s="4">
        <v>45090</v>
      </c>
    </row>
    <row r="3757" spans="2:18">
      <c r="B3757" s="1" t="s">
        <v>938</v>
      </c>
      <c r="C3757" s="2" t="s">
        <v>4</v>
      </c>
      <c r="D3757" s="2" t="s">
        <v>936</v>
      </c>
      <c r="E3757" s="3">
        <v>100</v>
      </c>
      <c r="F3757" s="3">
        <v>12.5</v>
      </c>
      <c r="G3757" s="4">
        <v>44846</v>
      </c>
    </row>
    <row r="3758" spans="2:18">
      <c r="B3758" s="1" t="s">
        <v>937</v>
      </c>
      <c r="C3758" s="2" t="s">
        <v>4</v>
      </c>
      <c r="D3758" s="2" t="s">
        <v>936</v>
      </c>
      <c r="E3758" s="3">
        <v>100</v>
      </c>
      <c r="F3758" s="3">
        <v>12.5</v>
      </c>
      <c r="G3758" s="4">
        <v>44846</v>
      </c>
    </row>
    <row r="3759" spans="2:18">
      <c r="B3759" s="1" t="s">
        <v>531</v>
      </c>
      <c r="C3759" s="2" t="s">
        <v>8</v>
      </c>
      <c r="D3759" s="2" t="s">
        <v>520</v>
      </c>
      <c r="E3759" s="3">
        <v>100</v>
      </c>
      <c r="F3759" s="3">
        <f>50/4</f>
        <v>12.5</v>
      </c>
      <c r="G3759" s="4">
        <v>44419</v>
      </c>
      <c r="M3759" s="1"/>
      <c r="N3759" s="1"/>
      <c r="O3759" s="1"/>
      <c r="P3759" s="1"/>
      <c r="Q3759" s="1"/>
      <c r="R3759" s="1"/>
    </row>
    <row r="3760" spans="2:18">
      <c r="B3760" s="1" t="s">
        <v>368</v>
      </c>
      <c r="C3760" s="2" t="s">
        <v>5</v>
      </c>
      <c r="D3760" s="2" t="s">
        <v>363</v>
      </c>
      <c r="E3760" s="3">
        <v>50</v>
      </c>
      <c r="F3760" s="3">
        <f>25/2</f>
        <v>12.5</v>
      </c>
      <c r="G3760" s="4">
        <v>43039</v>
      </c>
      <c r="M3760" s="1"/>
      <c r="N3760" s="1"/>
      <c r="O3760" s="1"/>
      <c r="P3760" s="1"/>
      <c r="Q3760" s="1"/>
      <c r="R3760" s="1"/>
    </row>
    <row r="3761" spans="2:18">
      <c r="B3761" s="1" t="s">
        <v>367</v>
      </c>
      <c r="C3761" s="2" t="s">
        <v>5</v>
      </c>
      <c r="D3761" s="2" t="s">
        <v>363</v>
      </c>
      <c r="E3761" s="3">
        <v>50</v>
      </c>
      <c r="F3761" s="3">
        <f>25/2</f>
        <v>12.5</v>
      </c>
      <c r="G3761" s="4">
        <v>43039</v>
      </c>
      <c r="M3761" s="1"/>
      <c r="N3761" s="1"/>
      <c r="O3761" s="1"/>
      <c r="P3761" s="1"/>
      <c r="Q3761" s="1"/>
      <c r="R3761" s="1"/>
    </row>
    <row r="3762" spans="2:18">
      <c r="B3762" s="1" t="s">
        <v>4390</v>
      </c>
      <c r="C3762" s="2" t="s">
        <v>7</v>
      </c>
      <c r="D3762" s="2" t="s">
        <v>2129</v>
      </c>
      <c r="E3762" s="3">
        <f>176</f>
        <v>176</v>
      </c>
      <c r="F3762" s="3">
        <f>150/12</f>
        <v>12.5</v>
      </c>
      <c r="G3762" s="4">
        <v>44578</v>
      </c>
    </row>
    <row r="3763" spans="2:18">
      <c r="B3763" s="1" t="s">
        <v>4391</v>
      </c>
      <c r="C3763" s="2" t="s">
        <v>7</v>
      </c>
      <c r="D3763" s="2" t="s">
        <v>2129</v>
      </c>
      <c r="E3763" s="3">
        <f>176</f>
        <v>176</v>
      </c>
      <c r="F3763" s="3">
        <f>150/12</f>
        <v>12.5</v>
      </c>
      <c r="G3763" s="4">
        <v>44578</v>
      </c>
    </row>
    <row r="3764" spans="2:18">
      <c r="B3764" s="1" t="s">
        <v>4392</v>
      </c>
      <c r="C3764" s="2" t="s">
        <v>7</v>
      </c>
      <c r="D3764" s="2" t="s">
        <v>2129</v>
      </c>
      <c r="E3764" s="3">
        <f>176</f>
        <v>176</v>
      </c>
      <c r="F3764" s="3">
        <f>150/12</f>
        <v>12.5</v>
      </c>
      <c r="G3764" s="4">
        <v>44578</v>
      </c>
    </row>
    <row r="3765" spans="2:18">
      <c r="B3765" s="1" t="s">
        <v>4394</v>
      </c>
      <c r="C3765" s="2" t="s">
        <v>7</v>
      </c>
      <c r="D3765" s="2" t="s">
        <v>2129</v>
      </c>
      <c r="E3765" s="3">
        <f>176</f>
        <v>176</v>
      </c>
      <c r="F3765" s="3">
        <f>150/12</f>
        <v>12.5</v>
      </c>
      <c r="G3765" s="4">
        <v>44578</v>
      </c>
    </row>
    <row r="3766" spans="2:18">
      <c r="B3766" s="1" t="s">
        <v>354</v>
      </c>
      <c r="C3766" s="2" t="s">
        <v>7</v>
      </c>
      <c r="D3766" s="2" t="s">
        <v>351</v>
      </c>
      <c r="E3766" s="3">
        <v>22</v>
      </c>
      <c r="F3766" s="3">
        <v>12</v>
      </c>
      <c r="G3766" s="4">
        <v>44861</v>
      </c>
      <c r="M3766" s="1"/>
      <c r="N3766" s="1"/>
      <c r="O3766" s="1"/>
      <c r="P3766" s="1"/>
      <c r="Q3766" s="1"/>
      <c r="R3766" s="1"/>
    </row>
    <row r="3767" spans="2:18">
      <c r="B3767" s="1" t="s">
        <v>317</v>
      </c>
      <c r="C3767" s="2" t="s">
        <v>5</v>
      </c>
      <c r="D3767" s="2" t="s">
        <v>313</v>
      </c>
      <c r="E3767" s="3">
        <v>57</v>
      </c>
      <c r="F3767" s="3">
        <v>12</v>
      </c>
      <c r="G3767" s="4">
        <v>44508</v>
      </c>
      <c r="M3767" s="1"/>
      <c r="N3767" s="1"/>
      <c r="O3767" s="1"/>
      <c r="P3767" s="1"/>
      <c r="Q3767" s="1"/>
      <c r="R3767" s="1"/>
    </row>
    <row r="3768" spans="2:18">
      <c r="B3768" s="1" t="s">
        <v>4454</v>
      </c>
      <c r="C3768" s="2" t="s">
        <v>18</v>
      </c>
      <c r="D3768" s="2" t="s">
        <v>2127</v>
      </c>
      <c r="E3768" s="3">
        <v>200</v>
      </c>
      <c r="F3768" s="3">
        <v>12</v>
      </c>
      <c r="G3768" s="4">
        <v>44557</v>
      </c>
      <c r="I3768" s="1">
        <v>1300</v>
      </c>
      <c r="J3768" s="1">
        <v>1300</v>
      </c>
    </row>
    <row r="3769" spans="2:18">
      <c r="B3769" s="1" t="s">
        <v>4455</v>
      </c>
      <c r="C3769" s="2" t="s">
        <v>18</v>
      </c>
      <c r="D3769" s="2" t="s">
        <v>2127</v>
      </c>
      <c r="E3769" s="3">
        <v>200</v>
      </c>
      <c r="F3769" s="3">
        <v>12</v>
      </c>
      <c r="G3769" s="4">
        <v>44557</v>
      </c>
      <c r="I3769" s="1">
        <v>1300</v>
      </c>
      <c r="J3769" s="1">
        <v>1300</v>
      </c>
    </row>
    <row r="3770" spans="2:18">
      <c r="B3770" s="1" t="s">
        <v>4456</v>
      </c>
      <c r="C3770" s="2" t="s">
        <v>18</v>
      </c>
      <c r="D3770" s="2" t="s">
        <v>2127</v>
      </c>
      <c r="E3770" s="3">
        <v>200</v>
      </c>
      <c r="F3770" s="3">
        <v>12</v>
      </c>
      <c r="G3770" s="4">
        <v>44557</v>
      </c>
      <c r="I3770" s="1">
        <v>1300</v>
      </c>
      <c r="J3770" s="1">
        <v>1300</v>
      </c>
    </row>
    <row r="3771" spans="2:18">
      <c r="B3771" s="1" t="s">
        <v>4457</v>
      </c>
      <c r="C3771" s="2" t="s">
        <v>18</v>
      </c>
      <c r="D3771" s="2" t="s">
        <v>2127</v>
      </c>
      <c r="E3771" s="3">
        <v>200</v>
      </c>
      <c r="F3771" s="3">
        <v>12</v>
      </c>
      <c r="G3771" s="4">
        <v>44557</v>
      </c>
      <c r="I3771" s="1">
        <v>1300</v>
      </c>
      <c r="J3771" s="1">
        <v>1300</v>
      </c>
    </row>
    <row r="3772" spans="2:18">
      <c r="B3772" s="1" t="s">
        <v>4459</v>
      </c>
      <c r="C3772" s="2" t="s">
        <v>18</v>
      </c>
      <c r="D3772" s="2" t="s">
        <v>2127</v>
      </c>
      <c r="E3772" s="3">
        <v>200</v>
      </c>
      <c r="F3772" s="3">
        <v>12</v>
      </c>
      <c r="G3772" s="4">
        <v>44557</v>
      </c>
      <c r="I3772" s="1">
        <v>1300</v>
      </c>
      <c r="J3772" s="1">
        <v>1300</v>
      </c>
    </row>
    <row r="3773" spans="2:18">
      <c r="B3773" s="1" t="s">
        <v>184</v>
      </c>
      <c r="C3773" s="2" t="s">
        <v>8</v>
      </c>
      <c r="D3773" s="2" t="s">
        <v>176</v>
      </c>
      <c r="E3773" s="3">
        <v>130</v>
      </c>
      <c r="F3773" s="3">
        <f>104/9</f>
        <v>11.555555555555555</v>
      </c>
      <c r="G3773" s="4">
        <v>42080</v>
      </c>
      <c r="I3773" s="1">
        <v>570</v>
      </c>
    </row>
    <row r="3774" spans="2:18">
      <c r="B3774" s="1" t="s">
        <v>183</v>
      </c>
      <c r="C3774" s="2" t="s">
        <v>8</v>
      </c>
      <c r="D3774" s="2" t="s">
        <v>176</v>
      </c>
      <c r="E3774" s="3">
        <v>130</v>
      </c>
      <c r="F3774" s="3">
        <f>104/9</f>
        <v>11.555555555555555</v>
      </c>
      <c r="G3774" s="4">
        <v>42080</v>
      </c>
      <c r="I3774" s="1">
        <v>570</v>
      </c>
    </row>
    <row r="3775" spans="2:18">
      <c r="B3775" s="1" t="s">
        <v>182</v>
      </c>
      <c r="C3775" s="2" t="s">
        <v>8</v>
      </c>
      <c r="D3775" s="2" t="s">
        <v>176</v>
      </c>
      <c r="E3775" s="3">
        <v>130</v>
      </c>
      <c r="F3775" s="3">
        <f>104/9</f>
        <v>11.555555555555555</v>
      </c>
      <c r="G3775" s="4">
        <v>42080</v>
      </c>
      <c r="I3775" s="1">
        <v>570</v>
      </c>
    </row>
    <row r="3776" spans="2:18">
      <c r="B3776" s="1" t="s">
        <v>372</v>
      </c>
      <c r="C3776" s="2" t="s">
        <v>7</v>
      </c>
      <c r="D3776" s="2" t="s">
        <v>363</v>
      </c>
      <c r="E3776" s="3">
        <v>120</v>
      </c>
      <c r="F3776" s="3">
        <f t="shared" ref="F3776:F3781" si="7">90/8</f>
        <v>11.25</v>
      </c>
      <c r="G3776" s="4">
        <v>44602</v>
      </c>
      <c r="M3776" s="1"/>
      <c r="N3776" s="1"/>
      <c r="O3776" s="1"/>
      <c r="P3776" s="1"/>
      <c r="Q3776" s="1"/>
      <c r="R3776" s="1"/>
    </row>
    <row r="3777" spans="2:18">
      <c r="B3777" s="1" t="s">
        <v>371</v>
      </c>
      <c r="C3777" s="2" t="s">
        <v>7</v>
      </c>
      <c r="D3777" s="2" t="s">
        <v>363</v>
      </c>
      <c r="E3777" s="3">
        <v>120</v>
      </c>
      <c r="F3777" s="3">
        <f t="shared" si="7"/>
        <v>11.25</v>
      </c>
      <c r="G3777" s="4">
        <v>44602</v>
      </c>
      <c r="M3777" s="1"/>
      <c r="N3777" s="1"/>
      <c r="O3777" s="1"/>
      <c r="P3777" s="1"/>
      <c r="Q3777" s="1"/>
      <c r="R3777" s="1"/>
    </row>
    <row r="3778" spans="2:18">
      <c r="B3778" s="1" t="s">
        <v>370</v>
      </c>
      <c r="C3778" s="2" t="s">
        <v>7</v>
      </c>
      <c r="D3778" s="2" t="s">
        <v>363</v>
      </c>
      <c r="E3778" s="3">
        <v>120</v>
      </c>
      <c r="F3778" s="3">
        <f t="shared" si="7"/>
        <v>11.25</v>
      </c>
      <c r="G3778" s="4">
        <v>44602</v>
      </c>
      <c r="M3778" s="1"/>
      <c r="N3778" s="1"/>
      <c r="O3778" s="1"/>
      <c r="P3778" s="1"/>
      <c r="Q3778" s="1"/>
      <c r="R3778" s="1"/>
    </row>
    <row r="3779" spans="2:18">
      <c r="B3779" s="1" t="s">
        <v>366</v>
      </c>
      <c r="C3779" s="2" t="s">
        <v>7</v>
      </c>
      <c r="D3779" s="2" t="s">
        <v>363</v>
      </c>
      <c r="E3779" s="3">
        <v>120</v>
      </c>
      <c r="F3779" s="3">
        <f t="shared" si="7"/>
        <v>11.25</v>
      </c>
      <c r="G3779" s="4">
        <v>44602</v>
      </c>
      <c r="M3779" s="1"/>
      <c r="N3779" s="1"/>
      <c r="O3779" s="1"/>
      <c r="P3779" s="1"/>
      <c r="Q3779" s="1"/>
      <c r="R3779" s="1"/>
    </row>
    <row r="3780" spans="2:18">
      <c r="B3780" s="1" t="s">
        <v>365</v>
      </c>
      <c r="C3780" s="2" t="s">
        <v>7</v>
      </c>
      <c r="D3780" s="2" t="s">
        <v>363</v>
      </c>
      <c r="E3780" s="3">
        <v>120</v>
      </c>
      <c r="F3780" s="3">
        <f t="shared" si="7"/>
        <v>11.25</v>
      </c>
      <c r="G3780" s="4">
        <v>44602</v>
      </c>
      <c r="M3780" s="1"/>
      <c r="N3780" s="1"/>
      <c r="O3780" s="1"/>
      <c r="P3780" s="1"/>
      <c r="Q3780" s="1"/>
      <c r="R3780" s="1"/>
    </row>
    <row r="3781" spans="2:18">
      <c r="B3781" s="1" t="s">
        <v>364</v>
      </c>
      <c r="C3781" s="2" t="s">
        <v>7</v>
      </c>
      <c r="D3781" s="2" t="s">
        <v>363</v>
      </c>
      <c r="E3781" s="3">
        <v>120</v>
      </c>
      <c r="F3781" s="3">
        <f t="shared" si="7"/>
        <v>11.25</v>
      </c>
      <c r="G3781" s="4">
        <v>44602</v>
      </c>
      <c r="M3781" s="1"/>
      <c r="N3781" s="1"/>
      <c r="O3781" s="1"/>
      <c r="P3781" s="1"/>
      <c r="Q3781" s="1"/>
      <c r="R3781" s="1"/>
    </row>
    <row r="3782" spans="2:18">
      <c r="B3782" s="54" t="s">
        <v>4979</v>
      </c>
      <c r="C3782" s="55" t="s">
        <v>9</v>
      </c>
      <c r="D3782" s="55" t="s">
        <v>2112</v>
      </c>
      <c r="E3782" s="3">
        <v>100</v>
      </c>
      <c r="F3782" s="3">
        <v>10.714285714285714</v>
      </c>
      <c r="G3782" s="4">
        <v>44507</v>
      </c>
      <c r="I3782" s="1">
        <v>1600</v>
      </c>
      <c r="J3782" s="1">
        <v>1600</v>
      </c>
    </row>
    <row r="3783" spans="2:18">
      <c r="B3783" s="176" t="s">
        <v>6807</v>
      </c>
      <c r="C3783" s="2" t="s">
        <v>5</v>
      </c>
      <c r="D3783" s="2" t="s">
        <v>935</v>
      </c>
      <c r="E3783" s="3">
        <v>150</v>
      </c>
      <c r="F3783" s="3">
        <v>10</v>
      </c>
      <c r="G3783" s="4">
        <v>45008</v>
      </c>
    </row>
    <row r="3784" spans="2:18">
      <c r="B3784" s="1" t="s">
        <v>933</v>
      </c>
      <c r="C3784" s="2" t="s">
        <v>5</v>
      </c>
      <c r="D3784" s="2" t="s">
        <v>932</v>
      </c>
      <c r="E3784" s="3">
        <v>30</v>
      </c>
      <c r="F3784" s="3">
        <v>10</v>
      </c>
      <c r="G3784" s="4">
        <v>44656</v>
      </c>
    </row>
    <row r="3785" spans="2:18">
      <c r="B3785" s="1" t="s">
        <v>930</v>
      </c>
      <c r="C3785" s="2" t="s">
        <v>4</v>
      </c>
      <c r="D3785" s="2" t="s">
        <v>887</v>
      </c>
      <c r="E3785" s="3">
        <v>20</v>
      </c>
      <c r="F3785" s="3">
        <v>10</v>
      </c>
      <c r="G3785" s="4">
        <v>44614</v>
      </c>
    </row>
    <row r="3786" spans="2:18">
      <c r="B3786" s="1" t="s">
        <v>929</v>
      </c>
      <c r="C3786" s="2" t="s">
        <v>5</v>
      </c>
      <c r="D3786" s="2" t="s">
        <v>928</v>
      </c>
      <c r="E3786" s="3">
        <v>25</v>
      </c>
      <c r="F3786" s="3">
        <v>10</v>
      </c>
      <c r="G3786" s="4">
        <v>44944</v>
      </c>
    </row>
    <row r="3787" spans="2:18">
      <c r="B3787" s="1" t="s">
        <v>631</v>
      </c>
      <c r="C3787" s="2" t="s">
        <v>5</v>
      </c>
      <c r="D3787" s="2" t="s">
        <v>630</v>
      </c>
      <c r="E3787" s="3">
        <v>10</v>
      </c>
      <c r="F3787" s="3">
        <v>10</v>
      </c>
      <c r="G3787" s="4">
        <v>44013</v>
      </c>
      <c r="M3787" s="1"/>
      <c r="N3787" s="1"/>
      <c r="O3787" s="1"/>
      <c r="P3787" s="1"/>
      <c r="Q3787" s="1"/>
      <c r="R3787" s="1"/>
    </row>
    <row r="3788" spans="2:18">
      <c r="B3788" s="1" t="s">
        <v>500</v>
      </c>
      <c r="C3788" s="2" t="s">
        <v>53</v>
      </c>
      <c r="D3788" s="2" t="s">
        <v>489</v>
      </c>
      <c r="E3788" s="3">
        <v>50</v>
      </c>
      <c r="F3788" s="3">
        <v>10</v>
      </c>
      <c r="G3788" s="4">
        <v>44174</v>
      </c>
      <c r="M3788" s="1"/>
      <c r="N3788" s="1"/>
      <c r="O3788" s="1"/>
      <c r="P3788" s="1"/>
      <c r="Q3788" s="1"/>
      <c r="R3788" s="1"/>
    </row>
    <row r="3789" spans="2:18">
      <c r="B3789" s="1" t="s">
        <v>491</v>
      </c>
      <c r="C3789" s="2" t="s">
        <v>18</v>
      </c>
      <c r="D3789" s="2" t="s">
        <v>489</v>
      </c>
      <c r="E3789" s="3">
        <v>67.2</v>
      </c>
      <c r="F3789" s="3">
        <v>10</v>
      </c>
      <c r="G3789" s="4">
        <v>42943</v>
      </c>
      <c r="M3789" s="1"/>
      <c r="N3789" s="1"/>
      <c r="O3789" s="1"/>
      <c r="P3789" s="1"/>
      <c r="Q3789" s="1"/>
      <c r="R3789" s="1"/>
    </row>
    <row r="3790" spans="2:18">
      <c r="B3790" s="1" t="s">
        <v>490</v>
      </c>
      <c r="C3790" s="2" t="s">
        <v>18</v>
      </c>
      <c r="D3790" s="2" t="s">
        <v>489</v>
      </c>
      <c r="E3790" s="3">
        <v>67.2</v>
      </c>
      <c r="F3790" s="3">
        <v>10</v>
      </c>
      <c r="G3790" s="4">
        <v>42943</v>
      </c>
      <c r="M3790" s="1"/>
      <c r="N3790" s="1"/>
      <c r="O3790" s="1"/>
      <c r="P3790" s="1"/>
      <c r="Q3790" s="1"/>
      <c r="R3790" s="1"/>
    </row>
    <row r="3791" spans="2:18">
      <c r="B3791" s="1" t="s">
        <v>400</v>
      </c>
      <c r="C3791" s="2" t="s">
        <v>7</v>
      </c>
      <c r="D3791" s="2" t="s">
        <v>398</v>
      </c>
      <c r="E3791" s="3">
        <v>80</v>
      </c>
      <c r="F3791" s="3">
        <v>10</v>
      </c>
      <c r="G3791" s="4">
        <v>44327</v>
      </c>
      <c r="M3791" s="1"/>
      <c r="N3791" s="1"/>
      <c r="O3791" s="1"/>
      <c r="P3791" s="1"/>
      <c r="Q3791" s="1"/>
      <c r="R3791" s="1"/>
    </row>
    <row r="3792" spans="2:18">
      <c r="B3792" s="1" t="s">
        <v>399</v>
      </c>
      <c r="C3792" s="2" t="s">
        <v>7</v>
      </c>
      <c r="D3792" s="2" t="s">
        <v>398</v>
      </c>
      <c r="E3792" s="3">
        <v>80</v>
      </c>
      <c r="F3792" s="3">
        <v>10</v>
      </c>
      <c r="G3792" s="4">
        <v>44327</v>
      </c>
      <c r="M3792" s="1"/>
      <c r="N3792" s="1"/>
      <c r="O3792" s="1"/>
      <c r="P3792" s="1"/>
      <c r="Q3792" s="1"/>
      <c r="R3792" s="1"/>
    </row>
    <row r="3793" spans="2:18">
      <c r="G3793" s="4"/>
      <c r="M3793" s="1"/>
      <c r="N3793" s="1"/>
      <c r="O3793" s="1"/>
      <c r="P3793" s="1"/>
      <c r="Q3793" s="1"/>
      <c r="R3793" s="1"/>
    </row>
    <row r="3794" spans="2:18">
      <c r="G3794" s="4"/>
      <c r="M3794" s="1"/>
      <c r="N3794" s="1"/>
      <c r="O3794" s="1"/>
      <c r="P3794" s="1"/>
      <c r="Q3794" s="1"/>
      <c r="R3794" s="1"/>
    </row>
    <row r="3795" spans="2:18">
      <c r="G3795" s="4"/>
      <c r="M3795" s="1"/>
      <c r="N3795" s="1"/>
      <c r="O3795" s="1"/>
      <c r="P3795" s="1"/>
      <c r="Q3795" s="1"/>
      <c r="R3795" s="1"/>
    </row>
    <row r="3796" spans="2:18">
      <c r="G3796" s="4"/>
      <c r="M3796" s="1"/>
      <c r="N3796" s="1"/>
      <c r="O3796" s="1"/>
      <c r="P3796" s="1"/>
      <c r="Q3796" s="1"/>
      <c r="R3796" s="1"/>
    </row>
    <row r="3797" spans="2:18">
      <c r="B3797" s="1" t="s">
        <v>391</v>
      </c>
      <c r="C3797" s="2" t="s">
        <v>18</v>
      </c>
      <c r="D3797" s="2" t="s">
        <v>386</v>
      </c>
      <c r="E3797" s="3">
        <v>110</v>
      </c>
      <c r="F3797" s="3">
        <v>10</v>
      </c>
      <c r="G3797" s="4">
        <v>43690</v>
      </c>
      <c r="M3797" s="1"/>
      <c r="N3797" s="1"/>
      <c r="O3797" s="1"/>
      <c r="P3797" s="1"/>
      <c r="Q3797" s="1"/>
      <c r="R3797" s="1"/>
    </row>
    <row r="3798" spans="2:18">
      <c r="B3798" s="1" t="s">
        <v>385</v>
      </c>
      <c r="C3798" s="2" t="s">
        <v>5</v>
      </c>
      <c r="D3798" s="2" t="s">
        <v>381</v>
      </c>
      <c r="E3798" s="3">
        <v>86</v>
      </c>
      <c r="F3798" s="3">
        <v>10</v>
      </c>
      <c r="G3798" s="4">
        <v>44488</v>
      </c>
      <c r="M3798" s="1"/>
      <c r="N3798" s="1"/>
      <c r="O3798" s="1"/>
      <c r="P3798" s="1"/>
      <c r="Q3798" s="1"/>
      <c r="R3798" s="1"/>
    </row>
    <row r="3799" spans="2:18">
      <c r="B3799" s="1" t="s">
        <v>383</v>
      </c>
      <c r="C3799" s="2" t="s">
        <v>5</v>
      </c>
      <c r="D3799" s="2" t="s">
        <v>381</v>
      </c>
      <c r="E3799" s="3">
        <v>86</v>
      </c>
      <c r="F3799" s="3">
        <v>10</v>
      </c>
      <c r="G3799" s="4">
        <v>44488</v>
      </c>
      <c r="M3799" s="1"/>
      <c r="N3799" s="1"/>
      <c r="O3799" s="1"/>
      <c r="P3799" s="1"/>
      <c r="Q3799" s="1"/>
      <c r="R3799" s="1"/>
    </row>
    <row r="3800" spans="2:18">
      <c r="B3800" s="1" t="s">
        <v>130</v>
      </c>
      <c r="C3800" s="2" t="s">
        <v>7</v>
      </c>
      <c r="D3800" s="2" t="s">
        <v>128</v>
      </c>
      <c r="E3800" s="3">
        <v>23.5</v>
      </c>
      <c r="F3800" s="3">
        <v>10</v>
      </c>
      <c r="G3800" s="4">
        <v>45008</v>
      </c>
    </row>
    <row r="3801" spans="2:18">
      <c r="B3801" s="1" t="s">
        <v>107</v>
      </c>
      <c r="C3801" s="2" t="s">
        <v>8</v>
      </c>
      <c r="D3801" s="2" t="s">
        <v>102</v>
      </c>
      <c r="E3801" s="3">
        <v>30</v>
      </c>
      <c r="F3801" s="3">
        <v>10</v>
      </c>
      <c r="G3801" s="4">
        <v>43178</v>
      </c>
    </row>
    <row r="3802" spans="2:18">
      <c r="B3802" s="1" t="s">
        <v>103</v>
      </c>
      <c r="C3802" s="2" t="s">
        <v>8</v>
      </c>
      <c r="D3802" s="2" t="s">
        <v>102</v>
      </c>
      <c r="E3802" s="3">
        <v>10</v>
      </c>
      <c r="F3802" s="3">
        <v>10</v>
      </c>
      <c r="G3802" s="4">
        <v>43726</v>
      </c>
    </row>
    <row r="3803" spans="2:18">
      <c r="B3803" s="1" t="s">
        <v>101</v>
      </c>
      <c r="C3803" s="2" t="s">
        <v>7</v>
      </c>
      <c r="D3803" s="2" t="s">
        <v>95</v>
      </c>
      <c r="E3803" s="3">
        <v>25</v>
      </c>
      <c r="F3803" s="3">
        <v>10</v>
      </c>
      <c r="G3803" s="4">
        <v>43783</v>
      </c>
    </row>
    <row r="3804" spans="2:18">
      <c r="B3804" s="1" t="s">
        <v>66</v>
      </c>
      <c r="C3804" s="2" t="s">
        <v>5</v>
      </c>
      <c r="D3804" s="2" t="s">
        <v>64</v>
      </c>
      <c r="E3804" s="3">
        <v>50</v>
      </c>
      <c r="F3804" s="3">
        <v>10</v>
      </c>
      <c r="G3804" s="4">
        <v>44165</v>
      </c>
    </row>
    <row r="3805" spans="2:18">
      <c r="B3805" s="91" t="s">
        <v>5899</v>
      </c>
      <c r="C3805" s="92" t="s">
        <v>18</v>
      </c>
      <c r="D3805" s="92" t="s">
        <v>2072</v>
      </c>
      <c r="E3805" s="3">
        <v>65</v>
      </c>
      <c r="F3805" s="3">
        <v>10</v>
      </c>
      <c r="G3805" s="4">
        <v>44644</v>
      </c>
      <c r="I3805" s="1">
        <v>500</v>
      </c>
      <c r="J3805" s="1">
        <v>500</v>
      </c>
    </row>
    <row r="3806" spans="2:18">
      <c r="B3806" s="134" t="s">
        <v>6292</v>
      </c>
      <c r="C3806" s="140" t="s">
        <v>5</v>
      </c>
      <c r="D3806" s="140" t="s">
        <v>6293</v>
      </c>
      <c r="E3806" s="3">
        <v>25</v>
      </c>
      <c r="F3806" s="3">
        <v>10</v>
      </c>
      <c r="G3806" s="4">
        <v>44594</v>
      </c>
    </row>
    <row r="3807" spans="2:18">
      <c r="B3807" s="152" t="s">
        <v>6359</v>
      </c>
      <c r="C3807" s="153" t="s">
        <v>7</v>
      </c>
      <c r="D3807" s="153" t="s">
        <v>2046</v>
      </c>
      <c r="E3807" s="3">
        <v>50</v>
      </c>
      <c r="F3807" s="3">
        <v>10</v>
      </c>
      <c r="G3807" s="4">
        <v>44252</v>
      </c>
    </row>
    <row r="3808" spans="2:18">
      <c r="B3808" s="1" t="s">
        <v>28</v>
      </c>
      <c r="C3808" s="2" t="s">
        <v>9</v>
      </c>
      <c r="D3808" s="2" t="s">
        <v>22</v>
      </c>
      <c r="E3808" s="3">
        <v>222</v>
      </c>
      <c r="F3808" s="3">
        <f>200/21</f>
        <v>9.5238095238095237</v>
      </c>
      <c r="G3808" s="4">
        <v>44194</v>
      </c>
      <c r="I3808" s="1">
        <v>2500</v>
      </c>
      <c r="J3808" s="1">
        <v>2500</v>
      </c>
    </row>
    <row r="3809" spans="2:18">
      <c r="B3809" s="1" t="s">
        <v>26</v>
      </c>
      <c r="C3809" s="2" t="s">
        <v>9</v>
      </c>
      <c r="D3809" s="2" t="s">
        <v>22</v>
      </c>
      <c r="E3809" s="3">
        <v>222</v>
      </c>
      <c r="F3809" s="3">
        <f>200/21</f>
        <v>9.5238095238095237</v>
      </c>
      <c r="G3809" s="4">
        <v>44194</v>
      </c>
      <c r="I3809" s="1">
        <v>2500</v>
      </c>
      <c r="J3809" s="1">
        <v>2500</v>
      </c>
    </row>
    <row r="3810" spans="2:18">
      <c r="B3810" s="1" t="s">
        <v>927</v>
      </c>
      <c r="C3810" s="2" t="s">
        <v>18</v>
      </c>
      <c r="D3810" s="2" t="s">
        <v>926</v>
      </c>
      <c r="E3810" s="3">
        <v>100</v>
      </c>
      <c r="F3810" s="3">
        <v>9</v>
      </c>
      <c r="G3810" s="4">
        <v>44690</v>
      </c>
      <c r="J3810" s="1">
        <v>4300</v>
      </c>
    </row>
    <row r="3811" spans="2:18">
      <c r="B3811" s="1" t="s">
        <v>165</v>
      </c>
      <c r="C3811" s="2" t="s">
        <v>5</v>
      </c>
      <c r="D3811" s="2" t="s">
        <v>161</v>
      </c>
      <c r="E3811" s="3">
        <v>112</v>
      </c>
      <c r="F3811" s="3">
        <f>72/8</f>
        <v>9</v>
      </c>
      <c r="G3811" s="4">
        <v>43115</v>
      </c>
      <c r="J3811" s="1">
        <v>8400</v>
      </c>
    </row>
    <row r="3812" spans="2:18">
      <c r="B3812" s="1" t="s">
        <v>164</v>
      </c>
      <c r="C3812" s="2" t="s">
        <v>5</v>
      </c>
      <c r="D3812" s="2" t="s">
        <v>161</v>
      </c>
      <c r="E3812" s="3">
        <v>112</v>
      </c>
      <c r="F3812" s="3">
        <f>72/8</f>
        <v>9</v>
      </c>
      <c r="G3812" s="4">
        <v>43115</v>
      </c>
      <c r="J3812" s="1">
        <v>8400</v>
      </c>
    </row>
    <row r="3813" spans="2:18">
      <c r="B3813" s="1" t="s">
        <v>163</v>
      </c>
      <c r="C3813" s="2" t="s">
        <v>5</v>
      </c>
      <c r="D3813" s="2" t="s">
        <v>161</v>
      </c>
      <c r="E3813" s="3">
        <v>112</v>
      </c>
      <c r="F3813" s="3">
        <f>72/8</f>
        <v>9</v>
      </c>
      <c r="G3813" s="4">
        <v>43115</v>
      </c>
      <c r="J3813" s="1">
        <v>8400</v>
      </c>
    </row>
    <row r="3814" spans="2:18">
      <c r="B3814" s="1" t="s">
        <v>162</v>
      </c>
      <c r="C3814" s="2" t="s">
        <v>5</v>
      </c>
      <c r="D3814" s="2" t="s">
        <v>161</v>
      </c>
      <c r="E3814" s="3">
        <v>112</v>
      </c>
      <c r="F3814" s="3">
        <f>72/8</f>
        <v>9</v>
      </c>
      <c r="G3814" s="4">
        <v>43115</v>
      </c>
      <c r="J3814" s="1">
        <v>8400</v>
      </c>
    </row>
    <row r="3815" spans="2:18">
      <c r="B3815" s="91" t="s">
        <v>5427</v>
      </c>
      <c r="C3815" s="92" t="s">
        <v>18</v>
      </c>
      <c r="D3815" s="92" t="s">
        <v>2090</v>
      </c>
      <c r="E3815" s="3">
        <v>50</v>
      </c>
      <c r="F3815" s="3">
        <v>9</v>
      </c>
      <c r="G3815" s="4">
        <v>44286</v>
      </c>
      <c r="J3815" s="1">
        <v>1500</v>
      </c>
    </row>
    <row r="3816" spans="2:18">
      <c r="B3816" s="1" t="s">
        <v>321</v>
      </c>
      <c r="C3816" s="2" t="s">
        <v>18</v>
      </c>
      <c r="D3816" s="2" t="s">
        <v>318</v>
      </c>
      <c r="E3816" s="3">
        <v>91</v>
      </c>
      <c r="F3816" s="3">
        <f>70/8</f>
        <v>8.75</v>
      </c>
      <c r="G3816" s="4">
        <v>44867</v>
      </c>
      <c r="M3816" s="1"/>
      <c r="N3816" s="1"/>
      <c r="O3816" s="1"/>
      <c r="P3816" s="1"/>
      <c r="Q3816" s="1"/>
      <c r="R3816" s="1"/>
    </row>
    <row r="3817" spans="2:18">
      <c r="B3817" s="1" t="s">
        <v>320</v>
      </c>
      <c r="C3817" s="2" t="s">
        <v>18</v>
      </c>
      <c r="D3817" s="2" t="s">
        <v>318</v>
      </c>
      <c r="E3817" s="3">
        <v>91</v>
      </c>
      <c r="F3817" s="3">
        <f>70/8</f>
        <v>8.75</v>
      </c>
      <c r="G3817" s="4">
        <v>44867</v>
      </c>
      <c r="M3817" s="1"/>
      <c r="N3817" s="1"/>
      <c r="O3817" s="1"/>
      <c r="P3817" s="1"/>
      <c r="Q3817" s="1"/>
      <c r="R3817" s="1"/>
    </row>
    <row r="3818" spans="2:18">
      <c r="B3818" s="1" t="s">
        <v>319</v>
      </c>
      <c r="C3818" s="2" t="s">
        <v>18</v>
      </c>
      <c r="D3818" s="2" t="s">
        <v>318</v>
      </c>
      <c r="E3818" s="3">
        <v>91</v>
      </c>
      <c r="F3818" s="3">
        <f>70/8</f>
        <v>8.75</v>
      </c>
      <c r="G3818" s="4">
        <v>44867</v>
      </c>
      <c r="M3818" s="1"/>
      <c r="N3818" s="1"/>
      <c r="O3818" s="1"/>
      <c r="P3818" s="1"/>
      <c r="Q3818" s="1"/>
      <c r="R3818" s="1"/>
    </row>
    <row r="3819" spans="2:18">
      <c r="B3819" s="1" t="s">
        <v>429</v>
      </c>
      <c r="C3819" s="2" t="s">
        <v>5</v>
      </c>
      <c r="D3819" s="2" t="s">
        <v>428</v>
      </c>
      <c r="E3819" s="3">
        <v>8.5</v>
      </c>
      <c r="F3819" s="3">
        <v>8.5</v>
      </c>
      <c r="G3819" s="4">
        <v>44307</v>
      </c>
      <c r="M3819" s="1"/>
      <c r="N3819" s="1"/>
      <c r="O3819" s="1"/>
      <c r="P3819" s="1"/>
      <c r="Q3819" s="1"/>
      <c r="R3819" s="1"/>
    </row>
    <row r="3820" spans="2:18">
      <c r="B3820" s="1" t="s">
        <v>924</v>
      </c>
      <c r="C3820" s="2" t="s">
        <v>4</v>
      </c>
      <c r="D3820" s="2" t="s">
        <v>705</v>
      </c>
      <c r="E3820" s="3">
        <v>113</v>
      </c>
      <c r="F3820" s="3">
        <v>8</v>
      </c>
      <c r="G3820" s="4">
        <v>45090</v>
      </c>
    </row>
    <row r="3821" spans="2:18">
      <c r="B3821" s="1" t="s">
        <v>922</v>
      </c>
      <c r="C3821" s="2" t="s">
        <v>4</v>
      </c>
      <c r="D3821" s="2" t="s">
        <v>705</v>
      </c>
      <c r="E3821" s="3">
        <v>113</v>
      </c>
      <c r="F3821" s="3">
        <v>8</v>
      </c>
      <c r="G3821" s="4">
        <v>45090</v>
      </c>
    </row>
    <row r="3822" spans="2:18">
      <c r="B3822" s="1" t="s">
        <v>920</v>
      </c>
      <c r="C3822" s="2" t="s">
        <v>4</v>
      </c>
      <c r="D3822" s="2" t="s">
        <v>705</v>
      </c>
      <c r="E3822" s="3">
        <v>113</v>
      </c>
      <c r="F3822" s="3">
        <v>8</v>
      </c>
      <c r="G3822" s="4">
        <v>45090</v>
      </c>
    </row>
    <row r="3823" spans="2:18">
      <c r="B3823" s="1" t="s">
        <v>581</v>
      </c>
      <c r="C3823" s="2" t="s">
        <v>4</v>
      </c>
      <c r="D3823" s="2" t="s">
        <v>580</v>
      </c>
      <c r="E3823" s="3">
        <v>8</v>
      </c>
      <c r="F3823" s="3">
        <v>8</v>
      </c>
      <c r="G3823" s="4">
        <v>44711</v>
      </c>
      <c r="M3823" s="1"/>
      <c r="N3823" s="1"/>
      <c r="O3823" s="1"/>
      <c r="P3823" s="1"/>
      <c r="Q3823" s="1"/>
      <c r="R3823" s="1"/>
    </row>
    <row r="3824" spans="2:18">
      <c r="B3824" s="1" t="s">
        <v>169</v>
      </c>
      <c r="C3824" s="2" t="s">
        <v>5</v>
      </c>
      <c r="D3824" s="2" t="s">
        <v>161</v>
      </c>
      <c r="E3824" s="3">
        <v>102</v>
      </c>
      <c r="F3824" s="3">
        <v>8</v>
      </c>
      <c r="G3824" s="4">
        <v>43292</v>
      </c>
      <c r="J3824" s="1">
        <v>8400</v>
      </c>
    </row>
    <row r="3825" spans="2:18">
      <c r="B3825" s="1" t="s">
        <v>168</v>
      </c>
      <c r="C3825" s="2" t="s">
        <v>5</v>
      </c>
      <c r="D3825" s="2" t="s">
        <v>161</v>
      </c>
      <c r="E3825" s="3">
        <v>102</v>
      </c>
      <c r="F3825" s="3">
        <v>8</v>
      </c>
      <c r="G3825" s="4">
        <v>43292</v>
      </c>
      <c r="J3825" s="1">
        <v>8400</v>
      </c>
    </row>
    <row r="3826" spans="2:18">
      <c r="B3826" s="1" t="s">
        <v>153</v>
      </c>
      <c r="C3826" s="2" t="s">
        <v>8</v>
      </c>
      <c r="D3826" s="2" t="s">
        <v>148</v>
      </c>
      <c r="E3826" s="3">
        <v>38</v>
      </c>
      <c r="F3826" s="6" t="s">
        <v>152</v>
      </c>
      <c r="G3826" s="4">
        <v>43266</v>
      </c>
    </row>
    <row r="3827" spans="2:18">
      <c r="B3827" s="1" t="s">
        <v>142</v>
      </c>
      <c r="C3827" s="2" t="s">
        <v>8</v>
      </c>
      <c r="D3827" s="2" t="s">
        <v>131</v>
      </c>
      <c r="E3827" s="3">
        <v>135</v>
      </c>
      <c r="F3827" s="3">
        <v>8</v>
      </c>
      <c r="G3827" s="4">
        <v>44880</v>
      </c>
    </row>
    <row r="3828" spans="2:18">
      <c r="B3828" s="1" t="s">
        <v>141</v>
      </c>
      <c r="C3828" s="2" t="s">
        <v>8</v>
      </c>
      <c r="D3828" s="2" t="s">
        <v>131</v>
      </c>
      <c r="E3828" s="3">
        <v>135</v>
      </c>
      <c r="F3828" s="3">
        <v>8</v>
      </c>
      <c r="G3828" s="4">
        <v>44880</v>
      </c>
    </row>
    <row r="3829" spans="2:18">
      <c r="B3829" s="1" t="s">
        <v>138</v>
      </c>
      <c r="C3829" s="2" t="s">
        <v>8</v>
      </c>
      <c r="D3829" s="2" t="s">
        <v>131</v>
      </c>
      <c r="E3829" s="3">
        <v>135</v>
      </c>
      <c r="F3829" s="3">
        <v>8</v>
      </c>
      <c r="G3829" s="4">
        <v>44880</v>
      </c>
    </row>
    <row r="3830" spans="2:18">
      <c r="G3830" s="4"/>
    </row>
    <row r="3831" spans="2:18">
      <c r="G3831" s="4"/>
    </row>
    <row r="3832" spans="2:18">
      <c r="B3832" s="1" t="s">
        <v>918</v>
      </c>
      <c r="C3832" s="2" t="s">
        <v>5</v>
      </c>
      <c r="D3832" s="2" t="s">
        <v>888</v>
      </c>
      <c r="E3832" s="3">
        <v>20</v>
      </c>
      <c r="F3832" s="3">
        <v>7.5</v>
      </c>
      <c r="G3832" s="4">
        <v>45009</v>
      </c>
    </row>
    <row r="3833" spans="2:18">
      <c r="B3833" s="165" t="s">
        <v>6636</v>
      </c>
      <c r="C3833" s="168" t="s">
        <v>5</v>
      </c>
      <c r="D3833" s="168" t="s">
        <v>2032</v>
      </c>
      <c r="E3833" s="3">
        <v>30</v>
      </c>
      <c r="F3833" s="3">
        <v>7.5</v>
      </c>
      <c r="G3833" s="4">
        <v>44729</v>
      </c>
    </row>
    <row r="3834" spans="2:18">
      <c r="B3834" s="51" t="s">
        <v>4853</v>
      </c>
      <c r="C3834" s="52" t="s">
        <v>5</v>
      </c>
      <c r="D3834" s="52" t="s">
        <v>2118</v>
      </c>
      <c r="E3834" s="3">
        <v>52.3</v>
      </c>
      <c r="F3834" s="5">
        <f>22/3</f>
        <v>7.333333333333333</v>
      </c>
      <c r="G3834" s="4">
        <v>43348</v>
      </c>
      <c r="J3834" s="1">
        <v>700</v>
      </c>
    </row>
    <row r="3835" spans="2:18">
      <c r="B3835" s="1" t="s">
        <v>41</v>
      </c>
      <c r="C3835" s="2" t="s">
        <v>7</v>
      </c>
      <c r="D3835" s="2" t="s">
        <v>39</v>
      </c>
      <c r="E3835" s="3">
        <v>42</v>
      </c>
      <c r="F3835" s="3">
        <f>22/3</f>
        <v>7.333333333333333</v>
      </c>
      <c r="G3835" s="4">
        <v>43144</v>
      </c>
      <c r="J3835" s="1">
        <v>2000</v>
      </c>
    </row>
    <row r="3836" spans="2:18">
      <c r="G3836" s="4"/>
    </row>
    <row r="3837" spans="2:18">
      <c r="B3837" s="1" t="s">
        <v>613</v>
      </c>
      <c r="C3837" s="2" t="s">
        <v>9</v>
      </c>
      <c r="D3837" s="2" t="s">
        <v>606</v>
      </c>
      <c r="E3837" s="3">
        <v>132</v>
      </c>
      <c r="F3837" s="3">
        <f>72/10</f>
        <v>7.2</v>
      </c>
      <c r="G3837" s="4">
        <v>44215</v>
      </c>
      <c r="M3837" s="1"/>
      <c r="N3837" s="1"/>
      <c r="O3837" s="1"/>
      <c r="P3837" s="1"/>
      <c r="Q3837" s="1"/>
      <c r="R3837" s="1"/>
    </row>
    <row r="3838" spans="2:18">
      <c r="B3838" s="1" t="s">
        <v>612</v>
      </c>
      <c r="C3838" s="2" t="s">
        <v>9</v>
      </c>
      <c r="D3838" s="2" t="s">
        <v>606</v>
      </c>
      <c r="E3838" s="3">
        <v>132</v>
      </c>
      <c r="F3838" s="3">
        <f>72/10</f>
        <v>7.2</v>
      </c>
      <c r="G3838" s="4">
        <v>44215</v>
      </c>
      <c r="M3838" s="1"/>
      <c r="N3838" s="1"/>
      <c r="O3838" s="1"/>
      <c r="P3838" s="1"/>
      <c r="Q3838" s="1"/>
      <c r="R3838" s="1"/>
    </row>
    <row r="3839" spans="2:18">
      <c r="B3839" s="1" t="s">
        <v>610</v>
      </c>
      <c r="C3839" s="2" t="s">
        <v>9</v>
      </c>
      <c r="D3839" s="2" t="s">
        <v>606</v>
      </c>
      <c r="E3839" s="3">
        <v>132</v>
      </c>
      <c r="F3839" s="3">
        <f>72/10</f>
        <v>7.2</v>
      </c>
      <c r="G3839" s="4">
        <v>44215</v>
      </c>
      <c r="M3839" s="1"/>
      <c r="N3839" s="1"/>
      <c r="O3839" s="1"/>
      <c r="P3839" s="1"/>
      <c r="Q3839" s="1"/>
      <c r="R3839" s="1"/>
    </row>
    <row r="3840" spans="2:18">
      <c r="B3840" s="1" t="s">
        <v>82</v>
      </c>
      <c r="C3840" s="2" t="s">
        <v>5</v>
      </c>
      <c r="D3840" s="2" t="s">
        <v>80</v>
      </c>
      <c r="E3840" s="3">
        <v>43</v>
      </c>
      <c r="F3840" s="3">
        <f>+E3840/6</f>
        <v>7.166666666666667</v>
      </c>
      <c r="G3840" s="4">
        <v>43622</v>
      </c>
    </row>
    <row r="3841" spans="2:18">
      <c r="B3841" s="1" t="s">
        <v>81</v>
      </c>
      <c r="C3841" s="2" t="s">
        <v>5</v>
      </c>
      <c r="D3841" s="2" t="s">
        <v>80</v>
      </c>
      <c r="E3841" s="3">
        <v>43</v>
      </c>
      <c r="F3841" s="3">
        <f>+E3841/6</f>
        <v>7.166666666666667</v>
      </c>
      <c r="G3841" s="4">
        <v>43622</v>
      </c>
    </row>
    <row r="3842" spans="2:18">
      <c r="B3842" s="1" t="s">
        <v>917</v>
      </c>
      <c r="C3842" s="2" t="s">
        <v>7</v>
      </c>
      <c r="D3842" s="2" t="s">
        <v>864</v>
      </c>
      <c r="E3842" s="3">
        <v>50</v>
      </c>
      <c r="F3842" s="3">
        <f>E3842/7</f>
        <v>7.1428571428571432</v>
      </c>
      <c r="G3842" s="4">
        <v>44628</v>
      </c>
    </row>
    <row r="3843" spans="2:18">
      <c r="B3843" s="1" t="s">
        <v>916</v>
      </c>
      <c r="C3843" s="2" t="s">
        <v>7</v>
      </c>
      <c r="D3843" s="2" t="s">
        <v>864</v>
      </c>
      <c r="E3843" s="3">
        <v>50</v>
      </c>
      <c r="F3843" s="3">
        <f>E3843/7</f>
        <v>7.1428571428571432</v>
      </c>
      <c r="G3843" s="4">
        <v>44628</v>
      </c>
    </row>
    <row r="3844" spans="2:18">
      <c r="B3844" s="1" t="s">
        <v>915</v>
      </c>
      <c r="C3844" s="2" t="s">
        <v>5</v>
      </c>
      <c r="D3844" s="2" t="s">
        <v>722</v>
      </c>
      <c r="E3844" s="3">
        <v>20</v>
      </c>
      <c r="F3844" s="3">
        <v>7</v>
      </c>
      <c r="G3844" s="4">
        <v>44903</v>
      </c>
    </row>
    <row r="3845" spans="2:18">
      <c r="B3845" s="1" t="s">
        <v>914</v>
      </c>
      <c r="C3845" s="2" t="s">
        <v>4</v>
      </c>
      <c r="D3845" s="2" t="s">
        <v>912</v>
      </c>
      <c r="E3845" s="3">
        <v>42</v>
      </c>
      <c r="F3845" s="3">
        <v>7</v>
      </c>
      <c r="G3845" s="4">
        <v>44882</v>
      </c>
    </row>
    <row r="3846" spans="2:18">
      <c r="B3846" s="1" t="s">
        <v>913</v>
      </c>
      <c r="C3846" s="2" t="s">
        <v>4</v>
      </c>
      <c r="D3846" s="2" t="s">
        <v>912</v>
      </c>
      <c r="E3846" s="3">
        <v>42</v>
      </c>
      <c r="F3846" s="3">
        <v>7</v>
      </c>
      <c r="G3846" s="4">
        <v>44882</v>
      </c>
    </row>
    <row r="3847" spans="2:18">
      <c r="B3847" s="1" t="s">
        <v>427</v>
      </c>
      <c r="C3847" s="2" t="s">
        <v>18</v>
      </c>
      <c r="D3847" s="2" t="s">
        <v>424</v>
      </c>
      <c r="E3847" s="3">
        <v>75</v>
      </c>
      <c r="F3847" s="3">
        <f>35/5</f>
        <v>7</v>
      </c>
      <c r="G3847" s="4">
        <v>45020</v>
      </c>
      <c r="M3847" s="1"/>
      <c r="N3847" s="1"/>
      <c r="O3847" s="1"/>
      <c r="P3847" s="1"/>
      <c r="Q3847" s="1"/>
      <c r="R3847" s="1"/>
    </row>
    <row r="3848" spans="2:18">
      <c r="B3848" s="1" t="s">
        <v>426</v>
      </c>
      <c r="C3848" s="2" t="s">
        <v>18</v>
      </c>
      <c r="D3848" s="2" t="s">
        <v>424</v>
      </c>
      <c r="E3848" s="3">
        <v>75</v>
      </c>
      <c r="F3848" s="3">
        <f>35/5</f>
        <v>7</v>
      </c>
      <c r="G3848" s="4">
        <v>45020</v>
      </c>
      <c r="M3848" s="1"/>
      <c r="N3848" s="1"/>
      <c r="O3848" s="1"/>
      <c r="P3848" s="1"/>
      <c r="Q3848" s="1"/>
      <c r="R3848" s="1"/>
    </row>
    <row r="3849" spans="2:18">
      <c r="B3849" s="1" t="s">
        <v>423</v>
      </c>
      <c r="C3849" s="2" t="s">
        <v>18</v>
      </c>
      <c r="D3849" s="2" t="s">
        <v>416</v>
      </c>
      <c r="E3849" s="3">
        <v>23</v>
      </c>
      <c r="F3849" s="3">
        <v>7</v>
      </c>
      <c r="G3849" s="4">
        <v>44328</v>
      </c>
      <c r="I3849" s="5"/>
      <c r="M3849" s="1"/>
      <c r="N3849" s="1"/>
      <c r="O3849" s="1"/>
      <c r="P3849" s="1"/>
      <c r="Q3849" s="1"/>
      <c r="R3849" s="1"/>
    </row>
    <row r="3850" spans="2:18">
      <c r="B3850" s="1" t="s">
        <v>151</v>
      </c>
      <c r="C3850" s="2" t="s">
        <v>7</v>
      </c>
      <c r="D3850" s="2" t="s">
        <v>148</v>
      </c>
      <c r="E3850" s="3">
        <v>10</v>
      </c>
      <c r="F3850" s="6" t="s">
        <v>150</v>
      </c>
      <c r="G3850" s="4">
        <v>42355</v>
      </c>
    </row>
    <row r="3851" spans="2:18">
      <c r="B3851" s="54" t="s">
        <v>4986</v>
      </c>
      <c r="C3851" s="55" t="s">
        <v>7</v>
      </c>
      <c r="D3851" s="55" t="s">
        <v>2112</v>
      </c>
      <c r="E3851" s="3">
        <v>20</v>
      </c>
      <c r="F3851" s="3">
        <v>7</v>
      </c>
      <c r="G3851" s="4">
        <v>42317</v>
      </c>
      <c r="J3851" s="1">
        <v>1600</v>
      </c>
    </row>
    <row r="3852" spans="2:18">
      <c r="B3852" s="91" t="s">
        <v>5420</v>
      </c>
      <c r="C3852" s="92" t="s">
        <v>18</v>
      </c>
      <c r="D3852" s="92" t="s">
        <v>2090</v>
      </c>
      <c r="E3852" s="3">
        <v>80</v>
      </c>
      <c r="F3852" s="3">
        <f>7</f>
        <v>7</v>
      </c>
      <c r="G3852" s="4">
        <v>44637</v>
      </c>
      <c r="I3852" s="1">
        <v>1500</v>
      </c>
      <c r="J3852" s="1">
        <v>1500</v>
      </c>
    </row>
    <row r="3853" spans="2:18">
      <c r="B3853" s="91" t="s">
        <v>5422</v>
      </c>
      <c r="C3853" s="92" t="s">
        <v>18</v>
      </c>
      <c r="D3853" s="92" t="s">
        <v>2090</v>
      </c>
      <c r="E3853" s="3">
        <v>80</v>
      </c>
      <c r="F3853" s="3">
        <f>7</f>
        <v>7</v>
      </c>
      <c r="G3853" s="4">
        <v>44637</v>
      </c>
      <c r="I3853" s="1">
        <v>1500</v>
      </c>
      <c r="J3853" s="1">
        <v>1500</v>
      </c>
    </row>
    <row r="3854" spans="2:18">
      <c r="B3854" s="91" t="s">
        <v>5423</v>
      </c>
      <c r="C3854" s="92" t="s">
        <v>18</v>
      </c>
      <c r="D3854" s="92" t="s">
        <v>2090</v>
      </c>
      <c r="E3854" s="3">
        <v>80</v>
      </c>
      <c r="F3854" s="3">
        <f>7</f>
        <v>7</v>
      </c>
      <c r="G3854" s="4">
        <v>44637</v>
      </c>
      <c r="I3854" s="1">
        <v>1500</v>
      </c>
      <c r="J3854" s="1">
        <v>1500</v>
      </c>
    </row>
    <row r="3855" spans="2:18">
      <c r="B3855" s="91" t="s">
        <v>5424</v>
      </c>
      <c r="C3855" s="92" t="s">
        <v>18</v>
      </c>
      <c r="D3855" s="92" t="s">
        <v>2090</v>
      </c>
      <c r="E3855" s="3">
        <v>80</v>
      </c>
      <c r="F3855" s="3">
        <f>7</f>
        <v>7</v>
      </c>
      <c r="G3855" s="4">
        <v>44637</v>
      </c>
      <c r="I3855" s="1">
        <v>1500</v>
      </c>
      <c r="J3855" s="1">
        <v>1500</v>
      </c>
    </row>
    <row r="3856" spans="2:18">
      <c r="B3856" s="91" t="s">
        <v>5425</v>
      </c>
      <c r="C3856" s="92" t="s">
        <v>18</v>
      </c>
      <c r="D3856" s="92" t="s">
        <v>2090</v>
      </c>
      <c r="E3856" s="3">
        <v>80</v>
      </c>
      <c r="F3856" s="3">
        <f>7</f>
        <v>7</v>
      </c>
      <c r="G3856" s="4">
        <v>44637</v>
      </c>
      <c r="I3856" s="1">
        <v>1500</v>
      </c>
      <c r="J3856" s="1">
        <v>1500</v>
      </c>
    </row>
    <row r="3857" spans="2:7">
      <c r="B3857" s="1" t="s">
        <v>275</v>
      </c>
      <c r="C3857" s="2" t="s">
        <v>8</v>
      </c>
      <c r="D3857" s="2" t="s">
        <v>258</v>
      </c>
      <c r="E3857" s="3">
        <v>111</v>
      </c>
      <c r="F3857" s="3">
        <f>97/14</f>
        <v>6.9285714285714288</v>
      </c>
      <c r="G3857" s="4">
        <v>44622</v>
      </c>
    </row>
    <row r="3858" spans="2:7">
      <c r="B3858" s="1" t="s">
        <v>271</v>
      </c>
      <c r="C3858" s="2" t="s">
        <v>8</v>
      </c>
      <c r="D3858" s="2" t="s">
        <v>258</v>
      </c>
      <c r="E3858" s="3">
        <v>111</v>
      </c>
      <c r="F3858" s="3">
        <f>97/14</f>
        <v>6.9285714285714288</v>
      </c>
      <c r="G3858" s="4">
        <v>44622</v>
      </c>
    </row>
    <row r="3859" spans="2:7">
      <c r="B3859" s="1" t="s">
        <v>269</v>
      </c>
      <c r="C3859" s="2" t="s">
        <v>8</v>
      </c>
      <c r="D3859" s="2" t="s">
        <v>258</v>
      </c>
      <c r="E3859" s="3">
        <v>111</v>
      </c>
      <c r="F3859" s="3">
        <f>97/14</f>
        <v>6.9285714285714288</v>
      </c>
      <c r="G3859" s="4">
        <v>44622</v>
      </c>
    </row>
    <row r="3860" spans="2:7">
      <c r="B3860" s="1" t="s">
        <v>268</v>
      </c>
      <c r="C3860" s="2" t="s">
        <v>8</v>
      </c>
      <c r="D3860" s="2" t="s">
        <v>258</v>
      </c>
      <c r="E3860" s="3">
        <v>111</v>
      </c>
      <c r="F3860" s="3">
        <f>97/14</f>
        <v>6.9285714285714288</v>
      </c>
      <c r="G3860" s="4">
        <v>44622</v>
      </c>
    </row>
    <row r="3861" spans="2:7">
      <c r="B3861" s="1" t="s">
        <v>911</v>
      </c>
      <c r="C3861" s="2" t="s">
        <v>5</v>
      </c>
      <c r="D3861" s="2" t="s">
        <v>907</v>
      </c>
      <c r="E3861" s="3">
        <v>80</v>
      </c>
      <c r="F3861" s="3">
        <f t="shared" si="3"/>
        <v>6.666666666666667</v>
      </c>
      <c r="G3861" s="4">
        <v>44539</v>
      </c>
    </row>
    <row r="3862" spans="2:7">
      <c r="G3862" s="4"/>
    </row>
    <row r="3863" spans="2:7">
      <c r="G3863" s="4"/>
    </row>
    <row r="3864" spans="2:7">
      <c r="B3864" s="1" t="s">
        <v>909</v>
      </c>
      <c r="C3864" s="2" t="s">
        <v>5</v>
      </c>
      <c r="D3864" s="2" t="s">
        <v>907</v>
      </c>
      <c r="E3864" s="3">
        <v>80</v>
      </c>
      <c r="F3864" s="3">
        <f t="shared" si="3"/>
        <v>6.666666666666667</v>
      </c>
      <c r="G3864" s="4">
        <v>44539</v>
      </c>
    </row>
    <row r="3865" spans="2:7">
      <c r="B3865" s="1" t="s">
        <v>908</v>
      </c>
      <c r="C3865" s="2" t="s">
        <v>5</v>
      </c>
      <c r="D3865" s="2" t="s">
        <v>907</v>
      </c>
      <c r="E3865" s="3">
        <v>80</v>
      </c>
      <c r="F3865" s="3">
        <f t="shared" si="3"/>
        <v>6.666666666666667</v>
      </c>
      <c r="G3865" s="4">
        <v>44539</v>
      </c>
    </row>
    <row r="3866" spans="2:7">
      <c r="B3866" s="1" t="s">
        <v>906</v>
      </c>
      <c r="C3866" s="2" t="s">
        <v>5</v>
      </c>
      <c r="D3866" s="2" t="s">
        <v>901</v>
      </c>
      <c r="E3866" s="3">
        <v>70</v>
      </c>
      <c r="F3866" s="3">
        <f t="shared" si="3"/>
        <v>6.666666666666667</v>
      </c>
      <c r="G3866" s="4">
        <v>45035</v>
      </c>
    </row>
    <row r="3867" spans="2:7">
      <c r="B3867" s="1" t="s">
        <v>905</v>
      </c>
      <c r="C3867" s="2" t="s">
        <v>5</v>
      </c>
      <c r="D3867" s="2" t="s">
        <v>901</v>
      </c>
      <c r="E3867" s="3">
        <v>70</v>
      </c>
      <c r="F3867" s="3">
        <f t="shared" si="3"/>
        <v>6.666666666666667</v>
      </c>
      <c r="G3867" s="4">
        <v>45035</v>
      </c>
    </row>
    <row r="3868" spans="2:7">
      <c r="B3868" s="1" t="s">
        <v>904</v>
      </c>
      <c r="C3868" s="2" t="s">
        <v>5</v>
      </c>
      <c r="D3868" s="2" t="s">
        <v>901</v>
      </c>
      <c r="E3868" s="3">
        <v>70</v>
      </c>
      <c r="F3868" s="3">
        <f t="shared" si="3"/>
        <v>6.666666666666667</v>
      </c>
      <c r="G3868" s="4">
        <v>45035</v>
      </c>
    </row>
    <row r="3869" spans="2:7">
      <c r="B3869" s="1" t="s">
        <v>903</v>
      </c>
      <c r="C3869" s="2" t="s">
        <v>5</v>
      </c>
      <c r="D3869" s="2" t="s">
        <v>901</v>
      </c>
      <c r="E3869" s="3">
        <v>70</v>
      </c>
      <c r="F3869" s="3">
        <f t="shared" si="3"/>
        <v>6.666666666666667</v>
      </c>
      <c r="G3869" s="4">
        <v>45035</v>
      </c>
    </row>
    <row r="3870" spans="2:7">
      <c r="B3870" s="1" t="s">
        <v>902</v>
      </c>
      <c r="C3870" s="2" t="s">
        <v>5</v>
      </c>
      <c r="D3870" s="2" t="s">
        <v>901</v>
      </c>
      <c r="E3870" s="3">
        <v>70</v>
      </c>
      <c r="F3870" s="3">
        <f t="shared" si="3"/>
        <v>6.666666666666667</v>
      </c>
      <c r="G3870" s="4">
        <v>45035</v>
      </c>
    </row>
    <row r="3871" spans="2:7">
      <c r="B3871" s="1" t="s">
        <v>899</v>
      </c>
      <c r="C3871" s="2" t="s">
        <v>4</v>
      </c>
      <c r="D3871" s="2" t="s">
        <v>848</v>
      </c>
      <c r="E3871" s="3">
        <v>16</v>
      </c>
      <c r="F3871" s="3">
        <v>6</v>
      </c>
      <c r="G3871" s="4">
        <v>44298</v>
      </c>
    </row>
    <row r="3872" spans="2:7">
      <c r="B3872" s="1" t="s">
        <v>898</v>
      </c>
      <c r="C3872" s="2" t="s">
        <v>4</v>
      </c>
      <c r="D3872" s="2" t="s">
        <v>661</v>
      </c>
      <c r="E3872" s="3">
        <v>13</v>
      </c>
      <c r="F3872" s="3">
        <v>6</v>
      </c>
      <c r="G3872" s="4">
        <v>44896</v>
      </c>
    </row>
    <row r="3873" spans="2:18">
      <c r="B3873" s="1" t="s">
        <v>897</v>
      </c>
      <c r="C3873" s="2" t="s">
        <v>5</v>
      </c>
      <c r="D3873" s="2" t="s">
        <v>810</v>
      </c>
      <c r="E3873" s="3">
        <v>11</v>
      </c>
      <c r="F3873" s="3">
        <v>6</v>
      </c>
      <c r="G3873" s="4">
        <v>44044</v>
      </c>
    </row>
    <row r="3874" spans="2:18">
      <c r="B3874" s="1" t="s">
        <v>592</v>
      </c>
      <c r="C3874" s="2" t="s">
        <v>4</v>
      </c>
      <c r="D3874" s="2" t="s">
        <v>591</v>
      </c>
      <c r="E3874" s="3">
        <v>6</v>
      </c>
      <c r="F3874" s="3">
        <v>6</v>
      </c>
      <c r="G3874" s="4">
        <v>44852</v>
      </c>
      <c r="M3874" s="1"/>
      <c r="N3874" s="1"/>
      <c r="O3874" s="1"/>
      <c r="P3874" s="1"/>
      <c r="Q3874" s="1"/>
      <c r="R3874" s="1"/>
    </row>
    <row r="3875" spans="2:18">
      <c r="B3875" s="1" t="s">
        <v>478</v>
      </c>
      <c r="C3875" s="2" t="s">
        <v>7</v>
      </c>
      <c r="D3875" s="2" t="s">
        <v>475</v>
      </c>
      <c r="E3875" s="3">
        <v>90</v>
      </c>
      <c r="F3875" s="3">
        <v>6</v>
      </c>
      <c r="G3875" s="4">
        <v>44398</v>
      </c>
      <c r="M3875" s="1"/>
      <c r="N3875" s="1"/>
      <c r="O3875" s="1"/>
      <c r="P3875" s="1"/>
      <c r="Q3875" s="1"/>
      <c r="R3875" s="1"/>
    </row>
    <row r="3876" spans="2:18">
      <c r="B3876" s="1" t="s">
        <v>477</v>
      </c>
      <c r="C3876" s="2" t="s">
        <v>7</v>
      </c>
      <c r="D3876" s="2" t="s">
        <v>475</v>
      </c>
      <c r="E3876" s="3">
        <v>90</v>
      </c>
      <c r="F3876" s="3">
        <v>6</v>
      </c>
      <c r="G3876" s="4">
        <v>44398</v>
      </c>
      <c r="M3876" s="1"/>
      <c r="N3876" s="1"/>
      <c r="O3876" s="1"/>
      <c r="P3876" s="1"/>
      <c r="Q3876" s="1"/>
      <c r="R3876" s="1"/>
    </row>
    <row r="3877" spans="2:18">
      <c r="B3877" s="1" t="s">
        <v>358</v>
      </c>
      <c r="C3877" s="2" t="s">
        <v>5</v>
      </c>
      <c r="D3877" s="2" t="s">
        <v>355</v>
      </c>
      <c r="E3877" s="3">
        <v>16</v>
      </c>
      <c r="F3877" s="3">
        <v>6</v>
      </c>
      <c r="G3877" s="4">
        <v>44663</v>
      </c>
      <c r="M3877" s="1"/>
      <c r="N3877" s="1"/>
      <c r="O3877" s="1"/>
      <c r="P3877" s="1"/>
      <c r="Q3877" s="1"/>
      <c r="R3877" s="1"/>
    </row>
    <row r="3878" spans="2:18">
      <c r="B3878" s="1" t="s">
        <v>357</v>
      </c>
      <c r="C3878" s="2" t="s">
        <v>4</v>
      </c>
      <c r="D3878" s="2" t="s">
        <v>355</v>
      </c>
      <c r="E3878" s="3">
        <v>12</v>
      </c>
      <c r="F3878" s="3">
        <v>6</v>
      </c>
      <c r="G3878" s="4">
        <v>44271</v>
      </c>
      <c r="M3878" s="1"/>
      <c r="N3878" s="1"/>
      <c r="O3878" s="1"/>
      <c r="P3878" s="1"/>
      <c r="Q3878" s="1"/>
      <c r="R3878" s="1"/>
    </row>
    <row r="3879" spans="2:18">
      <c r="B3879" s="1" t="s">
        <v>295</v>
      </c>
      <c r="C3879" s="2" t="s">
        <v>18</v>
      </c>
      <c r="D3879" s="2" t="s">
        <v>292</v>
      </c>
      <c r="E3879" s="3">
        <v>38</v>
      </c>
      <c r="F3879" s="3">
        <v>6</v>
      </c>
      <c r="G3879" s="4">
        <v>43104</v>
      </c>
    </row>
    <row r="3880" spans="2:18">
      <c r="B3880" s="1" t="s">
        <v>199</v>
      </c>
      <c r="C3880" s="2" t="s">
        <v>7</v>
      </c>
      <c r="D3880" s="2" t="s">
        <v>197</v>
      </c>
      <c r="E3880" s="3">
        <v>46</v>
      </c>
      <c r="F3880" s="3">
        <f>30/5</f>
        <v>6</v>
      </c>
      <c r="G3880" s="4">
        <v>42941</v>
      </c>
    </row>
    <row r="3881" spans="2:18">
      <c r="B3881" s="91" t="s">
        <v>5411</v>
      </c>
      <c r="C3881" s="92" t="s">
        <v>18</v>
      </c>
      <c r="D3881" s="92" t="s">
        <v>5407</v>
      </c>
      <c r="E3881" s="3">
        <v>37</v>
      </c>
      <c r="F3881" s="3">
        <v>6</v>
      </c>
      <c r="G3881" s="4">
        <v>43831</v>
      </c>
      <c r="J3881" s="1">
        <v>2000</v>
      </c>
    </row>
    <row r="3882" spans="2:18">
      <c r="B3882" s="173" t="s">
        <v>6657</v>
      </c>
      <c r="C3882" s="174" t="s">
        <v>7</v>
      </c>
      <c r="D3882" s="174" t="s">
        <v>2030</v>
      </c>
      <c r="E3882" s="3">
        <v>16</v>
      </c>
      <c r="F3882" s="3">
        <v>6</v>
      </c>
      <c r="G3882" s="4">
        <v>44825</v>
      </c>
    </row>
    <row r="3883" spans="2:18">
      <c r="B3883" s="1" t="s">
        <v>316</v>
      </c>
      <c r="C3883" s="2" t="s">
        <v>5</v>
      </c>
      <c r="D3883" s="2" t="s">
        <v>313</v>
      </c>
      <c r="E3883" s="3">
        <v>57</v>
      </c>
      <c r="F3883" s="3">
        <v>5.625</v>
      </c>
      <c r="G3883" s="4">
        <v>44508</v>
      </c>
      <c r="M3883" s="1"/>
      <c r="N3883" s="1"/>
      <c r="O3883" s="1"/>
      <c r="P3883" s="1"/>
      <c r="Q3883" s="1"/>
      <c r="R3883" s="1"/>
    </row>
    <row r="3884" spans="2:18">
      <c r="B3884" s="1" t="s">
        <v>315</v>
      </c>
      <c r="C3884" s="2" t="s">
        <v>5</v>
      </c>
      <c r="D3884" s="2" t="s">
        <v>313</v>
      </c>
      <c r="E3884" s="3">
        <v>57</v>
      </c>
      <c r="F3884" s="3">
        <v>5.625</v>
      </c>
      <c r="G3884" s="4">
        <v>44508</v>
      </c>
      <c r="M3884" s="1"/>
      <c r="N3884" s="1"/>
      <c r="O3884" s="1"/>
      <c r="P3884" s="1"/>
      <c r="Q3884" s="1"/>
      <c r="R3884" s="1"/>
    </row>
    <row r="3885" spans="2:18">
      <c r="B3885" s="1" t="s">
        <v>314</v>
      </c>
      <c r="C3885" s="2" t="s">
        <v>5</v>
      </c>
      <c r="D3885" s="2" t="s">
        <v>313</v>
      </c>
      <c r="E3885" s="3">
        <v>57</v>
      </c>
      <c r="F3885" s="3">
        <v>5.625</v>
      </c>
      <c r="G3885" s="4">
        <v>44508</v>
      </c>
      <c r="M3885" s="1"/>
      <c r="N3885" s="1"/>
      <c r="O3885" s="1"/>
      <c r="P3885" s="1"/>
      <c r="Q3885" s="1"/>
      <c r="R3885" s="1"/>
    </row>
    <row r="3886" spans="2:18">
      <c r="B3886" s="1" t="s">
        <v>266</v>
      </c>
      <c r="C3886" s="2" t="s">
        <v>18</v>
      </c>
      <c r="D3886" s="2" t="s">
        <v>258</v>
      </c>
      <c r="E3886" s="3">
        <v>55</v>
      </c>
      <c r="F3886" s="3">
        <v>5.625</v>
      </c>
      <c r="G3886" s="4">
        <v>44314</v>
      </c>
    </row>
    <row r="3887" spans="2:18">
      <c r="B3887" s="1" t="s">
        <v>896</v>
      </c>
      <c r="C3887" s="2" t="s">
        <v>5</v>
      </c>
      <c r="D3887" s="2" t="s">
        <v>638</v>
      </c>
      <c r="E3887" s="3">
        <v>10.6</v>
      </c>
      <c r="F3887" s="3">
        <v>5.6</v>
      </c>
      <c r="G3887" s="4">
        <v>44819</v>
      </c>
    </row>
    <row r="3888" spans="2:18">
      <c r="B3888" s="1" t="s">
        <v>636</v>
      </c>
      <c r="C3888" s="2" t="s">
        <v>4</v>
      </c>
      <c r="D3888" s="2" t="s">
        <v>635</v>
      </c>
      <c r="E3888" s="3">
        <v>10.6</v>
      </c>
      <c r="F3888" s="3">
        <v>5.6</v>
      </c>
      <c r="G3888" s="4">
        <v>45007</v>
      </c>
      <c r="M3888" s="1"/>
      <c r="N3888" s="1"/>
      <c r="O3888" s="1"/>
      <c r="P3888" s="1"/>
      <c r="Q3888" s="1"/>
      <c r="R3888" s="1"/>
    </row>
    <row r="3889" spans="2:18">
      <c r="B3889" s="1" t="s">
        <v>895</v>
      </c>
      <c r="C3889" s="2" t="s">
        <v>7</v>
      </c>
      <c r="D3889" s="2" t="s">
        <v>894</v>
      </c>
      <c r="E3889" s="3">
        <v>40</v>
      </c>
      <c r="F3889" s="3">
        <v>5</v>
      </c>
      <c r="G3889" s="4">
        <v>44728</v>
      </c>
    </row>
    <row r="3890" spans="2:18">
      <c r="B3890" s="1" t="s">
        <v>893</v>
      </c>
      <c r="C3890" s="2" t="s">
        <v>7</v>
      </c>
      <c r="D3890" s="2" t="s">
        <v>891</v>
      </c>
      <c r="E3890" s="3">
        <v>40</v>
      </c>
      <c r="F3890" s="3">
        <v>5</v>
      </c>
      <c r="G3890" s="4">
        <v>44650</v>
      </c>
    </row>
    <row r="3891" spans="2:18">
      <c r="B3891" s="1" t="s">
        <v>890</v>
      </c>
      <c r="C3891" s="2" t="s">
        <v>5</v>
      </c>
      <c r="D3891" s="2" t="s">
        <v>819</v>
      </c>
      <c r="E3891" s="3">
        <v>20</v>
      </c>
      <c r="F3891" s="3">
        <v>5</v>
      </c>
      <c r="G3891" s="4">
        <v>44578</v>
      </c>
    </row>
    <row r="3892" spans="2:18">
      <c r="B3892" s="1" t="s">
        <v>889</v>
      </c>
      <c r="C3892" s="2" t="s">
        <v>5</v>
      </c>
      <c r="D3892" s="2" t="s">
        <v>888</v>
      </c>
      <c r="E3892" s="3">
        <v>20</v>
      </c>
      <c r="F3892" s="3">
        <v>5</v>
      </c>
      <c r="G3892" s="4">
        <v>45009</v>
      </c>
    </row>
    <row r="3893" spans="2:18">
      <c r="G3893" s="4"/>
    </row>
    <row r="3894" spans="2:18">
      <c r="B3894" s="1" t="s">
        <v>885</v>
      </c>
      <c r="C3894" s="2" t="s">
        <v>4</v>
      </c>
      <c r="D3894" s="2" t="s">
        <v>686</v>
      </c>
      <c r="E3894" s="3">
        <v>30</v>
      </c>
      <c r="F3894" s="3">
        <v>5</v>
      </c>
      <c r="G3894" s="4">
        <v>44601</v>
      </c>
    </row>
    <row r="3895" spans="2:18">
      <c r="B3895" s="1" t="s">
        <v>884</v>
      </c>
      <c r="C3895" s="2" t="s">
        <v>7</v>
      </c>
      <c r="D3895" s="2" t="s">
        <v>883</v>
      </c>
      <c r="E3895" s="3">
        <v>75</v>
      </c>
      <c r="F3895" s="3">
        <v>5</v>
      </c>
      <c r="G3895" s="4">
        <v>43783</v>
      </c>
    </row>
    <row r="3896" spans="2:18">
      <c r="B3896" s="1" t="s">
        <v>590</v>
      </c>
      <c r="C3896" s="2" t="s">
        <v>5</v>
      </c>
      <c r="D3896" s="2" t="s">
        <v>584</v>
      </c>
      <c r="E3896" s="3">
        <v>20</v>
      </c>
      <c r="F3896" s="3">
        <v>5</v>
      </c>
      <c r="G3896" s="4">
        <v>44801</v>
      </c>
      <c r="M3896" s="1"/>
      <c r="N3896" s="1"/>
      <c r="O3896" s="1"/>
      <c r="P3896" s="1"/>
      <c r="Q3896" s="1"/>
      <c r="R3896" s="1"/>
    </row>
    <row r="3897" spans="2:18">
      <c r="B3897" s="1" t="s">
        <v>560</v>
      </c>
      <c r="C3897" s="2" t="s">
        <v>5</v>
      </c>
      <c r="D3897" s="2" t="s">
        <v>559</v>
      </c>
      <c r="E3897" s="3">
        <v>20</v>
      </c>
      <c r="F3897" s="3">
        <v>5</v>
      </c>
      <c r="G3897" s="4">
        <v>44671</v>
      </c>
      <c r="M3897" s="1"/>
      <c r="N3897" s="1"/>
      <c r="O3897" s="1"/>
      <c r="P3897" s="1"/>
      <c r="Q3897" s="1"/>
      <c r="R3897" s="1"/>
    </row>
    <row r="3898" spans="2:18">
      <c r="B3898" s="1" t="s">
        <v>539</v>
      </c>
      <c r="C3898" s="2" t="s">
        <v>18</v>
      </c>
      <c r="D3898" s="2" t="s">
        <v>533</v>
      </c>
      <c r="E3898" s="3">
        <v>45</v>
      </c>
      <c r="F3898" s="3">
        <v>5</v>
      </c>
      <c r="G3898" s="4">
        <v>44159</v>
      </c>
      <c r="M3898" s="1"/>
      <c r="N3898" s="1"/>
      <c r="O3898" s="1"/>
      <c r="P3898" s="1"/>
      <c r="Q3898" s="1"/>
      <c r="R3898" s="1"/>
    </row>
    <row r="3899" spans="2:18">
      <c r="B3899" s="1" t="s">
        <v>538</v>
      </c>
      <c r="C3899" s="2" t="s">
        <v>18</v>
      </c>
      <c r="D3899" s="2" t="s">
        <v>533</v>
      </c>
      <c r="E3899" s="3">
        <v>45</v>
      </c>
      <c r="F3899" s="3">
        <v>5</v>
      </c>
      <c r="G3899" s="4">
        <v>44159</v>
      </c>
      <c r="M3899" s="1"/>
      <c r="N3899" s="1"/>
      <c r="O3899" s="1"/>
      <c r="P3899" s="1"/>
      <c r="Q3899" s="1"/>
      <c r="R3899" s="1"/>
    </row>
    <row r="3900" spans="2:18">
      <c r="B3900" s="1" t="s">
        <v>537</v>
      </c>
      <c r="C3900" s="2" t="s">
        <v>18</v>
      </c>
      <c r="D3900" s="2" t="s">
        <v>533</v>
      </c>
      <c r="E3900" s="3">
        <v>45</v>
      </c>
      <c r="F3900" s="3">
        <v>5</v>
      </c>
      <c r="G3900" s="4">
        <v>44159</v>
      </c>
      <c r="M3900" s="1"/>
      <c r="N3900" s="1"/>
      <c r="O3900" s="1"/>
      <c r="P3900" s="1"/>
      <c r="Q3900" s="1"/>
      <c r="R3900" s="1"/>
    </row>
    <row r="3901" spans="2:18">
      <c r="B3901" s="1" t="s">
        <v>536</v>
      </c>
      <c r="C3901" s="2" t="s">
        <v>18</v>
      </c>
      <c r="D3901" s="2" t="s">
        <v>533</v>
      </c>
      <c r="E3901" s="3">
        <v>45</v>
      </c>
      <c r="F3901" s="3">
        <v>5</v>
      </c>
      <c r="G3901" s="4">
        <v>44159</v>
      </c>
      <c r="M3901" s="1"/>
      <c r="N3901" s="1"/>
      <c r="O3901" s="1"/>
      <c r="P3901" s="1"/>
      <c r="Q3901" s="1"/>
      <c r="R3901" s="1"/>
    </row>
    <row r="3902" spans="2:18">
      <c r="B3902" s="1" t="s">
        <v>535</v>
      </c>
      <c r="C3902" s="2" t="s">
        <v>18</v>
      </c>
      <c r="D3902" s="2" t="s">
        <v>533</v>
      </c>
      <c r="E3902" s="3">
        <v>45</v>
      </c>
      <c r="F3902" s="3">
        <v>5</v>
      </c>
      <c r="G3902" s="4">
        <v>44159</v>
      </c>
      <c r="M3902" s="1"/>
      <c r="N3902" s="1"/>
      <c r="O3902" s="1"/>
      <c r="P3902" s="1"/>
      <c r="Q3902" s="1"/>
      <c r="R3902" s="1"/>
    </row>
    <row r="3903" spans="2:18">
      <c r="B3903" s="1" t="s">
        <v>534</v>
      </c>
      <c r="C3903" s="2" t="s">
        <v>18</v>
      </c>
      <c r="D3903" s="2" t="s">
        <v>533</v>
      </c>
      <c r="E3903" s="3">
        <v>45</v>
      </c>
      <c r="F3903" s="3">
        <v>5</v>
      </c>
      <c r="G3903" s="4">
        <v>44159</v>
      </c>
      <c r="M3903" s="1"/>
      <c r="N3903" s="1"/>
      <c r="O3903" s="1"/>
      <c r="P3903" s="1"/>
      <c r="Q3903" s="1"/>
      <c r="R3903" s="1"/>
    </row>
    <row r="3904" spans="2:18">
      <c r="B3904" s="1" t="s">
        <v>530</v>
      </c>
      <c r="C3904" s="2" t="s">
        <v>18</v>
      </c>
      <c r="D3904" s="2" t="s">
        <v>520</v>
      </c>
      <c r="E3904" s="3">
        <v>60</v>
      </c>
      <c r="F3904" s="3">
        <v>5</v>
      </c>
      <c r="G3904" s="4">
        <v>43606</v>
      </c>
      <c r="M3904" s="1"/>
      <c r="N3904" s="1"/>
      <c r="O3904" s="1"/>
      <c r="P3904" s="1"/>
      <c r="Q3904" s="1"/>
      <c r="R3904" s="1"/>
    </row>
    <row r="3905" spans="2:18">
      <c r="G3905" s="4"/>
      <c r="M3905" s="1"/>
      <c r="N3905" s="1"/>
      <c r="O3905" s="1"/>
      <c r="P3905" s="1"/>
      <c r="Q3905" s="1"/>
      <c r="R3905" s="1"/>
    </row>
    <row r="3906" spans="2:18">
      <c r="B3906" s="1" t="s">
        <v>529</v>
      </c>
      <c r="C3906" s="2" t="s">
        <v>18</v>
      </c>
      <c r="D3906" s="2" t="s">
        <v>520</v>
      </c>
      <c r="E3906" s="3">
        <v>60</v>
      </c>
      <c r="F3906" s="3">
        <v>5</v>
      </c>
      <c r="G3906" s="4">
        <v>43606</v>
      </c>
      <c r="M3906" s="1"/>
      <c r="N3906" s="1"/>
      <c r="O3906" s="1"/>
      <c r="P3906" s="1"/>
      <c r="Q3906" s="1"/>
      <c r="R3906" s="1"/>
    </row>
    <row r="3907" spans="2:18">
      <c r="C3907" s="398" t="s">
        <v>4</v>
      </c>
      <c r="D3907" s="398" t="s">
        <v>2001</v>
      </c>
      <c r="E3907" s="3">
        <v>1.5</v>
      </c>
      <c r="F3907" s="3">
        <v>0.25</v>
      </c>
      <c r="G3907" s="4">
        <v>43424</v>
      </c>
      <c r="M3907" s="1"/>
      <c r="N3907" s="1"/>
      <c r="O3907" s="1"/>
      <c r="P3907" s="1"/>
      <c r="Q3907" s="1"/>
      <c r="R3907" s="1"/>
    </row>
    <row r="3908" spans="2:18">
      <c r="G3908" s="4"/>
      <c r="M3908" s="1"/>
      <c r="N3908" s="1"/>
      <c r="O3908" s="1"/>
      <c r="P3908" s="1"/>
      <c r="Q3908" s="1"/>
      <c r="R3908" s="1"/>
    </row>
    <row r="3909" spans="2:18">
      <c r="G3909" s="4"/>
      <c r="M3909" s="1"/>
      <c r="N3909" s="1"/>
      <c r="O3909" s="1"/>
      <c r="P3909" s="1"/>
      <c r="Q3909" s="1"/>
      <c r="R3909" s="1"/>
    </row>
    <row r="3910" spans="2:18">
      <c r="B3910" s="1" t="s">
        <v>464</v>
      </c>
      <c r="C3910" s="2" t="s">
        <v>7</v>
      </c>
      <c r="D3910" s="2" t="s">
        <v>461</v>
      </c>
      <c r="E3910" s="3">
        <v>25.7</v>
      </c>
      <c r="F3910" s="3">
        <v>5</v>
      </c>
      <c r="G3910" s="4">
        <v>43837</v>
      </c>
      <c r="M3910" s="1"/>
      <c r="N3910" s="1"/>
      <c r="O3910" s="1"/>
      <c r="P3910" s="1"/>
      <c r="Q3910" s="1"/>
      <c r="R3910" s="1"/>
    </row>
    <row r="3911" spans="2:18">
      <c r="B3911" s="1" t="s">
        <v>462</v>
      </c>
      <c r="C3911" s="2" t="s">
        <v>7</v>
      </c>
      <c r="D3911" s="2" t="s">
        <v>461</v>
      </c>
      <c r="E3911" s="3">
        <v>25.7</v>
      </c>
      <c r="F3911" s="3">
        <v>5</v>
      </c>
      <c r="G3911" s="4">
        <v>43837</v>
      </c>
      <c r="M3911" s="1"/>
      <c r="N3911" s="1"/>
      <c r="O3911" s="1"/>
      <c r="P3911" s="1"/>
      <c r="Q3911" s="1"/>
      <c r="R3911" s="1"/>
    </row>
    <row r="3912" spans="2:18">
      <c r="B3912" s="1" t="s">
        <v>406</v>
      </c>
      <c r="C3912" s="2" t="s">
        <v>7</v>
      </c>
      <c r="D3912" s="2" t="s">
        <v>403</v>
      </c>
      <c r="E3912" s="3">
        <v>50</v>
      </c>
      <c r="F3912" s="3">
        <f>30/6</f>
        <v>5</v>
      </c>
      <c r="G3912" s="4">
        <v>44538</v>
      </c>
      <c r="M3912" s="1"/>
      <c r="N3912" s="1"/>
      <c r="O3912" s="1"/>
      <c r="P3912" s="1"/>
      <c r="Q3912" s="1"/>
      <c r="R3912" s="1"/>
    </row>
    <row r="3913" spans="2:18">
      <c r="B3913" s="1" t="s">
        <v>377</v>
      </c>
      <c r="C3913" s="2" t="s">
        <v>7</v>
      </c>
      <c r="D3913" s="2" t="s">
        <v>374</v>
      </c>
      <c r="E3913" s="3">
        <v>44</v>
      </c>
      <c r="F3913" s="3">
        <f>30/6</f>
        <v>5</v>
      </c>
      <c r="G3913" s="4">
        <v>43909</v>
      </c>
      <c r="M3913" s="1"/>
      <c r="N3913" s="1"/>
      <c r="O3913" s="1"/>
      <c r="P3913" s="1"/>
      <c r="Q3913" s="1"/>
      <c r="R3913" s="1"/>
    </row>
    <row r="3914" spans="2:18">
      <c r="B3914" s="1" t="s">
        <v>288</v>
      </c>
      <c r="C3914" s="2" t="s">
        <v>7</v>
      </c>
      <c r="D3914" s="2" t="s">
        <v>286</v>
      </c>
      <c r="E3914" s="3">
        <v>35</v>
      </c>
      <c r="F3914" s="3">
        <f>15/3</f>
        <v>5</v>
      </c>
      <c r="G3914" s="4">
        <v>44309</v>
      </c>
    </row>
    <row r="3915" spans="2:18">
      <c r="B3915" s="1" t="s">
        <v>282</v>
      </c>
      <c r="C3915" s="2" t="s">
        <v>5</v>
      </c>
      <c r="D3915" s="2" t="s">
        <v>281</v>
      </c>
      <c r="E3915" s="3">
        <v>32</v>
      </c>
      <c r="F3915" s="3">
        <v>5</v>
      </c>
      <c r="G3915" s="4">
        <v>44851</v>
      </c>
    </row>
    <row r="3916" spans="2:18">
      <c r="B3916" s="1" t="s">
        <v>132</v>
      </c>
      <c r="C3916" s="2" t="s">
        <v>7</v>
      </c>
      <c r="D3916" s="2" t="s">
        <v>131</v>
      </c>
      <c r="E3916" s="3">
        <v>32</v>
      </c>
      <c r="F3916" s="3">
        <v>5</v>
      </c>
      <c r="G3916" s="4">
        <v>42528</v>
      </c>
    </row>
    <row r="3917" spans="2:18">
      <c r="B3917" s="1" t="s">
        <v>65</v>
      </c>
      <c r="C3917" s="2" t="s">
        <v>5</v>
      </c>
      <c r="D3917" s="2" t="s">
        <v>64</v>
      </c>
      <c r="E3917" s="3">
        <v>50</v>
      </c>
      <c r="F3917" s="3">
        <f>20/4</f>
        <v>5</v>
      </c>
      <c r="G3917" s="4">
        <v>44165</v>
      </c>
    </row>
    <row r="3918" spans="2:18">
      <c r="B3918" s="1" t="s">
        <v>40</v>
      </c>
      <c r="C3918" s="2" t="s">
        <v>5</v>
      </c>
      <c r="D3918" s="2" t="s">
        <v>39</v>
      </c>
      <c r="E3918" s="3">
        <v>25</v>
      </c>
      <c r="F3918" s="3">
        <v>5</v>
      </c>
      <c r="G3918" s="4">
        <v>42374</v>
      </c>
      <c r="J3918" s="1">
        <v>2000</v>
      </c>
    </row>
    <row r="3919" spans="2:18">
      <c r="B3919" s="176" t="s">
        <v>6766</v>
      </c>
      <c r="C3919" s="177" t="s">
        <v>5</v>
      </c>
      <c r="D3919" s="177" t="s">
        <v>6767</v>
      </c>
      <c r="E3919" s="3">
        <v>11</v>
      </c>
      <c r="F3919" s="3">
        <v>5</v>
      </c>
      <c r="G3919" s="4">
        <v>43215</v>
      </c>
    </row>
    <row r="3920" spans="2:18">
      <c r="B3920" s="1" t="s">
        <v>390</v>
      </c>
      <c r="C3920" s="2" t="s">
        <v>7</v>
      </c>
      <c r="D3920" s="2" t="s">
        <v>386</v>
      </c>
      <c r="E3920" s="3">
        <v>9.4</v>
      </c>
      <c r="F3920" s="3">
        <f>E3920/2</f>
        <v>4.7</v>
      </c>
      <c r="G3920" s="4">
        <v>42968</v>
      </c>
      <c r="M3920" s="1"/>
      <c r="N3920" s="1"/>
      <c r="O3920" s="1"/>
      <c r="P3920" s="1"/>
      <c r="Q3920" s="1"/>
      <c r="R3920" s="1"/>
    </row>
    <row r="3921" spans="2:18">
      <c r="B3921" s="1" t="s">
        <v>389</v>
      </c>
      <c r="C3921" s="2" t="s">
        <v>7</v>
      </c>
      <c r="D3921" s="2" t="s">
        <v>386</v>
      </c>
      <c r="E3921" s="3">
        <v>9.4</v>
      </c>
      <c r="F3921" s="3">
        <f>E3921/2</f>
        <v>4.7</v>
      </c>
      <c r="G3921" s="4">
        <v>42968</v>
      </c>
      <c r="M3921" s="1"/>
      <c r="N3921" s="1"/>
      <c r="O3921" s="1"/>
      <c r="P3921" s="1"/>
      <c r="Q3921" s="1"/>
      <c r="R3921" s="1"/>
    </row>
    <row r="3922" spans="2:18">
      <c r="B3922" s="1" t="s">
        <v>882</v>
      </c>
      <c r="C3922" s="2" t="s">
        <v>5</v>
      </c>
      <c r="D3922" s="2" t="s">
        <v>843</v>
      </c>
      <c r="E3922" s="3">
        <v>44</v>
      </c>
      <c r="F3922" s="3">
        <f>14/3</f>
        <v>4.666666666666667</v>
      </c>
      <c r="G3922" s="4">
        <v>44671</v>
      </c>
    </row>
    <row r="3923" spans="2:18">
      <c r="B3923" s="1" t="s">
        <v>881</v>
      </c>
      <c r="C3923" s="2" t="s">
        <v>5</v>
      </c>
      <c r="D3923" s="2" t="s">
        <v>843</v>
      </c>
      <c r="E3923" s="3">
        <v>44</v>
      </c>
      <c r="F3923" s="3">
        <f>14/3</f>
        <v>4.666666666666667</v>
      </c>
      <c r="G3923" s="4">
        <v>44671</v>
      </c>
    </row>
    <row r="3924" spans="2:18">
      <c r="B3924" s="1" t="s">
        <v>880</v>
      </c>
      <c r="C3924" s="2" t="s">
        <v>5</v>
      </c>
      <c r="D3924" s="2" t="s">
        <v>843</v>
      </c>
      <c r="E3924" s="3">
        <v>44</v>
      </c>
      <c r="F3924" s="3">
        <f>14/3</f>
        <v>4.666666666666667</v>
      </c>
      <c r="G3924" s="4">
        <v>44671</v>
      </c>
    </row>
    <row r="3925" spans="2:18">
      <c r="B3925" s="1" t="s">
        <v>879</v>
      </c>
      <c r="C3925" s="2" t="s">
        <v>5</v>
      </c>
      <c r="D3925" s="2" t="s">
        <v>672</v>
      </c>
      <c r="E3925" s="3">
        <v>14.5</v>
      </c>
      <c r="F3925" s="3">
        <v>4.5</v>
      </c>
      <c r="G3925" s="4">
        <v>44389</v>
      </c>
    </row>
    <row r="3926" spans="2:18">
      <c r="B3926" s="1" t="s">
        <v>135</v>
      </c>
      <c r="C3926" s="2" t="s">
        <v>18</v>
      </c>
      <c r="D3926" s="2" t="s">
        <v>131</v>
      </c>
      <c r="E3926" s="3">
        <v>31.7</v>
      </c>
      <c r="F3926" s="3">
        <f>18/4</f>
        <v>4.5</v>
      </c>
      <c r="G3926" s="4">
        <v>43599</v>
      </c>
    </row>
    <row r="3927" spans="2:18">
      <c r="B3927" s="1" t="s">
        <v>134</v>
      </c>
      <c r="C3927" s="2" t="s">
        <v>18</v>
      </c>
      <c r="D3927" s="2" t="s">
        <v>131</v>
      </c>
      <c r="E3927" s="3">
        <v>31.7</v>
      </c>
      <c r="F3927" s="3">
        <f>18/4</f>
        <v>4.5</v>
      </c>
      <c r="G3927" s="4">
        <v>43599</v>
      </c>
    </row>
    <row r="3928" spans="2:18">
      <c r="B3928" s="176" t="s">
        <v>6668</v>
      </c>
      <c r="C3928" s="177" t="s">
        <v>5</v>
      </c>
      <c r="D3928" s="174" t="s">
        <v>2030</v>
      </c>
      <c r="E3928" s="3">
        <v>9.3000000000000007</v>
      </c>
      <c r="F3928" s="3">
        <v>4.3</v>
      </c>
      <c r="G3928" s="4">
        <v>44229</v>
      </c>
    </row>
    <row r="3929" spans="2:18">
      <c r="B3929" s="1" t="s">
        <v>878</v>
      </c>
      <c r="C3929" s="2" t="s">
        <v>7</v>
      </c>
      <c r="D3929" s="2" t="s">
        <v>877</v>
      </c>
      <c r="E3929" s="3">
        <v>35</v>
      </c>
      <c r="F3929" s="3">
        <f>25/6</f>
        <v>4.166666666666667</v>
      </c>
      <c r="G3929" s="4">
        <v>44293</v>
      </c>
    </row>
    <row r="3930" spans="2:18">
      <c r="G3930" s="4"/>
    </row>
    <row r="3931" spans="2:18">
      <c r="G3931" s="4"/>
    </row>
    <row r="3932" spans="2:18">
      <c r="B3932" s="1" t="s">
        <v>874</v>
      </c>
      <c r="C3932" s="2" t="s">
        <v>5</v>
      </c>
      <c r="D3932" s="2" t="s">
        <v>873</v>
      </c>
      <c r="E3932" s="3">
        <v>30</v>
      </c>
      <c r="F3932" s="3">
        <v>4</v>
      </c>
      <c r="G3932" s="4">
        <v>44522</v>
      </c>
    </row>
    <row r="3933" spans="2:18">
      <c r="B3933" s="1" t="s">
        <v>607</v>
      </c>
      <c r="C3933" s="2" t="s">
        <v>18</v>
      </c>
      <c r="D3933" s="2" t="s">
        <v>606</v>
      </c>
      <c r="E3933" s="3">
        <v>48</v>
      </c>
      <c r="F3933" s="3">
        <v>4</v>
      </c>
      <c r="G3933" s="4">
        <v>43888</v>
      </c>
      <c r="M3933" s="1"/>
      <c r="N3933" s="1"/>
      <c r="O3933" s="1"/>
      <c r="P3933" s="1"/>
      <c r="Q3933" s="1"/>
      <c r="R3933" s="1"/>
    </row>
    <row r="3934" spans="2:18">
      <c r="B3934" s="1" t="s">
        <v>602</v>
      </c>
      <c r="C3934" s="2" t="s">
        <v>5</v>
      </c>
      <c r="D3934" s="2" t="s">
        <v>599</v>
      </c>
      <c r="E3934" s="3">
        <v>26</v>
      </c>
      <c r="F3934" s="3">
        <v>4</v>
      </c>
      <c r="G3934" s="4">
        <v>43809</v>
      </c>
      <c r="M3934" s="1"/>
      <c r="N3934" s="1"/>
      <c r="O3934" s="1"/>
      <c r="P3934" s="1"/>
      <c r="Q3934" s="1"/>
      <c r="R3934" s="1"/>
    </row>
    <row r="3935" spans="2:18">
      <c r="B3935" s="1" t="s">
        <v>460</v>
      </c>
      <c r="C3935" s="2" t="s">
        <v>7</v>
      </c>
      <c r="D3935" s="2" t="s">
        <v>456</v>
      </c>
      <c r="E3935" s="3">
        <v>26.8</v>
      </c>
      <c r="F3935" s="3">
        <v>4</v>
      </c>
      <c r="G3935" s="4">
        <v>44600</v>
      </c>
      <c r="M3935" s="1"/>
      <c r="N3935" s="1"/>
      <c r="O3935" s="1"/>
      <c r="P3935" s="1"/>
      <c r="Q3935" s="1"/>
      <c r="R3935" s="1"/>
    </row>
    <row r="3936" spans="2:18">
      <c r="B3936" s="1" t="s">
        <v>409</v>
      </c>
      <c r="C3936" s="2" t="s">
        <v>4</v>
      </c>
      <c r="D3936" s="2" t="s">
        <v>408</v>
      </c>
      <c r="E3936" s="3">
        <v>4</v>
      </c>
      <c r="F3936" s="3">
        <v>4</v>
      </c>
      <c r="G3936" s="4">
        <v>43389</v>
      </c>
      <c r="M3936" s="1"/>
      <c r="N3936" s="1"/>
      <c r="O3936" s="1"/>
      <c r="P3936" s="1"/>
      <c r="Q3936" s="1"/>
      <c r="R3936" s="1"/>
    </row>
    <row r="3937" spans="2:18">
      <c r="B3937" s="1" t="s">
        <v>401</v>
      </c>
      <c r="C3937" s="2" t="s">
        <v>7</v>
      </c>
      <c r="D3937" s="2" t="s">
        <v>398</v>
      </c>
      <c r="E3937" s="3">
        <v>37</v>
      </c>
      <c r="F3937" s="3">
        <v>4</v>
      </c>
      <c r="G3937" s="4">
        <v>44860</v>
      </c>
      <c r="M3937" s="1"/>
      <c r="N3937" s="1"/>
      <c r="O3937" s="1"/>
      <c r="P3937" s="1"/>
      <c r="Q3937" s="1"/>
      <c r="R3937" s="1"/>
    </row>
    <row r="3938" spans="2:18">
      <c r="B3938" s="1" t="s">
        <v>291</v>
      </c>
      <c r="C3938" s="2" t="s">
        <v>5</v>
      </c>
      <c r="D3938" s="2" t="s">
        <v>289</v>
      </c>
      <c r="E3938" s="3">
        <v>30</v>
      </c>
      <c r="F3938" s="3">
        <f>20/5</f>
        <v>4</v>
      </c>
      <c r="G3938" s="4">
        <v>44474</v>
      </c>
    </row>
    <row r="3939" spans="2:18">
      <c r="B3939" s="152" t="s">
        <v>6361</v>
      </c>
      <c r="C3939" s="153" t="s">
        <v>7</v>
      </c>
      <c r="D3939" s="153" t="s">
        <v>2046</v>
      </c>
      <c r="E3939" s="3">
        <v>50</v>
      </c>
      <c r="F3939" s="3">
        <v>4</v>
      </c>
      <c r="G3939" s="4">
        <v>44252</v>
      </c>
    </row>
    <row r="3940" spans="2:18">
      <c r="B3940" s="91" t="s">
        <v>5428</v>
      </c>
      <c r="C3940" s="92" t="s">
        <v>5</v>
      </c>
      <c r="D3940" s="92" t="s">
        <v>2090</v>
      </c>
      <c r="E3940" s="3">
        <v>15</v>
      </c>
      <c r="F3940" s="3">
        <f>7.5/2</f>
        <v>3.75</v>
      </c>
      <c r="G3940" s="4">
        <v>43864</v>
      </c>
      <c r="J3940" s="1">
        <v>1500</v>
      </c>
    </row>
    <row r="3941" spans="2:18">
      <c r="B3941" s="1" t="s">
        <v>870</v>
      </c>
      <c r="C3941" s="2" t="s">
        <v>4</v>
      </c>
      <c r="D3941" s="2" t="s">
        <v>661</v>
      </c>
      <c r="E3941" s="3">
        <v>13</v>
      </c>
      <c r="F3941" s="3">
        <f>7/2</f>
        <v>3.5</v>
      </c>
      <c r="G3941" s="4">
        <v>44896</v>
      </c>
    </row>
    <row r="3942" spans="2:18">
      <c r="B3942" s="1" t="s">
        <v>869</v>
      </c>
      <c r="C3942" s="2" t="s">
        <v>4</v>
      </c>
      <c r="D3942" s="2" t="s">
        <v>771</v>
      </c>
      <c r="E3942" s="3">
        <v>10</v>
      </c>
      <c r="F3942" s="3">
        <v>3.5</v>
      </c>
      <c r="G3942" s="4">
        <v>44858</v>
      </c>
    </row>
    <row r="3943" spans="2:18">
      <c r="B3943" s="1" t="s">
        <v>868</v>
      </c>
      <c r="C3943" s="2" t="s">
        <v>4</v>
      </c>
      <c r="D3943" s="2" t="s">
        <v>771</v>
      </c>
      <c r="E3943" s="3">
        <v>10</v>
      </c>
      <c r="F3943" s="3">
        <v>3.5</v>
      </c>
      <c r="G3943" s="4">
        <v>44858</v>
      </c>
    </row>
    <row r="3944" spans="2:18">
      <c r="B3944" s="1" t="s">
        <v>681</v>
      </c>
      <c r="C3944" s="2" t="s">
        <v>4</v>
      </c>
      <c r="D3944" s="2" t="s">
        <v>680</v>
      </c>
      <c r="E3944" s="3">
        <v>5.3</v>
      </c>
      <c r="F3944" s="3">
        <v>3.3</v>
      </c>
      <c r="G3944" s="4">
        <v>45069</v>
      </c>
    </row>
    <row r="3945" spans="2:18">
      <c r="B3945" s="1" t="s">
        <v>476</v>
      </c>
      <c r="C3945" s="2" t="s">
        <v>5</v>
      </c>
      <c r="D3945" s="2" t="s">
        <v>475</v>
      </c>
      <c r="E3945" s="3">
        <v>22.8</v>
      </c>
      <c r="F3945" s="3">
        <v>3.3</v>
      </c>
      <c r="G3945" s="4">
        <v>43160</v>
      </c>
      <c r="H3945" s="8"/>
      <c r="M3945" s="1"/>
      <c r="N3945" s="1"/>
      <c r="O3945" s="1"/>
      <c r="P3945" s="1"/>
      <c r="Q3945" s="1"/>
      <c r="R3945" s="1"/>
    </row>
    <row r="3946" spans="2:18">
      <c r="B3946" s="1" t="s">
        <v>178</v>
      </c>
      <c r="C3946" s="2" t="s">
        <v>7</v>
      </c>
      <c r="D3946" s="2" t="s">
        <v>176</v>
      </c>
      <c r="E3946" s="3">
        <v>16.5</v>
      </c>
      <c r="F3946" s="3">
        <f>E3946/5</f>
        <v>3.3</v>
      </c>
      <c r="G3946" s="4">
        <v>41176</v>
      </c>
    </row>
    <row r="3947" spans="2:18">
      <c r="B3947" s="1" t="s">
        <v>177</v>
      </c>
      <c r="C3947" s="2" t="s">
        <v>7</v>
      </c>
      <c r="D3947" s="2" t="s">
        <v>176</v>
      </c>
      <c r="E3947" s="3">
        <v>16.5</v>
      </c>
      <c r="F3947" s="3">
        <f>E3947/5</f>
        <v>3.3</v>
      </c>
      <c r="G3947" s="4">
        <v>41176</v>
      </c>
    </row>
    <row r="3948" spans="2:18">
      <c r="B3948" s="1" t="s">
        <v>96</v>
      </c>
      <c r="C3948" s="2" t="s">
        <v>7</v>
      </c>
      <c r="D3948" s="2" t="s">
        <v>95</v>
      </c>
      <c r="E3948" s="3">
        <v>15</v>
      </c>
      <c r="F3948" s="3">
        <v>3.2</v>
      </c>
      <c r="G3948" s="4">
        <v>43559</v>
      </c>
    </row>
    <row r="3949" spans="2:18">
      <c r="B3949" s="1" t="s">
        <v>867</v>
      </c>
      <c r="C3949" s="2" t="s">
        <v>5</v>
      </c>
      <c r="D3949" s="2" t="s">
        <v>864</v>
      </c>
      <c r="E3949" s="3">
        <v>10</v>
      </c>
      <c r="F3949" s="3">
        <v>3</v>
      </c>
      <c r="G3949" s="4">
        <v>44378</v>
      </c>
    </row>
    <row r="3950" spans="2:18">
      <c r="B3950" s="1" t="s">
        <v>865</v>
      </c>
      <c r="C3950" s="2" t="s">
        <v>5</v>
      </c>
      <c r="D3950" s="2" t="s">
        <v>864</v>
      </c>
      <c r="E3950" s="3">
        <v>10</v>
      </c>
      <c r="F3950" s="3">
        <v>3</v>
      </c>
      <c r="G3950" s="4">
        <v>44378</v>
      </c>
    </row>
    <row r="3951" spans="2:18">
      <c r="B3951" s="1" t="s">
        <v>863</v>
      </c>
      <c r="C3951" s="2" t="s">
        <v>7</v>
      </c>
      <c r="D3951" s="2" t="s">
        <v>735</v>
      </c>
      <c r="E3951" s="3">
        <v>25</v>
      </c>
      <c r="F3951" s="3">
        <f>15/5</f>
        <v>3</v>
      </c>
      <c r="G3951" s="4">
        <v>44755</v>
      </c>
    </row>
    <row r="3952" spans="2:18">
      <c r="B3952" s="1" t="s">
        <v>862</v>
      </c>
      <c r="C3952" s="2" t="s">
        <v>5</v>
      </c>
      <c r="D3952" s="2" t="s">
        <v>783</v>
      </c>
      <c r="E3952" s="3">
        <v>10.9</v>
      </c>
      <c r="F3952" s="3">
        <v>3</v>
      </c>
      <c r="G3952" s="4">
        <v>45070</v>
      </c>
    </row>
    <row r="3953" spans="2:18">
      <c r="B3953" s="1" t="s">
        <v>861</v>
      </c>
      <c r="C3953" s="2" t="s">
        <v>7</v>
      </c>
      <c r="D3953" s="2" t="s">
        <v>860</v>
      </c>
      <c r="E3953" s="3">
        <v>25</v>
      </c>
      <c r="F3953" s="3">
        <v>3</v>
      </c>
      <c r="G3953" s="4">
        <v>44636</v>
      </c>
    </row>
    <row r="3954" spans="2:18">
      <c r="B3954" s="1" t="s">
        <v>859</v>
      </c>
      <c r="C3954" s="2" t="s">
        <v>5</v>
      </c>
      <c r="D3954" s="2" t="s">
        <v>642</v>
      </c>
      <c r="E3954" s="3">
        <v>12</v>
      </c>
      <c r="F3954" s="3">
        <v>3</v>
      </c>
      <c r="G3954" s="4">
        <v>44860</v>
      </c>
    </row>
    <row r="3955" spans="2:18">
      <c r="B3955" s="1" t="s">
        <v>857</v>
      </c>
      <c r="C3955" s="2" t="s">
        <v>7</v>
      </c>
      <c r="D3955" s="2" t="s">
        <v>525</v>
      </c>
      <c r="E3955" s="3">
        <v>32</v>
      </c>
      <c r="F3955" s="3">
        <v>3</v>
      </c>
      <c r="G3955" s="4">
        <v>44364</v>
      </c>
    </row>
    <row r="3956" spans="2:18">
      <c r="G3956" s="4"/>
    </row>
    <row r="3957" spans="2:18">
      <c r="B3957" s="1" t="s">
        <v>519</v>
      </c>
      <c r="C3957" s="2" t="s">
        <v>5</v>
      </c>
      <c r="D3957" s="2" t="s">
        <v>516</v>
      </c>
      <c r="E3957" s="3">
        <v>14.5</v>
      </c>
      <c r="F3957" s="3">
        <v>3</v>
      </c>
      <c r="G3957" s="4">
        <v>43389</v>
      </c>
      <c r="M3957" s="1"/>
      <c r="N3957" s="1"/>
      <c r="O3957" s="1"/>
      <c r="P3957" s="1"/>
      <c r="Q3957" s="1"/>
      <c r="R3957" s="1"/>
    </row>
    <row r="3958" spans="2:18">
      <c r="B3958" s="1" t="s">
        <v>433</v>
      </c>
      <c r="C3958" s="2" t="s">
        <v>5</v>
      </c>
      <c r="D3958" s="2" t="s">
        <v>431</v>
      </c>
      <c r="E3958" s="3">
        <v>15</v>
      </c>
      <c r="F3958" s="3">
        <v>3</v>
      </c>
      <c r="G3958" s="4">
        <v>42690</v>
      </c>
      <c r="M3958" s="1"/>
      <c r="N3958" s="1"/>
      <c r="O3958" s="1"/>
      <c r="P3958" s="1"/>
      <c r="Q3958" s="1"/>
      <c r="R3958" s="1"/>
    </row>
    <row r="3959" spans="2:18">
      <c r="B3959" s="1" t="s">
        <v>356</v>
      </c>
      <c r="C3959" s="2" t="s">
        <v>4</v>
      </c>
      <c r="D3959" s="2" t="s">
        <v>355</v>
      </c>
      <c r="E3959" s="3">
        <v>12</v>
      </c>
      <c r="F3959" s="3">
        <v>3</v>
      </c>
      <c r="G3959" s="4">
        <v>44271</v>
      </c>
      <c r="M3959" s="1"/>
      <c r="N3959" s="1"/>
      <c r="O3959" s="1"/>
      <c r="P3959" s="1"/>
      <c r="Q3959" s="1"/>
      <c r="R3959" s="1"/>
    </row>
    <row r="3960" spans="2:18">
      <c r="B3960" s="1" t="s">
        <v>331</v>
      </c>
      <c r="C3960" s="2" t="s">
        <v>4</v>
      </c>
      <c r="D3960" s="2" t="s">
        <v>329</v>
      </c>
      <c r="E3960" s="3">
        <v>5</v>
      </c>
      <c r="F3960" s="3">
        <v>3</v>
      </c>
      <c r="G3960" s="4">
        <v>43224</v>
      </c>
      <c r="L3960" s="1">
        <v>0</v>
      </c>
      <c r="M3960" s="1"/>
      <c r="N3960" s="1"/>
      <c r="O3960" s="1"/>
      <c r="P3960" s="1"/>
      <c r="Q3960" s="1"/>
      <c r="R3960" s="1"/>
    </row>
    <row r="3961" spans="2:18">
      <c r="G3961" s="4"/>
      <c r="M3961" s="1"/>
      <c r="N3961" s="1"/>
      <c r="O3961" s="1"/>
      <c r="P3961" s="1"/>
      <c r="Q3961" s="1"/>
      <c r="R3961" s="1"/>
    </row>
    <row r="3962" spans="2:18">
      <c r="B3962" s="1" t="s">
        <v>100</v>
      </c>
      <c r="C3962" s="2" t="s">
        <v>7</v>
      </c>
      <c r="D3962" s="2" t="s">
        <v>95</v>
      </c>
      <c r="E3962" s="3">
        <v>25</v>
      </c>
      <c r="F3962" s="3">
        <f>15/5</f>
        <v>3</v>
      </c>
      <c r="G3962" s="4">
        <v>43783</v>
      </c>
    </row>
    <row r="3963" spans="2:18">
      <c r="B3963" s="1" t="s">
        <v>99</v>
      </c>
      <c r="C3963" s="2" t="s">
        <v>7</v>
      </c>
      <c r="D3963" s="2" t="s">
        <v>95</v>
      </c>
      <c r="E3963" s="3">
        <v>25</v>
      </c>
      <c r="F3963" s="3">
        <f>15/5</f>
        <v>3</v>
      </c>
      <c r="G3963" s="4">
        <v>43783</v>
      </c>
    </row>
    <row r="3964" spans="2:18">
      <c r="B3964" s="1" t="s">
        <v>4373</v>
      </c>
      <c r="C3964" s="2" t="s">
        <v>5</v>
      </c>
      <c r="D3964" s="2" t="s">
        <v>2025</v>
      </c>
      <c r="E3964" s="3">
        <v>18</v>
      </c>
      <c r="F3964" s="3">
        <v>3</v>
      </c>
      <c r="G3964" s="4">
        <v>44866</v>
      </c>
    </row>
    <row r="3965" spans="2:18">
      <c r="B3965" s="134" t="s">
        <v>6294</v>
      </c>
      <c r="C3965" s="140" t="s">
        <v>5</v>
      </c>
      <c r="D3965" s="140" t="s">
        <v>6293</v>
      </c>
      <c r="E3965" s="3">
        <v>25</v>
      </c>
      <c r="F3965" s="3">
        <v>3</v>
      </c>
      <c r="G3965" s="4">
        <v>44594</v>
      </c>
    </row>
    <row r="3966" spans="2:18">
      <c r="B3966" s="134" t="s">
        <v>6296</v>
      </c>
      <c r="C3966" s="140" t="s">
        <v>5</v>
      </c>
      <c r="D3966" s="140" t="s">
        <v>6293</v>
      </c>
      <c r="E3966" s="3">
        <v>25</v>
      </c>
      <c r="F3966" s="3">
        <v>3</v>
      </c>
      <c r="G3966" s="4">
        <v>44594</v>
      </c>
    </row>
    <row r="3967" spans="2:18">
      <c r="B3967" s="152" t="s">
        <v>6547</v>
      </c>
      <c r="C3967" s="153" t="s">
        <v>5</v>
      </c>
      <c r="D3967" s="153" t="s">
        <v>2035</v>
      </c>
      <c r="E3967" s="3">
        <v>9.1</v>
      </c>
      <c r="F3967" s="3">
        <v>3</v>
      </c>
      <c r="G3967" s="4">
        <v>42087</v>
      </c>
    </row>
    <row r="3968" spans="2:18">
      <c r="B3968" s="1" t="s">
        <v>106</v>
      </c>
      <c r="C3968" s="2" t="s">
        <v>8</v>
      </c>
      <c r="D3968" s="2" t="s">
        <v>102</v>
      </c>
      <c r="E3968" s="3">
        <v>30</v>
      </c>
      <c r="F3968" s="3">
        <f>20/7</f>
        <v>2.8571428571428572</v>
      </c>
      <c r="G3968" s="4">
        <v>43178</v>
      </c>
    </row>
    <row r="3969" spans="2:18">
      <c r="B3969" s="1" t="s">
        <v>105</v>
      </c>
      <c r="C3969" s="2" t="s">
        <v>8</v>
      </c>
      <c r="D3969" s="2" t="s">
        <v>102</v>
      </c>
      <c r="E3969" s="3">
        <v>30</v>
      </c>
      <c r="F3969" s="3">
        <f>20/7</f>
        <v>2.8571428571428572</v>
      </c>
      <c r="G3969" s="4">
        <v>43178</v>
      </c>
    </row>
    <row r="3970" spans="2:18">
      <c r="B3970" s="1" t="s">
        <v>120</v>
      </c>
      <c r="C3970" s="2" t="s">
        <v>5</v>
      </c>
      <c r="D3970" s="2" t="s">
        <v>110</v>
      </c>
      <c r="E3970" s="3">
        <v>25</v>
      </c>
      <c r="F3970" s="3">
        <f>17/6</f>
        <v>2.8333333333333335</v>
      </c>
      <c r="G3970" s="4">
        <v>44510</v>
      </c>
    </row>
    <row r="3971" spans="2:18">
      <c r="B3971" s="1" t="s">
        <v>119</v>
      </c>
      <c r="C3971" s="2" t="s">
        <v>5</v>
      </c>
      <c r="D3971" s="2" t="s">
        <v>110</v>
      </c>
      <c r="E3971" s="3">
        <v>25</v>
      </c>
      <c r="F3971" s="3">
        <f>17/6</f>
        <v>2.8333333333333335</v>
      </c>
      <c r="G3971" s="4">
        <v>44510</v>
      </c>
    </row>
    <row r="3972" spans="2:18">
      <c r="B3972" s="1" t="s">
        <v>855</v>
      </c>
      <c r="C3972" s="2" t="s">
        <v>5</v>
      </c>
      <c r="D3972" s="2" t="s">
        <v>735</v>
      </c>
      <c r="E3972" s="3">
        <v>21</v>
      </c>
      <c r="F3972" s="3">
        <f>14/5</f>
        <v>2.8</v>
      </c>
      <c r="G3972" s="4">
        <v>44489</v>
      </c>
    </row>
    <row r="3973" spans="2:18">
      <c r="B3973" s="1" t="s">
        <v>361</v>
      </c>
      <c r="C3973" s="2" t="s">
        <v>5</v>
      </c>
      <c r="D3973" s="2" t="s">
        <v>360</v>
      </c>
      <c r="E3973" s="3">
        <v>10.7</v>
      </c>
      <c r="F3973" s="3">
        <f>+E3973-8</f>
        <v>2.6999999999999993</v>
      </c>
      <c r="G3973" s="4">
        <v>43250</v>
      </c>
      <c r="M3973" s="1"/>
      <c r="N3973" s="1"/>
      <c r="O3973" s="1"/>
      <c r="P3973" s="1"/>
      <c r="Q3973" s="1"/>
      <c r="R3973" s="1"/>
    </row>
    <row r="3974" spans="2:18">
      <c r="B3974" s="1" t="s">
        <v>422</v>
      </c>
      <c r="C3974" s="2" t="s">
        <v>18</v>
      </c>
      <c r="D3974" s="2" t="s">
        <v>416</v>
      </c>
      <c r="E3974" s="3">
        <v>23</v>
      </c>
      <c r="F3974" s="3">
        <f>16/6</f>
        <v>2.6666666666666665</v>
      </c>
      <c r="G3974" s="4">
        <v>44328</v>
      </c>
      <c r="M3974" s="1"/>
      <c r="N3974" s="1"/>
      <c r="O3974" s="1"/>
      <c r="P3974" s="1"/>
      <c r="Q3974" s="1"/>
      <c r="R3974" s="1"/>
    </row>
    <row r="3975" spans="2:18">
      <c r="B3975" s="1" t="s">
        <v>421</v>
      </c>
      <c r="C3975" s="2" t="s">
        <v>18</v>
      </c>
      <c r="D3975" s="2" t="s">
        <v>416</v>
      </c>
      <c r="E3975" s="3">
        <v>23</v>
      </c>
      <c r="F3975" s="3">
        <f>16/6</f>
        <v>2.6666666666666665</v>
      </c>
      <c r="G3975" s="4">
        <v>44328</v>
      </c>
      <c r="M3975" s="1"/>
      <c r="N3975" s="1"/>
      <c r="O3975" s="1"/>
      <c r="P3975" s="1"/>
      <c r="Q3975" s="1"/>
      <c r="R3975" s="1"/>
    </row>
    <row r="3976" spans="2:18">
      <c r="B3976" s="1" t="s">
        <v>420</v>
      </c>
      <c r="C3976" s="2" t="s">
        <v>18</v>
      </c>
      <c r="D3976" s="2" t="s">
        <v>416</v>
      </c>
      <c r="E3976" s="3">
        <v>23</v>
      </c>
      <c r="F3976" s="3">
        <f>16/6</f>
        <v>2.6666666666666665</v>
      </c>
      <c r="G3976" s="4">
        <v>44328</v>
      </c>
      <c r="M3976" s="1"/>
      <c r="N3976" s="1"/>
      <c r="O3976" s="1"/>
      <c r="P3976" s="1"/>
      <c r="Q3976" s="1"/>
      <c r="R3976" s="1"/>
    </row>
    <row r="3977" spans="2:18">
      <c r="B3977" s="1" t="s">
        <v>419</v>
      </c>
      <c r="C3977" s="2" t="s">
        <v>18</v>
      </c>
      <c r="D3977" s="2" t="s">
        <v>416</v>
      </c>
      <c r="E3977" s="3">
        <v>23</v>
      </c>
      <c r="F3977" s="3">
        <f>16/6</f>
        <v>2.6666666666666665</v>
      </c>
      <c r="G3977" s="4">
        <v>44328</v>
      </c>
      <c r="M3977" s="1"/>
      <c r="N3977" s="1"/>
      <c r="O3977" s="1"/>
      <c r="P3977" s="1"/>
      <c r="Q3977" s="1"/>
      <c r="R3977" s="1"/>
    </row>
    <row r="3978" spans="2:18">
      <c r="B3978" s="1" t="s">
        <v>418</v>
      </c>
      <c r="C3978" s="2" t="s">
        <v>18</v>
      </c>
      <c r="D3978" s="2" t="s">
        <v>416</v>
      </c>
      <c r="E3978" s="3">
        <v>23</v>
      </c>
      <c r="F3978" s="3">
        <f>16/6</f>
        <v>2.6666666666666665</v>
      </c>
      <c r="G3978" s="4">
        <v>44328</v>
      </c>
      <c r="M3978" s="1"/>
      <c r="N3978" s="1"/>
      <c r="O3978" s="1"/>
      <c r="P3978" s="1"/>
      <c r="Q3978" s="1"/>
      <c r="R3978" s="1"/>
    </row>
    <row r="3979" spans="2:18">
      <c r="B3979" s="91" t="s">
        <v>5412</v>
      </c>
      <c r="C3979" s="92" t="s">
        <v>7</v>
      </c>
      <c r="D3979" s="92" t="s">
        <v>5407</v>
      </c>
      <c r="E3979" s="3">
        <v>13.5</v>
      </c>
      <c r="F3979" s="3">
        <f>8/3</f>
        <v>2.6666666666666665</v>
      </c>
      <c r="G3979" s="4">
        <v>43320</v>
      </c>
      <c r="J3979" s="1">
        <v>2000</v>
      </c>
    </row>
    <row r="3980" spans="2:18">
      <c r="B3980" s="1" t="s">
        <v>853</v>
      </c>
      <c r="C3980" s="2" t="s">
        <v>5</v>
      </c>
      <c r="D3980" s="2" t="s">
        <v>730</v>
      </c>
      <c r="E3980" s="3">
        <v>25</v>
      </c>
      <c r="F3980" s="3">
        <f>18/7</f>
        <v>2.5714285714285716</v>
      </c>
      <c r="G3980" s="4">
        <v>44757</v>
      </c>
    </row>
    <row r="3981" spans="2:18">
      <c r="B3981" s="1" t="s">
        <v>852</v>
      </c>
      <c r="C3981" s="2" t="s">
        <v>4</v>
      </c>
      <c r="D3981" s="2" t="s">
        <v>848</v>
      </c>
      <c r="E3981" s="3">
        <v>16</v>
      </c>
      <c r="F3981" s="3">
        <f>10/4</f>
        <v>2.5</v>
      </c>
      <c r="G3981" s="4">
        <v>44298</v>
      </c>
    </row>
    <row r="3982" spans="2:18">
      <c r="B3982" s="1" t="s">
        <v>851</v>
      </c>
      <c r="C3982" s="2" t="s">
        <v>4</v>
      </c>
      <c r="D3982" s="2" t="s">
        <v>848</v>
      </c>
      <c r="E3982" s="3">
        <v>16</v>
      </c>
      <c r="F3982" s="3">
        <f>10/4</f>
        <v>2.5</v>
      </c>
      <c r="G3982" s="4">
        <v>44298</v>
      </c>
    </row>
    <row r="3983" spans="2:18">
      <c r="B3983" s="1" t="s">
        <v>850</v>
      </c>
      <c r="C3983" s="2" t="s">
        <v>4</v>
      </c>
      <c r="D3983" s="2" t="s">
        <v>848</v>
      </c>
      <c r="E3983" s="3">
        <v>16</v>
      </c>
      <c r="F3983" s="3">
        <f>10/4</f>
        <v>2.5</v>
      </c>
      <c r="G3983" s="4">
        <v>44298</v>
      </c>
    </row>
    <row r="3984" spans="2:18">
      <c r="B3984" s="1" t="s">
        <v>849</v>
      </c>
      <c r="C3984" s="2" t="s">
        <v>4</v>
      </c>
      <c r="D3984" s="2" t="s">
        <v>848</v>
      </c>
      <c r="E3984" s="3">
        <v>16</v>
      </c>
      <c r="F3984" s="3">
        <f>10/4</f>
        <v>2.5</v>
      </c>
      <c r="G3984" s="4">
        <v>44298</v>
      </c>
    </row>
    <row r="3985" spans="2:18">
      <c r="B3985" s="1" t="s">
        <v>847</v>
      </c>
      <c r="C3985" s="2" t="s">
        <v>5</v>
      </c>
      <c r="D3985" s="2" t="s">
        <v>701</v>
      </c>
      <c r="E3985" s="3">
        <v>50</v>
      </c>
      <c r="F3985" s="3">
        <f>30/12</f>
        <v>2.5</v>
      </c>
      <c r="G3985" s="4">
        <v>44796</v>
      </c>
    </row>
    <row r="3986" spans="2:18">
      <c r="B3986" s="1" t="s">
        <v>846</v>
      </c>
      <c r="C3986" s="2" t="s">
        <v>5</v>
      </c>
      <c r="D3986" s="2" t="s">
        <v>701</v>
      </c>
      <c r="E3986" s="3">
        <v>50</v>
      </c>
      <c r="F3986" s="3">
        <f>30/12</f>
        <v>2.5</v>
      </c>
      <c r="G3986" s="4">
        <v>44796</v>
      </c>
    </row>
    <row r="3987" spans="2:18">
      <c r="B3987" s="1" t="s">
        <v>845</v>
      </c>
      <c r="C3987" s="2" t="s">
        <v>5</v>
      </c>
      <c r="D3987" s="2" t="s">
        <v>695</v>
      </c>
      <c r="E3987" s="3">
        <v>20</v>
      </c>
      <c r="F3987" s="3">
        <v>2.5</v>
      </c>
      <c r="G3987" s="4">
        <v>44392</v>
      </c>
    </row>
    <row r="3988" spans="2:18">
      <c r="B3988" s="1" t="s">
        <v>589</v>
      </c>
      <c r="C3988" s="2" t="s">
        <v>5</v>
      </c>
      <c r="D3988" s="2" t="s">
        <v>584</v>
      </c>
      <c r="E3988" s="3">
        <v>20</v>
      </c>
      <c r="F3988" s="3">
        <f t="shared" ref="F3988:F3993" si="8">15/6</f>
        <v>2.5</v>
      </c>
      <c r="G3988" s="4">
        <v>44801</v>
      </c>
      <c r="M3988" s="1"/>
      <c r="N3988" s="1"/>
      <c r="O3988" s="1"/>
      <c r="P3988" s="1"/>
      <c r="Q3988" s="1"/>
      <c r="R3988" s="1"/>
    </row>
    <row r="3989" spans="2:18">
      <c r="B3989" s="1" t="s">
        <v>588</v>
      </c>
      <c r="C3989" s="2" t="s">
        <v>5</v>
      </c>
      <c r="D3989" s="2" t="s">
        <v>584</v>
      </c>
      <c r="E3989" s="3">
        <v>20</v>
      </c>
      <c r="F3989" s="3">
        <f t="shared" si="8"/>
        <v>2.5</v>
      </c>
      <c r="G3989" s="4">
        <v>44801</v>
      </c>
      <c r="M3989" s="1"/>
      <c r="N3989" s="1"/>
      <c r="O3989" s="1"/>
      <c r="P3989" s="1"/>
      <c r="Q3989" s="1"/>
      <c r="R3989" s="1"/>
    </row>
    <row r="3990" spans="2:18">
      <c r="B3990" s="1" t="s">
        <v>587</v>
      </c>
      <c r="C3990" s="2" t="s">
        <v>5</v>
      </c>
      <c r="D3990" s="2" t="s">
        <v>584</v>
      </c>
      <c r="E3990" s="3">
        <v>20</v>
      </c>
      <c r="F3990" s="3">
        <f t="shared" si="8"/>
        <v>2.5</v>
      </c>
      <c r="G3990" s="4">
        <v>44801</v>
      </c>
      <c r="M3990" s="1"/>
      <c r="N3990" s="1"/>
      <c r="O3990" s="1"/>
      <c r="P3990" s="1"/>
      <c r="Q3990" s="1"/>
      <c r="R3990" s="1"/>
    </row>
    <row r="3991" spans="2:18">
      <c r="B3991" s="1" t="s">
        <v>586</v>
      </c>
      <c r="C3991" s="2" t="s">
        <v>5</v>
      </c>
      <c r="D3991" s="2" t="s">
        <v>584</v>
      </c>
      <c r="E3991" s="3">
        <v>20</v>
      </c>
      <c r="F3991" s="3">
        <f t="shared" si="8"/>
        <v>2.5</v>
      </c>
      <c r="G3991" s="4">
        <v>44801</v>
      </c>
      <c r="M3991" s="1"/>
      <c r="N3991" s="1"/>
      <c r="O3991" s="1"/>
      <c r="P3991" s="1"/>
      <c r="Q3991" s="1"/>
      <c r="R3991" s="1"/>
    </row>
    <row r="3992" spans="2:18">
      <c r="B3992" s="1" t="s">
        <v>585</v>
      </c>
      <c r="C3992" s="2" t="s">
        <v>5</v>
      </c>
      <c r="D3992" s="2" t="s">
        <v>584</v>
      </c>
      <c r="E3992" s="3">
        <v>20</v>
      </c>
      <c r="F3992" s="3">
        <f t="shared" si="8"/>
        <v>2.5</v>
      </c>
      <c r="G3992" s="4">
        <v>44801</v>
      </c>
      <c r="M3992" s="1"/>
      <c r="N3992" s="1"/>
      <c r="O3992" s="1"/>
      <c r="P3992" s="1"/>
      <c r="Q3992" s="1"/>
      <c r="R3992" s="1"/>
    </row>
    <row r="3993" spans="2:18">
      <c r="B3993" s="1" t="s">
        <v>94</v>
      </c>
      <c r="C3993" s="2" t="s">
        <v>7</v>
      </c>
      <c r="D3993" s="2" t="s">
        <v>87</v>
      </c>
      <c r="E3993" s="3">
        <v>25</v>
      </c>
      <c r="F3993" s="3">
        <f t="shared" si="8"/>
        <v>2.5</v>
      </c>
      <c r="G3993" s="4">
        <v>44642</v>
      </c>
    </row>
    <row r="3994" spans="2:18">
      <c r="B3994" s="1" t="s">
        <v>49</v>
      </c>
      <c r="C3994" s="2" t="s">
        <v>5</v>
      </c>
      <c r="D3994" s="2" t="s">
        <v>47</v>
      </c>
      <c r="E3994" s="3">
        <v>10.7</v>
      </c>
      <c r="F3994" s="3">
        <v>2.5</v>
      </c>
      <c r="G3994" s="4">
        <v>41076</v>
      </c>
      <c r="J3994" s="1">
        <v>4100</v>
      </c>
    </row>
    <row r="3995" spans="2:18">
      <c r="B3995" s="1" t="s">
        <v>48</v>
      </c>
      <c r="C3995" s="2" t="s">
        <v>5</v>
      </c>
      <c r="D3995" s="2" t="s">
        <v>47</v>
      </c>
      <c r="E3995" s="3">
        <v>10.7</v>
      </c>
      <c r="F3995" s="3">
        <v>2.5</v>
      </c>
      <c r="G3995" s="4">
        <v>41076</v>
      </c>
      <c r="J3995" s="1">
        <v>4100</v>
      </c>
    </row>
    <row r="3996" spans="2:18">
      <c r="B3996" s="152" t="s">
        <v>6365</v>
      </c>
      <c r="C3996" s="153" t="s">
        <v>5</v>
      </c>
      <c r="D3996" s="153" t="s">
        <v>2046</v>
      </c>
      <c r="E3996" s="3">
        <v>10</v>
      </c>
      <c r="F3996" s="3">
        <v>2.5</v>
      </c>
      <c r="G3996" s="4">
        <v>43059</v>
      </c>
    </row>
    <row r="3997" spans="2:18">
      <c r="B3997" s="1" t="s">
        <v>842</v>
      </c>
      <c r="C3997" s="2" t="s">
        <v>5</v>
      </c>
      <c r="D3997" s="2" t="s">
        <v>722</v>
      </c>
      <c r="E3997" s="3">
        <v>20</v>
      </c>
      <c r="F3997" s="3">
        <f>13/6</f>
        <v>2.1666666666666665</v>
      </c>
      <c r="G3997" s="4">
        <v>44903</v>
      </c>
    </row>
    <row r="3998" spans="2:18">
      <c r="B3998" s="1" t="s">
        <v>841</v>
      </c>
      <c r="C3998" s="2" t="s">
        <v>5</v>
      </c>
      <c r="D3998" s="2" t="s">
        <v>722</v>
      </c>
      <c r="E3998" s="3">
        <v>20</v>
      </c>
      <c r="F3998" s="3">
        <f>13/6</f>
        <v>2.1666666666666665</v>
      </c>
      <c r="G3998" s="4">
        <v>44903</v>
      </c>
    </row>
    <row r="3999" spans="2:18">
      <c r="B3999" s="1" t="s">
        <v>840</v>
      </c>
      <c r="C3999" s="2" t="s">
        <v>5</v>
      </c>
      <c r="D3999" s="2" t="s">
        <v>722</v>
      </c>
      <c r="E3999" s="3">
        <v>20</v>
      </c>
      <c r="F3999" s="3">
        <f>13/6</f>
        <v>2.1666666666666665</v>
      </c>
      <c r="G3999" s="4">
        <v>44903</v>
      </c>
    </row>
    <row r="4000" spans="2:18">
      <c r="B4000" s="1" t="s">
        <v>839</v>
      </c>
      <c r="C4000" s="2" t="s">
        <v>5</v>
      </c>
      <c r="D4000" s="2" t="s">
        <v>725</v>
      </c>
      <c r="E4000" s="3">
        <v>20</v>
      </c>
      <c r="F4000" s="3">
        <f>13/6</f>
        <v>2.1666666666666665</v>
      </c>
      <c r="G4000" s="4">
        <v>44676</v>
      </c>
    </row>
    <row r="4001" spans="2:7">
      <c r="B4001" s="1" t="s">
        <v>838</v>
      </c>
      <c r="C4001" s="2" t="s">
        <v>5</v>
      </c>
      <c r="D4001" s="2" t="s">
        <v>725</v>
      </c>
      <c r="E4001" s="3">
        <v>20</v>
      </c>
      <c r="F4001" s="3">
        <f>13/6</f>
        <v>2.1666666666666665</v>
      </c>
      <c r="G4001" s="4">
        <v>44676</v>
      </c>
    </row>
    <row r="4002" spans="2:7">
      <c r="B4002" s="1" t="s">
        <v>837</v>
      </c>
      <c r="C4002" s="2" t="s">
        <v>4</v>
      </c>
      <c r="D4002" s="2" t="s">
        <v>678</v>
      </c>
      <c r="E4002" s="3">
        <v>15</v>
      </c>
      <c r="F4002" s="3">
        <f>15/7</f>
        <v>2.1428571428571428</v>
      </c>
      <c r="G4002" s="4">
        <v>44691</v>
      </c>
    </row>
    <row r="4003" spans="2:7">
      <c r="B4003" s="1" t="s">
        <v>836</v>
      </c>
      <c r="C4003" s="2" t="s">
        <v>4</v>
      </c>
      <c r="D4003" s="2" t="s">
        <v>678</v>
      </c>
      <c r="E4003" s="3">
        <v>15</v>
      </c>
      <c r="F4003" s="3">
        <f>15/7</f>
        <v>2.1428571428571428</v>
      </c>
      <c r="G4003" s="4">
        <v>44691</v>
      </c>
    </row>
    <row r="4004" spans="2:7">
      <c r="B4004" s="1" t="s">
        <v>835</v>
      </c>
      <c r="C4004" s="2" t="s">
        <v>4</v>
      </c>
      <c r="D4004" s="2" t="s">
        <v>678</v>
      </c>
      <c r="E4004" s="3">
        <v>15</v>
      </c>
      <c r="F4004" s="3">
        <f>15/7</f>
        <v>2.1428571428571428</v>
      </c>
      <c r="G4004" s="4">
        <v>44691</v>
      </c>
    </row>
    <row r="4005" spans="2:7">
      <c r="B4005" s="1" t="s">
        <v>834</v>
      </c>
      <c r="C4005" s="2" t="s">
        <v>4</v>
      </c>
      <c r="D4005" s="2" t="s">
        <v>678</v>
      </c>
      <c r="E4005" s="3">
        <v>15</v>
      </c>
      <c r="F4005" s="3">
        <f>15/7</f>
        <v>2.1428571428571428</v>
      </c>
      <c r="G4005" s="4">
        <v>44691</v>
      </c>
    </row>
    <row r="4006" spans="2:7">
      <c r="B4006" s="1" t="s">
        <v>679</v>
      </c>
      <c r="C4006" s="2" t="s">
        <v>4</v>
      </c>
      <c r="D4006" s="2" t="s">
        <v>678</v>
      </c>
      <c r="E4006" s="3">
        <v>15</v>
      </c>
      <c r="F4006" s="3">
        <f>15/7</f>
        <v>2.1428571428571428</v>
      </c>
      <c r="G4006" s="4">
        <v>44691</v>
      </c>
    </row>
    <row r="4007" spans="2:7">
      <c r="B4007" s="1" t="s">
        <v>833</v>
      </c>
      <c r="C4007" s="2" t="s">
        <v>5</v>
      </c>
      <c r="D4007" s="2" t="s">
        <v>832</v>
      </c>
      <c r="E4007" s="3">
        <v>20</v>
      </c>
      <c r="F4007" s="3">
        <f>12/6</f>
        <v>2</v>
      </c>
      <c r="G4007" s="4">
        <v>43816</v>
      </c>
    </row>
    <row r="4008" spans="2:7">
      <c r="B4008" s="1" t="s">
        <v>831</v>
      </c>
      <c r="C4008" s="2" t="s">
        <v>5</v>
      </c>
      <c r="D4008" s="2" t="s">
        <v>716</v>
      </c>
      <c r="E4008" s="3">
        <v>12.5</v>
      </c>
      <c r="F4008" s="3">
        <v>2</v>
      </c>
      <c r="G4008" s="4">
        <v>44784</v>
      </c>
    </row>
    <row r="4009" spans="2:7">
      <c r="B4009" s="1" t="s">
        <v>830</v>
      </c>
      <c r="C4009" s="2" t="s">
        <v>4</v>
      </c>
      <c r="D4009" s="2" t="s">
        <v>829</v>
      </c>
      <c r="E4009" s="3">
        <v>4.5</v>
      </c>
      <c r="F4009" s="3">
        <v>2</v>
      </c>
      <c r="G4009" s="4">
        <v>45056</v>
      </c>
    </row>
    <row r="4010" spans="2:7">
      <c r="B4010" s="1" t="s">
        <v>828</v>
      </c>
      <c r="C4010" s="2" t="s">
        <v>5</v>
      </c>
      <c r="D4010" s="2" t="s">
        <v>697</v>
      </c>
      <c r="E4010" s="3">
        <v>23.5</v>
      </c>
      <c r="F4010" s="3">
        <v>2</v>
      </c>
      <c r="G4010" s="4">
        <v>44875</v>
      </c>
    </row>
    <row r="4011" spans="2:7">
      <c r="B4011" s="1" t="s">
        <v>827</v>
      </c>
      <c r="C4011" s="2" t="s">
        <v>5</v>
      </c>
      <c r="D4011" s="2" t="s">
        <v>825</v>
      </c>
      <c r="E4011" s="3">
        <v>20</v>
      </c>
      <c r="F4011" s="3">
        <v>2</v>
      </c>
      <c r="G4011" s="4">
        <v>44602</v>
      </c>
    </row>
    <row r="4012" spans="2:7">
      <c r="B4012" s="1" t="s">
        <v>826</v>
      </c>
      <c r="C4012" s="2" t="s">
        <v>5</v>
      </c>
      <c r="D4012" s="2" t="s">
        <v>825</v>
      </c>
      <c r="E4012" s="3">
        <v>20</v>
      </c>
      <c r="F4012" s="3">
        <v>2</v>
      </c>
      <c r="G4012" s="4">
        <v>44602</v>
      </c>
    </row>
    <row r="4013" spans="2:7">
      <c r="B4013" s="1" t="s">
        <v>823</v>
      </c>
      <c r="C4013" s="2" t="s">
        <v>5</v>
      </c>
      <c r="D4013" s="2" t="s">
        <v>819</v>
      </c>
      <c r="E4013" s="3">
        <v>20</v>
      </c>
      <c r="F4013" s="3">
        <v>2</v>
      </c>
      <c r="G4013" s="4">
        <v>44578</v>
      </c>
    </row>
    <row r="4014" spans="2:7">
      <c r="B4014" s="1" t="s">
        <v>822</v>
      </c>
      <c r="C4014" s="2" t="s">
        <v>5</v>
      </c>
      <c r="D4014" s="2" t="s">
        <v>819</v>
      </c>
      <c r="E4014" s="3">
        <v>20</v>
      </c>
      <c r="F4014" s="3">
        <v>2</v>
      </c>
      <c r="G4014" s="4">
        <v>44578</v>
      </c>
    </row>
    <row r="4015" spans="2:7">
      <c r="B4015" s="1" t="s">
        <v>821</v>
      </c>
      <c r="C4015" s="2" t="s">
        <v>5</v>
      </c>
      <c r="D4015" s="2" t="s">
        <v>819</v>
      </c>
      <c r="E4015" s="3">
        <v>20</v>
      </c>
      <c r="F4015" s="3">
        <v>2</v>
      </c>
      <c r="G4015" s="4">
        <v>44578</v>
      </c>
    </row>
    <row r="4016" spans="2:7">
      <c r="B4016" s="1" t="s">
        <v>820</v>
      </c>
      <c r="C4016" s="2" t="s">
        <v>5</v>
      </c>
      <c r="D4016" s="2" t="s">
        <v>819</v>
      </c>
      <c r="E4016" s="3">
        <v>20</v>
      </c>
      <c r="F4016" s="3">
        <v>2</v>
      </c>
      <c r="G4016" s="4">
        <v>44578</v>
      </c>
    </row>
    <row r="4017" spans="2:18">
      <c r="B4017" s="1" t="s">
        <v>818</v>
      </c>
      <c r="C4017" s="2" t="s">
        <v>4</v>
      </c>
      <c r="D4017" s="2" t="s">
        <v>596</v>
      </c>
      <c r="E4017" s="3">
        <v>6</v>
      </c>
      <c r="F4017" s="3">
        <v>2</v>
      </c>
      <c r="G4017" s="4">
        <v>44781</v>
      </c>
    </row>
    <row r="4018" spans="2:18">
      <c r="B4018" s="1" t="s">
        <v>817</v>
      </c>
      <c r="C4018" s="2" t="s">
        <v>4</v>
      </c>
      <c r="D4018" s="2" t="s">
        <v>703</v>
      </c>
      <c r="E4018" s="3">
        <v>6</v>
      </c>
      <c r="F4018" s="3">
        <v>2</v>
      </c>
      <c r="G4018" s="4">
        <v>44180</v>
      </c>
    </row>
    <row r="4019" spans="2:18">
      <c r="B4019" s="1" t="s">
        <v>816</v>
      </c>
      <c r="C4019" s="2" t="s">
        <v>4</v>
      </c>
      <c r="D4019" s="2" t="s">
        <v>644</v>
      </c>
      <c r="E4019" s="3">
        <v>2</v>
      </c>
      <c r="F4019" s="3">
        <v>2</v>
      </c>
      <c r="G4019" s="4">
        <v>43685</v>
      </c>
    </row>
    <row r="4020" spans="2:18">
      <c r="B4020" s="1" t="s">
        <v>814</v>
      </c>
      <c r="C4020" s="2" t="s">
        <v>5</v>
      </c>
      <c r="D4020" s="2" t="s">
        <v>646</v>
      </c>
      <c r="E4020" s="3">
        <v>13</v>
      </c>
      <c r="F4020" s="3">
        <f>8/4</f>
        <v>2</v>
      </c>
      <c r="G4020" s="4">
        <v>44642</v>
      </c>
    </row>
    <row r="4021" spans="2:18">
      <c r="B4021" s="1" t="s">
        <v>813</v>
      </c>
      <c r="C4021" s="2" t="s">
        <v>5</v>
      </c>
      <c r="D4021" s="2" t="s">
        <v>646</v>
      </c>
      <c r="E4021" s="3">
        <v>13</v>
      </c>
      <c r="F4021" s="3">
        <f>8/4</f>
        <v>2</v>
      </c>
      <c r="G4021" s="4">
        <v>44642</v>
      </c>
    </row>
    <row r="4022" spans="2:18">
      <c r="B4022" s="1" t="s">
        <v>812</v>
      </c>
      <c r="C4022" s="2" t="s">
        <v>4</v>
      </c>
      <c r="D4022" s="2" t="s">
        <v>654</v>
      </c>
      <c r="E4022" s="3">
        <v>12.8</v>
      </c>
      <c r="F4022" s="3">
        <v>2</v>
      </c>
      <c r="G4022" s="4">
        <v>44601</v>
      </c>
    </row>
    <row r="4023" spans="2:18">
      <c r="B4023" s="1" t="s">
        <v>809</v>
      </c>
      <c r="C4023" s="2" t="s">
        <v>4</v>
      </c>
      <c r="D4023" s="2" t="s">
        <v>765</v>
      </c>
      <c r="E4023" s="3">
        <v>4</v>
      </c>
      <c r="F4023" s="3">
        <v>2</v>
      </c>
      <c r="G4023" s="4">
        <v>45026</v>
      </c>
    </row>
    <row r="4024" spans="2:18">
      <c r="B4024" s="1" t="s">
        <v>627</v>
      </c>
      <c r="C4024" s="2" t="s">
        <v>5</v>
      </c>
      <c r="D4024" s="2" t="s">
        <v>624</v>
      </c>
      <c r="E4024" s="3">
        <v>10</v>
      </c>
      <c r="F4024" s="3">
        <v>2</v>
      </c>
      <c r="G4024" s="4">
        <v>44930</v>
      </c>
      <c r="M4024" s="1"/>
      <c r="N4024" s="1"/>
      <c r="O4024" s="1"/>
      <c r="P4024" s="1"/>
      <c r="Q4024" s="1"/>
      <c r="R4024" s="1"/>
    </row>
    <row r="4025" spans="2:18">
      <c r="B4025" s="1" t="s">
        <v>626</v>
      </c>
      <c r="C4025" s="2" t="s">
        <v>5</v>
      </c>
      <c r="D4025" s="2" t="s">
        <v>624</v>
      </c>
      <c r="E4025" s="3">
        <v>10</v>
      </c>
      <c r="F4025" s="3">
        <v>2</v>
      </c>
      <c r="G4025" s="4">
        <v>44930</v>
      </c>
      <c r="M4025" s="1"/>
      <c r="N4025" s="1"/>
      <c r="O4025" s="1"/>
      <c r="P4025" s="1"/>
      <c r="Q4025" s="1"/>
      <c r="R4025" s="1"/>
    </row>
    <row r="4026" spans="2:18">
      <c r="B4026" s="1" t="s">
        <v>572</v>
      </c>
      <c r="C4026" s="2" t="s">
        <v>4</v>
      </c>
      <c r="D4026" s="2" t="s">
        <v>565</v>
      </c>
      <c r="E4026" s="3">
        <v>9</v>
      </c>
      <c r="F4026" s="3">
        <v>2</v>
      </c>
      <c r="G4026" s="4">
        <v>44859</v>
      </c>
      <c r="M4026" s="1"/>
      <c r="N4026" s="1"/>
      <c r="O4026" s="1"/>
      <c r="P4026" s="1"/>
      <c r="Q4026" s="1"/>
      <c r="R4026" s="1"/>
    </row>
    <row r="4027" spans="2:18">
      <c r="B4027" s="1" t="s">
        <v>555</v>
      </c>
      <c r="C4027" s="2" t="s">
        <v>7</v>
      </c>
      <c r="D4027" s="2" t="s">
        <v>548</v>
      </c>
      <c r="E4027" s="3">
        <v>20</v>
      </c>
      <c r="F4027" s="3">
        <f>12/6</f>
        <v>2</v>
      </c>
      <c r="G4027" s="4">
        <v>45077</v>
      </c>
      <c r="M4027" s="1"/>
      <c r="N4027" s="1"/>
      <c r="O4027" s="1"/>
      <c r="P4027" s="1"/>
      <c r="Q4027" s="1"/>
      <c r="R4027" s="1"/>
    </row>
    <row r="4028" spans="2:18">
      <c r="B4028" s="1" t="s">
        <v>552</v>
      </c>
      <c r="C4028" s="2" t="s">
        <v>7</v>
      </c>
      <c r="D4028" s="2" t="s">
        <v>548</v>
      </c>
      <c r="E4028" s="3">
        <v>20</v>
      </c>
      <c r="F4028" s="3">
        <f>12/6</f>
        <v>2</v>
      </c>
      <c r="G4028" s="4">
        <v>45077</v>
      </c>
      <c r="M4028" s="1"/>
      <c r="N4028" s="1"/>
      <c r="O4028" s="1"/>
      <c r="P4028" s="1"/>
      <c r="Q4028" s="1"/>
      <c r="R4028" s="1"/>
    </row>
    <row r="4029" spans="2:18">
      <c r="B4029" s="1" t="s">
        <v>457</v>
      </c>
      <c r="C4029" s="2" t="s">
        <v>5</v>
      </c>
      <c r="D4029" s="2" t="s">
        <v>456</v>
      </c>
      <c r="E4029" s="3">
        <v>8.3000000000000007</v>
      </c>
      <c r="F4029" s="3">
        <v>2</v>
      </c>
      <c r="G4029" s="4">
        <v>44053</v>
      </c>
      <c r="M4029" s="1"/>
      <c r="N4029" s="1"/>
      <c r="O4029" s="1"/>
      <c r="P4029" s="1"/>
      <c r="Q4029" s="1"/>
      <c r="R4029" s="1"/>
    </row>
    <row r="4030" spans="2:18">
      <c r="B4030" s="1" t="s">
        <v>417</v>
      </c>
      <c r="C4030" s="2" t="s">
        <v>5</v>
      </c>
      <c r="D4030" s="2" t="s">
        <v>416</v>
      </c>
      <c r="E4030" s="3">
        <v>8</v>
      </c>
      <c r="F4030" s="3">
        <v>2</v>
      </c>
      <c r="G4030" s="4">
        <v>42416</v>
      </c>
      <c r="M4030" s="1"/>
      <c r="N4030" s="1"/>
      <c r="O4030" s="1"/>
      <c r="P4030" s="1"/>
      <c r="Q4030" s="1"/>
      <c r="R4030" s="1"/>
    </row>
    <row r="4031" spans="2:18">
      <c r="B4031" s="1" t="s">
        <v>326</v>
      </c>
      <c r="C4031" s="2" t="s">
        <v>5</v>
      </c>
      <c r="D4031" s="2" t="s">
        <v>318</v>
      </c>
      <c r="E4031" s="3">
        <v>16</v>
      </c>
      <c r="F4031" s="3">
        <v>2</v>
      </c>
      <c r="G4031" s="4">
        <v>43783</v>
      </c>
      <c r="L4031" s="1">
        <f>+F4031*5</f>
        <v>10</v>
      </c>
      <c r="M4031" s="1"/>
      <c r="N4031" s="1"/>
      <c r="O4031" s="1"/>
      <c r="P4031" s="1"/>
      <c r="Q4031" s="1"/>
      <c r="R4031" s="1"/>
    </row>
    <row r="4032" spans="2:18">
      <c r="B4032" s="1" t="s">
        <v>323</v>
      </c>
      <c r="C4032" s="2" t="s">
        <v>5</v>
      </c>
      <c r="D4032" s="2" t="s">
        <v>318</v>
      </c>
      <c r="E4032" s="3">
        <v>16</v>
      </c>
      <c r="F4032" s="3">
        <v>2</v>
      </c>
      <c r="G4032" s="4">
        <v>43783</v>
      </c>
      <c r="L4032" s="1">
        <f>+F4032*5</f>
        <v>10</v>
      </c>
      <c r="M4032" s="1"/>
      <c r="N4032" s="1"/>
      <c r="O4032" s="1"/>
      <c r="P4032" s="1"/>
      <c r="Q4032" s="1"/>
      <c r="R4032" s="1"/>
    </row>
    <row r="4033" spans="2:18">
      <c r="B4033" s="1" t="s">
        <v>301</v>
      </c>
      <c r="C4033" s="2" t="s">
        <v>5</v>
      </c>
      <c r="D4033" s="2" t="s">
        <v>298</v>
      </c>
      <c r="E4033" s="3">
        <v>15</v>
      </c>
      <c r="F4033" s="3">
        <v>2</v>
      </c>
      <c r="G4033" s="4">
        <v>44314</v>
      </c>
    </row>
    <row r="4034" spans="2:18">
      <c r="B4034" s="1" t="s">
        <v>300</v>
      </c>
      <c r="C4034" s="2" t="s">
        <v>5</v>
      </c>
      <c r="D4034" s="2" t="s">
        <v>298</v>
      </c>
      <c r="E4034" s="3">
        <v>15</v>
      </c>
      <c r="F4034" s="3">
        <v>2</v>
      </c>
      <c r="G4034" s="4">
        <v>44314</v>
      </c>
    </row>
    <row r="4035" spans="2:18">
      <c r="B4035" s="1" t="s">
        <v>124</v>
      </c>
      <c r="C4035" s="2" t="s">
        <v>4</v>
      </c>
      <c r="D4035" s="2" t="s">
        <v>122</v>
      </c>
      <c r="E4035" s="3">
        <v>4.5</v>
      </c>
      <c r="F4035" s="3">
        <v>2</v>
      </c>
      <c r="G4035" s="4">
        <v>44434</v>
      </c>
    </row>
    <row r="4036" spans="2:18">
      <c r="B4036" s="1" t="s">
        <v>16</v>
      </c>
      <c r="C4036" s="2" t="s">
        <v>5</v>
      </c>
      <c r="D4036" s="2" t="s">
        <v>15</v>
      </c>
      <c r="E4036" s="3">
        <v>10</v>
      </c>
      <c r="F4036" s="3">
        <v>2</v>
      </c>
      <c r="G4036" s="4">
        <v>42508</v>
      </c>
    </row>
    <row r="4037" spans="2:18">
      <c r="B4037" s="152" t="s">
        <v>6377</v>
      </c>
      <c r="C4037" s="153" t="s">
        <v>5</v>
      </c>
      <c r="D4037" s="153" t="s">
        <v>2041</v>
      </c>
      <c r="E4037" s="3">
        <v>15</v>
      </c>
      <c r="F4037" s="3">
        <f>10/5</f>
        <v>2</v>
      </c>
      <c r="G4037" s="4">
        <v>44174</v>
      </c>
    </row>
    <row r="4038" spans="2:18">
      <c r="B4038" s="173" t="s">
        <v>6660</v>
      </c>
      <c r="C4038" s="174" t="s">
        <v>7</v>
      </c>
      <c r="D4038" s="174" t="s">
        <v>2030</v>
      </c>
      <c r="E4038" s="3">
        <v>16</v>
      </c>
      <c r="F4038" s="3">
        <v>2</v>
      </c>
      <c r="G4038" s="4">
        <v>44825</v>
      </c>
    </row>
    <row r="4039" spans="2:18">
      <c r="B4039" s="173" t="s">
        <v>6661</v>
      </c>
      <c r="C4039" s="174" t="s">
        <v>7</v>
      </c>
      <c r="D4039" s="174" t="s">
        <v>2030</v>
      </c>
      <c r="E4039" s="3">
        <v>16</v>
      </c>
      <c r="F4039" s="3">
        <v>2</v>
      </c>
      <c r="G4039" s="4">
        <v>44825</v>
      </c>
    </row>
    <row r="4040" spans="2:18">
      <c r="B4040" s="173" t="s">
        <v>6662</v>
      </c>
      <c r="C4040" s="174" t="s">
        <v>7</v>
      </c>
      <c r="D4040" s="174" t="s">
        <v>2030</v>
      </c>
      <c r="E4040" s="3">
        <v>16</v>
      </c>
      <c r="F4040" s="3">
        <v>2</v>
      </c>
      <c r="G4040" s="4">
        <v>44825</v>
      </c>
    </row>
    <row r="4041" spans="2:18">
      <c r="B4041" s="176" t="s">
        <v>6686</v>
      </c>
      <c r="C4041" s="177" t="s">
        <v>4</v>
      </c>
      <c r="D4041" s="177" t="s">
        <v>6681</v>
      </c>
      <c r="E4041" s="3">
        <v>5</v>
      </c>
      <c r="F4041" s="3">
        <v>2</v>
      </c>
      <c r="G4041" s="4">
        <v>44073</v>
      </c>
    </row>
    <row r="4042" spans="2:18">
      <c r="B4042" s="176" t="s">
        <v>6768</v>
      </c>
      <c r="C4042" s="177" t="s">
        <v>5</v>
      </c>
      <c r="D4042" s="177" t="s">
        <v>6767</v>
      </c>
      <c r="E4042" s="3">
        <v>11</v>
      </c>
      <c r="F4042" s="3">
        <v>2</v>
      </c>
      <c r="G4042" s="4">
        <v>43215</v>
      </c>
    </row>
    <row r="4043" spans="2:18">
      <c r="B4043" s="1" t="s">
        <v>564</v>
      </c>
      <c r="C4043" s="2" t="s">
        <v>4</v>
      </c>
      <c r="D4043" s="2" t="s">
        <v>562</v>
      </c>
      <c r="E4043" s="3">
        <v>5.6</v>
      </c>
      <c r="F4043" s="3">
        <f>E4043/3</f>
        <v>1.8666666666666665</v>
      </c>
      <c r="G4043" s="4">
        <v>45048</v>
      </c>
      <c r="M4043" s="1"/>
      <c r="N4043" s="1"/>
      <c r="O4043" s="1"/>
      <c r="P4043" s="1"/>
      <c r="Q4043" s="1"/>
      <c r="R4043" s="1"/>
    </row>
    <row r="4044" spans="2:18">
      <c r="B4044" s="1" t="s">
        <v>563</v>
      </c>
      <c r="C4044" s="2" t="s">
        <v>4</v>
      </c>
      <c r="D4044" s="2" t="s">
        <v>562</v>
      </c>
      <c r="E4044" s="3">
        <v>5.6</v>
      </c>
      <c r="F4044" s="3">
        <f>E4044/3</f>
        <v>1.8666666666666665</v>
      </c>
      <c r="G4044" s="4">
        <v>45048</v>
      </c>
      <c r="M4044" s="1"/>
      <c r="N4044" s="1"/>
      <c r="O4044" s="1"/>
      <c r="P4044" s="1"/>
      <c r="Q4044" s="1"/>
      <c r="R4044" s="1"/>
    </row>
    <row r="4045" spans="2:18">
      <c r="B4045" s="91" t="s">
        <v>5431</v>
      </c>
      <c r="C4045" s="92" t="s">
        <v>5</v>
      </c>
      <c r="D4045" s="92" t="s">
        <v>3213</v>
      </c>
      <c r="E4045" s="3">
        <v>19</v>
      </c>
      <c r="F4045" s="3">
        <f t="shared" ref="F4045:F4050" si="9">11/6</f>
        <v>1.8333333333333333</v>
      </c>
      <c r="G4045" s="4">
        <v>45097</v>
      </c>
      <c r="I4045" s="1">
        <v>100</v>
      </c>
      <c r="J4045" s="1">
        <v>100</v>
      </c>
    </row>
    <row r="4046" spans="2:18">
      <c r="B4046" s="91" t="s">
        <v>5432</v>
      </c>
      <c r="C4046" s="92" t="s">
        <v>5</v>
      </c>
      <c r="D4046" s="92" t="s">
        <v>3213</v>
      </c>
      <c r="E4046" s="3">
        <v>19</v>
      </c>
      <c r="F4046" s="3">
        <f t="shared" si="9"/>
        <v>1.8333333333333333</v>
      </c>
      <c r="G4046" s="4">
        <v>45097</v>
      </c>
      <c r="I4046" s="1">
        <v>100</v>
      </c>
      <c r="J4046" s="1">
        <v>100</v>
      </c>
    </row>
    <row r="4047" spans="2:18">
      <c r="B4047" s="91" t="s">
        <v>5433</v>
      </c>
      <c r="C4047" s="92" t="s">
        <v>5</v>
      </c>
      <c r="D4047" s="92" t="s">
        <v>3213</v>
      </c>
      <c r="E4047" s="3">
        <v>19</v>
      </c>
      <c r="F4047" s="3">
        <f t="shared" si="9"/>
        <v>1.8333333333333333</v>
      </c>
      <c r="G4047" s="4">
        <v>45097</v>
      </c>
      <c r="I4047" s="1">
        <v>100</v>
      </c>
      <c r="J4047" s="1">
        <v>100</v>
      </c>
    </row>
    <row r="4048" spans="2:18">
      <c r="B4048" s="91" t="s">
        <v>5434</v>
      </c>
      <c r="C4048" s="92" t="s">
        <v>5</v>
      </c>
      <c r="D4048" s="92" t="s">
        <v>3213</v>
      </c>
      <c r="E4048" s="3">
        <v>19</v>
      </c>
      <c r="F4048" s="3">
        <f t="shared" si="9"/>
        <v>1.8333333333333333</v>
      </c>
      <c r="G4048" s="4">
        <v>45097</v>
      </c>
      <c r="I4048" s="1">
        <v>100</v>
      </c>
      <c r="J4048" s="1">
        <v>100</v>
      </c>
    </row>
    <row r="4049" spans="2:18">
      <c r="B4049" s="91" t="s">
        <v>5435</v>
      </c>
      <c r="C4049" s="92" t="s">
        <v>5</v>
      </c>
      <c r="D4049" s="92" t="s">
        <v>3213</v>
      </c>
      <c r="E4049" s="3">
        <v>19</v>
      </c>
      <c r="F4049" s="3">
        <f t="shared" si="9"/>
        <v>1.8333333333333333</v>
      </c>
      <c r="G4049" s="4">
        <v>45097</v>
      </c>
      <c r="I4049" s="1">
        <v>100</v>
      </c>
      <c r="J4049" s="1">
        <v>100</v>
      </c>
    </row>
    <row r="4050" spans="2:18">
      <c r="B4050" s="91" t="s">
        <v>5436</v>
      </c>
      <c r="C4050" s="92" t="s">
        <v>5</v>
      </c>
      <c r="D4050" s="92" t="s">
        <v>3213</v>
      </c>
      <c r="E4050" s="3">
        <v>19</v>
      </c>
      <c r="F4050" s="3">
        <f t="shared" si="9"/>
        <v>1.8333333333333333</v>
      </c>
      <c r="G4050" s="4">
        <v>45097</v>
      </c>
      <c r="I4050" s="1">
        <v>100</v>
      </c>
      <c r="J4050" s="1">
        <v>100</v>
      </c>
    </row>
    <row r="4051" spans="2:18">
      <c r="B4051" s="1" t="s">
        <v>412</v>
      </c>
      <c r="C4051" s="2" t="s">
        <v>5</v>
      </c>
      <c r="D4051" s="2" t="s">
        <v>408</v>
      </c>
      <c r="E4051" s="3">
        <v>10</v>
      </c>
      <c r="F4051" s="3">
        <f>7/4</f>
        <v>1.75</v>
      </c>
      <c r="G4051" s="4">
        <v>44740</v>
      </c>
      <c r="M4051" s="1"/>
      <c r="N4051" s="1"/>
      <c r="O4051" s="1"/>
      <c r="P4051" s="1"/>
      <c r="Q4051" s="1"/>
      <c r="R4051" s="1"/>
    </row>
    <row r="4052" spans="2:18">
      <c r="B4052" s="1" t="s">
        <v>411</v>
      </c>
      <c r="C4052" s="2" t="s">
        <v>5</v>
      </c>
      <c r="D4052" s="2" t="s">
        <v>408</v>
      </c>
      <c r="E4052" s="3">
        <v>10</v>
      </c>
      <c r="F4052" s="3">
        <f>7/4</f>
        <v>1.75</v>
      </c>
      <c r="G4052" s="4">
        <v>44740</v>
      </c>
      <c r="M4052" s="1"/>
      <c r="N4052" s="1"/>
      <c r="O4052" s="1"/>
      <c r="P4052" s="1"/>
      <c r="Q4052" s="1"/>
      <c r="R4052" s="1"/>
    </row>
    <row r="4053" spans="2:18">
      <c r="B4053" s="1" t="s">
        <v>808</v>
      </c>
      <c r="C4053" s="2" t="s">
        <v>4</v>
      </c>
      <c r="D4053" s="2" t="s">
        <v>807</v>
      </c>
      <c r="E4053" s="3">
        <v>5</v>
      </c>
      <c r="F4053" s="3">
        <f>5/3</f>
        <v>1.6666666666666667</v>
      </c>
      <c r="G4053" s="4">
        <v>45062</v>
      </c>
    </row>
    <row r="4054" spans="2:18">
      <c r="B4054" s="1" t="s">
        <v>265</v>
      </c>
      <c r="C4054" s="2" t="s">
        <v>5</v>
      </c>
      <c r="D4054" s="2" t="s">
        <v>258</v>
      </c>
      <c r="E4054" s="3">
        <v>14</v>
      </c>
      <c r="F4054" s="3">
        <v>1.6666666666666667</v>
      </c>
      <c r="G4054" s="4">
        <v>43690</v>
      </c>
    </row>
    <row r="4055" spans="2:18">
      <c r="B4055" s="1" t="s">
        <v>264</v>
      </c>
      <c r="C4055" s="2" t="s">
        <v>5</v>
      </c>
      <c r="D4055" s="2" t="s">
        <v>258</v>
      </c>
      <c r="E4055" s="3">
        <v>14</v>
      </c>
      <c r="F4055" s="3">
        <v>1.6666666666666667</v>
      </c>
      <c r="G4055" s="4">
        <v>43690</v>
      </c>
    </row>
    <row r="4056" spans="2:18">
      <c r="B4056" s="1" t="s">
        <v>198</v>
      </c>
      <c r="C4056" s="2" t="s">
        <v>5</v>
      </c>
      <c r="D4056" s="2" t="s">
        <v>197</v>
      </c>
      <c r="E4056" s="3">
        <v>5</v>
      </c>
      <c r="F4056" s="3">
        <f>E4056/3</f>
        <v>1.6666666666666667</v>
      </c>
      <c r="G4056" s="4">
        <v>42688</v>
      </c>
    </row>
    <row r="4057" spans="2:18">
      <c r="B4057" s="1" t="s">
        <v>89</v>
      </c>
      <c r="C4057" s="2" t="s">
        <v>5</v>
      </c>
      <c r="D4057" s="2" t="s">
        <v>87</v>
      </c>
      <c r="E4057" s="3">
        <v>13.5</v>
      </c>
      <c r="F4057" s="3">
        <f>10/6</f>
        <v>1.6666666666666667</v>
      </c>
      <c r="G4057" s="4">
        <v>43978</v>
      </c>
    </row>
    <row r="4058" spans="2:18">
      <c r="B4058" s="1" t="s">
        <v>804</v>
      </c>
      <c r="C4058" s="2" t="s">
        <v>5</v>
      </c>
      <c r="D4058" s="2" t="s">
        <v>803</v>
      </c>
      <c r="E4058" s="3">
        <v>4.5</v>
      </c>
      <c r="F4058" s="3">
        <v>1.5</v>
      </c>
      <c r="G4058" s="4">
        <v>42858</v>
      </c>
      <c r="M4058" s="1"/>
      <c r="N4058" s="1"/>
      <c r="O4058" s="1"/>
      <c r="P4058" s="1"/>
      <c r="Q4058" s="1"/>
      <c r="R4058" s="1"/>
    </row>
    <row r="4059" spans="2:18">
      <c r="B4059" s="1" t="s">
        <v>802</v>
      </c>
      <c r="C4059" s="2" t="s">
        <v>5</v>
      </c>
      <c r="D4059" s="2" t="s">
        <v>663</v>
      </c>
      <c r="E4059" s="3">
        <v>17</v>
      </c>
      <c r="F4059" s="3">
        <v>1.5</v>
      </c>
      <c r="G4059" s="4">
        <v>44679</v>
      </c>
      <c r="M4059" s="1"/>
      <c r="N4059" s="1"/>
      <c r="O4059" s="1"/>
      <c r="P4059" s="1"/>
      <c r="Q4059" s="1"/>
      <c r="R4059" s="1"/>
    </row>
    <row r="4060" spans="2:18">
      <c r="B4060" s="1" t="s">
        <v>594</v>
      </c>
      <c r="C4060" s="2" t="s">
        <v>4</v>
      </c>
      <c r="D4060" s="2" t="s">
        <v>593</v>
      </c>
      <c r="E4060" s="3">
        <v>6.8</v>
      </c>
      <c r="F4060" s="3">
        <v>1.5</v>
      </c>
      <c r="G4060" s="4">
        <v>44964</v>
      </c>
      <c r="M4060" s="1"/>
      <c r="N4060" s="1"/>
      <c r="O4060" s="1"/>
      <c r="P4060" s="1"/>
      <c r="Q4060" s="1"/>
      <c r="R4060" s="1"/>
    </row>
    <row r="4061" spans="2:18">
      <c r="B4061" s="1" t="s">
        <v>445</v>
      </c>
      <c r="C4061" s="2" t="s">
        <v>4</v>
      </c>
      <c r="D4061" s="2" t="s">
        <v>439</v>
      </c>
      <c r="E4061" s="3">
        <v>7</v>
      </c>
      <c r="F4061" s="3">
        <v>1.5</v>
      </c>
      <c r="G4061" s="4">
        <v>44602</v>
      </c>
      <c r="M4061" s="1"/>
      <c r="N4061" s="1"/>
      <c r="O4061" s="1"/>
      <c r="P4061" s="1"/>
      <c r="Q4061" s="1"/>
      <c r="R4061" s="1"/>
    </row>
    <row r="4062" spans="2:18">
      <c r="B4062" s="1" t="s">
        <v>444</v>
      </c>
      <c r="C4062" s="2" t="s">
        <v>4</v>
      </c>
      <c r="D4062" s="2" t="s">
        <v>439</v>
      </c>
      <c r="E4062" s="3">
        <v>7</v>
      </c>
      <c r="F4062" s="3">
        <v>1.5</v>
      </c>
      <c r="G4062" s="4">
        <v>44602</v>
      </c>
      <c r="M4062" s="1"/>
      <c r="N4062" s="1"/>
      <c r="O4062" s="1"/>
      <c r="P4062" s="1"/>
      <c r="Q4062" s="1"/>
      <c r="R4062" s="1"/>
    </row>
    <row r="4063" spans="2:18">
      <c r="B4063" s="54" t="s">
        <v>4989</v>
      </c>
      <c r="C4063" s="55" t="s">
        <v>5</v>
      </c>
      <c r="D4063" s="55" t="s">
        <v>2112</v>
      </c>
      <c r="E4063" s="3">
        <v>8.9</v>
      </c>
      <c r="F4063" s="3">
        <f>E4063/6</f>
        <v>1.4833333333333334</v>
      </c>
      <c r="G4063" s="4">
        <v>41839</v>
      </c>
      <c r="J4063" s="1">
        <v>1600</v>
      </c>
    </row>
    <row r="4064" spans="2:18">
      <c r="B4064" s="1" t="s">
        <v>309</v>
      </c>
      <c r="C4064" s="2" t="s">
        <v>5</v>
      </c>
      <c r="D4064" s="2" t="s">
        <v>302</v>
      </c>
      <c r="E4064" s="3">
        <v>10</v>
      </c>
      <c r="F4064" s="3">
        <v>1.4</v>
      </c>
      <c r="G4064" s="4">
        <v>44637</v>
      </c>
    </row>
    <row r="4065" spans="2:18">
      <c r="B4065" s="1" t="s">
        <v>308</v>
      </c>
      <c r="C4065" s="2" t="s">
        <v>5</v>
      </c>
      <c r="D4065" s="2" t="s">
        <v>302</v>
      </c>
      <c r="E4065" s="3">
        <v>10</v>
      </c>
      <c r="F4065" s="3">
        <v>1.4</v>
      </c>
      <c r="G4065" s="4">
        <v>44637</v>
      </c>
    </row>
    <row r="4066" spans="2:18">
      <c r="B4066" s="51" t="s">
        <v>4876</v>
      </c>
      <c r="C4066" s="52" t="s">
        <v>5</v>
      </c>
      <c r="D4066" s="52" t="s">
        <v>2116</v>
      </c>
      <c r="E4066" s="3">
        <v>11.5</v>
      </c>
      <c r="F4066" s="3">
        <f>5.5/4</f>
        <v>1.375</v>
      </c>
      <c r="G4066" s="4">
        <v>43355</v>
      </c>
      <c r="J4066" s="1">
        <v>3400</v>
      </c>
    </row>
    <row r="4067" spans="2:18">
      <c r="B4067" s="1" t="s">
        <v>517</v>
      </c>
      <c r="C4067" s="2" t="s">
        <v>4</v>
      </c>
      <c r="D4067" s="2" t="s">
        <v>516</v>
      </c>
      <c r="E4067" s="3">
        <v>4</v>
      </c>
      <c r="F4067" s="3">
        <f>4/3</f>
        <v>1.3333333333333333</v>
      </c>
      <c r="G4067" s="4">
        <v>42647</v>
      </c>
      <c r="M4067" s="1"/>
      <c r="N4067" s="1"/>
      <c r="O4067" s="1"/>
      <c r="P4067" s="1"/>
      <c r="Q4067" s="1"/>
      <c r="R4067" s="1"/>
    </row>
    <row r="4068" spans="2:18">
      <c r="B4068" s="51" t="s">
        <v>4867</v>
      </c>
      <c r="C4068" s="52" t="s">
        <v>4</v>
      </c>
      <c r="D4068" s="52" t="s">
        <v>2118</v>
      </c>
      <c r="E4068" s="3">
        <v>10.3</v>
      </c>
      <c r="F4068" s="3">
        <v>1.3</v>
      </c>
      <c r="G4068" s="4">
        <v>42846</v>
      </c>
      <c r="J4068" s="1">
        <v>700</v>
      </c>
    </row>
    <row r="4069" spans="2:18">
      <c r="B4069" s="1" t="s">
        <v>346</v>
      </c>
      <c r="C4069" s="2" t="s">
        <v>4</v>
      </c>
      <c r="D4069" s="2" t="s">
        <v>341</v>
      </c>
      <c r="E4069" s="3">
        <v>3.5</v>
      </c>
      <c r="F4069" s="3">
        <v>1.25</v>
      </c>
      <c r="G4069" s="4">
        <v>44636</v>
      </c>
      <c r="M4069" s="1"/>
      <c r="N4069" s="1"/>
      <c r="O4069" s="1"/>
      <c r="P4069" s="1"/>
      <c r="Q4069" s="1"/>
      <c r="R4069" s="1"/>
    </row>
    <row r="4070" spans="2:18">
      <c r="B4070" s="152" t="s">
        <v>6401</v>
      </c>
      <c r="C4070" s="153" t="s">
        <v>5</v>
      </c>
      <c r="D4070" s="153" t="s">
        <v>6397</v>
      </c>
      <c r="E4070" s="3">
        <v>8</v>
      </c>
      <c r="F4070" s="3">
        <f>6/5</f>
        <v>1.2</v>
      </c>
      <c r="G4070" s="4">
        <v>44179</v>
      </c>
    </row>
    <row r="4071" spans="2:18">
      <c r="B4071" s="152"/>
      <c r="C4071" s="153"/>
      <c r="D4071" s="153"/>
      <c r="G4071" s="4"/>
    </row>
    <row r="4072" spans="2:18">
      <c r="G4072" s="4"/>
    </row>
    <row r="4073" spans="2:18">
      <c r="B4073" s="1" t="s">
        <v>334</v>
      </c>
      <c r="C4073" s="2" t="s">
        <v>4</v>
      </c>
      <c r="D4073" s="2" t="s">
        <v>332</v>
      </c>
      <c r="E4073" s="3">
        <v>5.0999999999999996</v>
      </c>
      <c r="F4073" s="3">
        <f>E4073/5</f>
        <v>1.02</v>
      </c>
      <c r="G4073" s="4">
        <v>43990</v>
      </c>
      <c r="M4073" s="1"/>
      <c r="N4073" s="1"/>
      <c r="O4073" s="1"/>
      <c r="P4073" s="1"/>
      <c r="Q4073" s="1"/>
      <c r="R4073" s="1"/>
    </row>
    <row r="4074" spans="2:18">
      <c r="B4074" s="1" t="s">
        <v>333</v>
      </c>
      <c r="C4074" s="2" t="s">
        <v>4</v>
      </c>
      <c r="D4074" s="2" t="s">
        <v>332</v>
      </c>
      <c r="E4074" s="3">
        <v>5.0999999999999996</v>
      </c>
      <c r="F4074" s="3">
        <f>E4074/5</f>
        <v>1.02</v>
      </c>
      <c r="G4074" s="4">
        <v>43990</v>
      </c>
      <c r="M4074" s="1"/>
      <c r="N4074" s="1"/>
      <c r="O4074" s="1"/>
      <c r="P4074" s="1"/>
      <c r="Q4074" s="1"/>
      <c r="R4074" s="1"/>
    </row>
    <row r="4075" spans="2:18">
      <c r="B4075" s="1" t="s">
        <v>801</v>
      </c>
      <c r="C4075" s="2" t="s">
        <v>4</v>
      </c>
      <c r="D4075" s="2" t="s">
        <v>763</v>
      </c>
      <c r="E4075" s="3">
        <v>6</v>
      </c>
      <c r="F4075" s="3">
        <v>1</v>
      </c>
      <c r="G4075" s="4">
        <v>44352</v>
      </c>
      <c r="M4075" s="1"/>
      <c r="N4075" s="1"/>
      <c r="O4075" s="1"/>
      <c r="P4075" s="1"/>
      <c r="Q4075" s="1"/>
      <c r="R4075" s="1"/>
    </row>
    <row r="4076" spans="2:18">
      <c r="B4076" s="1" t="s">
        <v>800</v>
      </c>
      <c r="C4076" s="2" t="s">
        <v>4</v>
      </c>
      <c r="D4076" s="2" t="s">
        <v>763</v>
      </c>
      <c r="E4076" s="3">
        <v>6</v>
      </c>
      <c r="F4076" s="3">
        <v>1</v>
      </c>
      <c r="G4076" s="4">
        <v>44352</v>
      </c>
      <c r="M4076" s="1"/>
      <c r="N4076" s="1"/>
      <c r="O4076" s="1"/>
      <c r="P4076" s="1"/>
      <c r="Q4076" s="1"/>
      <c r="R4076" s="1"/>
    </row>
    <row r="4077" spans="2:18">
      <c r="B4077" s="1" t="s">
        <v>799</v>
      </c>
      <c r="C4077" s="2" t="s">
        <v>4</v>
      </c>
      <c r="D4077" s="2" t="s">
        <v>798</v>
      </c>
      <c r="E4077" s="3">
        <v>5.3</v>
      </c>
      <c r="F4077" s="3">
        <v>1</v>
      </c>
      <c r="G4077" s="4">
        <v>43628</v>
      </c>
      <c r="M4077" s="1"/>
      <c r="N4077" s="1"/>
      <c r="O4077" s="1"/>
      <c r="P4077" s="1"/>
      <c r="Q4077" s="1"/>
      <c r="R4077" s="1"/>
    </row>
    <row r="4078" spans="2:18">
      <c r="B4078" s="1" t="s">
        <v>797</v>
      </c>
      <c r="C4078" s="2" t="s">
        <v>5</v>
      </c>
      <c r="D4078" s="2" t="s">
        <v>796</v>
      </c>
      <c r="E4078" s="3">
        <v>17.5</v>
      </c>
      <c r="F4078" s="3">
        <v>1</v>
      </c>
      <c r="G4078" s="4">
        <v>44614</v>
      </c>
      <c r="M4078" s="1"/>
      <c r="N4078" s="1"/>
      <c r="O4078" s="1"/>
      <c r="P4078" s="1"/>
      <c r="Q4078" s="1"/>
      <c r="R4078" s="1"/>
    </row>
    <row r="4079" spans="2:18">
      <c r="B4079" s="1" t="s">
        <v>795</v>
      </c>
      <c r="C4079" s="2" t="s">
        <v>5</v>
      </c>
      <c r="D4079" s="2" t="s">
        <v>783</v>
      </c>
      <c r="E4079" s="3">
        <v>10.9</v>
      </c>
      <c r="F4079" s="3">
        <f>8/8</f>
        <v>1</v>
      </c>
      <c r="G4079" s="4">
        <v>45070</v>
      </c>
      <c r="M4079" s="1"/>
      <c r="N4079" s="1"/>
      <c r="O4079" s="1"/>
      <c r="P4079" s="1"/>
      <c r="Q4079" s="1"/>
      <c r="R4079" s="1"/>
    </row>
    <row r="4080" spans="2:18">
      <c r="B4080" s="1" t="s">
        <v>794</v>
      </c>
      <c r="C4080" s="2" t="s">
        <v>4</v>
      </c>
      <c r="D4080" s="2" t="s">
        <v>709</v>
      </c>
      <c r="E4080" s="3">
        <v>5.5</v>
      </c>
      <c r="F4080" s="3">
        <v>1</v>
      </c>
      <c r="G4080" s="4">
        <v>45092</v>
      </c>
      <c r="M4080" s="1"/>
      <c r="N4080" s="1"/>
      <c r="O4080" s="1"/>
      <c r="P4080" s="1"/>
      <c r="Q4080" s="1"/>
      <c r="R4080" s="1"/>
    </row>
    <row r="4081" spans="2:18">
      <c r="B4081" s="1" t="s">
        <v>793</v>
      </c>
      <c r="C4081" s="2" t="s">
        <v>4</v>
      </c>
      <c r="D4081" s="2" t="s">
        <v>699</v>
      </c>
      <c r="E4081" s="3">
        <v>2.5</v>
      </c>
      <c r="F4081" s="3">
        <v>1</v>
      </c>
      <c r="G4081" s="4">
        <v>44469</v>
      </c>
      <c r="M4081" s="1"/>
      <c r="N4081" s="1"/>
      <c r="O4081" s="1"/>
      <c r="P4081" s="1"/>
      <c r="Q4081" s="1"/>
      <c r="R4081" s="1"/>
    </row>
    <row r="4082" spans="2:18">
      <c r="B4082" s="1" t="s">
        <v>792</v>
      </c>
      <c r="C4082" s="2" t="s">
        <v>4</v>
      </c>
      <c r="D4082" s="2" t="s">
        <v>697</v>
      </c>
      <c r="E4082" s="3">
        <v>5.6</v>
      </c>
      <c r="F4082" s="3">
        <v>1</v>
      </c>
      <c r="G4082" s="4">
        <v>44292</v>
      </c>
      <c r="M4082" s="1"/>
      <c r="N4082" s="1"/>
      <c r="O4082" s="1"/>
      <c r="P4082" s="1"/>
      <c r="Q4082" s="1"/>
      <c r="R4082" s="1"/>
    </row>
    <row r="4083" spans="2:18">
      <c r="B4083" s="1" t="s">
        <v>789</v>
      </c>
      <c r="C4083" s="2" t="s">
        <v>4</v>
      </c>
      <c r="D4083" s="2" t="s">
        <v>697</v>
      </c>
      <c r="E4083" s="3">
        <v>5.6</v>
      </c>
      <c r="F4083" s="3">
        <v>1</v>
      </c>
      <c r="G4083" s="4">
        <v>44292</v>
      </c>
      <c r="M4083" s="1"/>
      <c r="N4083" s="1"/>
      <c r="O4083" s="1"/>
      <c r="P4083" s="1"/>
      <c r="Q4083" s="1"/>
      <c r="R4083" s="1"/>
    </row>
    <row r="4084" spans="2:18">
      <c r="B4084" s="1" t="s">
        <v>788</v>
      </c>
      <c r="C4084" s="2" t="s">
        <v>5</v>
      </c>
      <c r="D4084" s="2" t="s">
        <v>783</v>
      </c>
      <c r="E4084" s="3">
        <v>10.9</v>
      </c>
      <c r="F4084" s="3">
        <f>8/8</f>
        <v>1</v>
      </c>
      <c r="G4084" s="4">
        <v>45070</v>
      </c>
      <c r="M4084" s="1"/>
      <c r="N4084" s="1"/>
      <c r="O4084" s="1"/>
      <c r="P4084" s="1"/>
      <c r="Q4084" s="1"/>
      <c r="R4084" s="1"/>
    </row>
    <row r="4085" spans="2:18">
      <c r="B4085" s="1" t="s">
        <v>787</v>
      </c>
      <c r="C4085" s="2" t="s">
        <v>5</v>
      </c>
      <c r="D4085" s="2" t="s">
        <v>783</v>
      </c>
      <c r="E4085" s="3">
        <v>10.9</v>
      </c>
      <c r="F4085" s="3">
        <f>8/8</f>
        <v>1</v>
      </c>
      <c r="G4085" s="4">
        <v>45070</v>
      </c>
      <c r="M4085" s="1"/>
      <c r="N4085" s="1"/>
      <c r="O4085" s="1"/>
      <c r="P4085" s="1"/>
      <c r="Q4085" s="1"/>
      <c r="R4085" s="1"/>
    </row>
    <row r="4086" spans="2:18">
      <c r="B4086" s="1" t="s">
        <v>786</v>
      </c>
      <c r="C4086" s="2" t="s">
        <v>5</v>
      </c>
      <c r="D4086" s="2" t="s">
        <v>783</v>
      </c>
      <c r="E4086" s="3">
        <v>10.9</v>
      </c>
      <c r="F4086" s="3">
        <f>8/8</f>
        <v>1</v>
      </c>
      <c r="G4086" s="4">
        <v>45070</v>
      </c>
      <c r="M4086" s="1"/>
      <c r="N4086" s="1"/>
      <c r="O4086" s="1"/>
      <c r="P4086" s="1"/>
      <c r="Q4086" s="1"/>
      <c r="R4086" s="1"/>
    </row>
    <row r="4087" spans="2:18">
      <c r="B4087" s="1" t="s">
        <v>785</v>
      </c>
      <c r="C4087" s="2" t="s">
        <v>5</v>
      </c>
      <c r="D4087" s="2" t="s">
        <v>783</v>
      </c>
      <c r="E4087" s="3">
        <v>10.9</v>
      </c>
      <c r="F4087" s="3">
        <f>8/8</f>
        <v>1</v>
      </c>
      <c r="G4087" s="4">
        <v>45070</v>
      </c>
      <c r="M4087" s="1"/>
      <c r="N4087" s="1"/>
      <c r="O4087" s="1"/>
      <c r="P4087" s="1"/>
      <c r="Q4087" s="1"/>
      <c r="R4087" s="1"/>
    </row>
    <row r="4088" spans="2:18">
      <c r="B4088" s="1" t="s">
        <v>784</v>
      </c>
      <c r="C4088" s="2" t="s">
        <v>5</v>
      </c>
      <c r="D4088" s="2" t="s">
        <v>783</v>
      </c>
      <c r="E4088" s="3">
        <v>10.9</v>
      </c>
      <c r="F4088" s="3">
        <f>8/8</f>
        <v>1</v>
      </c>
      <c r="G4088" s="4">
        <v>45070</v>
      </c>
      <c r="M4088" s="1"/>
      <c r="N4088" s="1"/>
      <c r="O4088" s="1"/>
      <c r="P4088" s="1"/>
      <c r="Q4088" s="1"/>
      <c r="R4088" s="1"/>
    </row>
    <row r="4089" spans="2:18">
      <c r="B4089" s="1" t="s">
        <v>782</v>
      </c>
      <c r="C4089" s="2" t="s">
        <v>4</v>
      </c>
      <c r="D4089" s="2" t="s">
        <v>701</v>
      </c>
      <c r="E4089" s="3">
        <v>7.2</v>
      </c>
      <c r="F4089" s="3">
        <v>1</v>
      </c>
      <c r="G4089" s="4">
        <v>44508</v>
      </c>
      <c r="M4089" s="1"/>
      <c r="N4089" s="1"/>
      <c r="O4089" s="1"/>
      <c r="P4089" s="1"/>
      <c r="Q4089" s="1"/>
      <c r="R4089" s="1"/>
    </row>
    <row r="4090" spans="2:18">
      <c r="B4090" s="1" t="s">
        <v>781</v>
      </c>
      <c r="C4090" s="2" t="s">
        <v>4</v>
      </c>
      <c r="D4090" s="2" t="s">
        <v>701</v>
      </c>
      <c r="E4090" s="3">
        <v>7.2</v>
      </c>
      <c r="F4090" s="3">
        <v>1</v>
      </c>
      <c r="G4090" s="4">
        <v>44508</v>
      </c>
      <c r="M4090" s="1"/>
      <c r="N4090" s="1"/>
      <c r="O4090" s="1"/>
      <c r="P4090" s="1"/>
      <c r="Q4090" s="1"/>
      <c r="R4090" s="1"/>
    </row>
    <row r="4091" spans="2:18">
      <c r="B4091" s="1" t="s">
        <v>780</v>
      </c>
      <c r="C4091" s="11" t="s">
        <v>670</v>
      </c>
      <c r="D4091" s="11" t="s">
        <v>779</v>
      </c>
      <c r="E4091" s="10">
        <v>3</v>
      </c>
      <c r="F4091" s="10">
        <v>1</v>
      </c>
      <c r="G4091" s="9">
        <v>44183</v>
      </c>
      <c r="M4091" s="1"/>
      <c r="N4091" s="1"/>
      <c r="O4091" s="1"/>
      <c r="P4091" s="1"/>
      <c r="Q4091" s="1"/>
      <c r="R4091" s="1"/>
    </row>
    <row r="4092" spans="2:18">
      <c r="B4092" s="1" t="s">
        <v>778</v>
      </c>
      <c r="C4092" s="2" t="s">
        <v>670</v>
      </c>
      <c r="D4092" s="2" t="s">
        <v>776</v>
      </c>
      <c r="E4092" s="3">
        <v>4.5</v>
      </c>
      <c r="F4092" s="3">
        <v>1</v>
      </c>
      <c r="G4092" s="4">
        <v>44691</v>
      </c>
      <c r="M4092" s="1"/>
      <c r="N4092" s="1"/>
      <c r="O4092" s="1"/>
      <c r="P4092" s="1"/>
      <c r="Q4092" s="1"/>
      <c r="R4092" s="1"/>
    </row>
    <row r="4093" spans="2:18">
      <c r="B4093" s="1" t="s">
        <v>777</v>
      </c>
      <c r="C4093" s="2" t="s">
        <v>670</v>
      </c>
      <c r="D4093" s="2" t="s">
        <v>776</v>
      </c>
      <c r="E4093" s="3">
        <v>4.5</v>
      </c>
      <c r="F4093" s="3">
        <v>1</v>
      </c>
      <c r="G4093" s="4">
        <v>44691</v>
      </c>
      <c r="M4093" s="1"/>
      <c r="N4093" s="1"/>
      <c r="O4093" s="1"/>
      <c r="P4093" s="1"/>
      <c r="Q4093" s="1"/>
      <c r="R4093" s="1"/>
    </row>
    <row r="4094" spans="2:18">
      <c r="G4094" s="4"/>
      <c r="M4094" s="1"/>
      <c r="N4094" s="1"/>
      <c r="O4094" s="1"/>
      <c r="P4094" s="1"/>
      <c r="Q4094" s="1"/>
      <c r="R4094" s="1"/>
    </row>
    <row r="4095" spans="2:18">
      <c r="B4095" s="1" t="s">
        <v>772</v>
      </c>
      <c r="C4095" s="2" t="s">
        <v>4</v>
      </c>
      <c r="D4095" s="2" t="s">
        <v>771</v>
      </c>
      <c r="E4095" s="3">
        <v>10</v>
      </c>
      <c r="F4095" s="3">
        <v>1</v>
      </c>
      <c r="G4095" s="4">
        <v>44858</v>
      </c>
      <c r="M4095" s="1"/>
      <c r="N4095" s="1"/>
      <c r="O4095" s="1"/>
      <c r="P4095" s="1"/>
      <c r="Q4095" s="1"/>
      <c r="R4095" s="1"/>
    </row>
    <row r="4096" spans="2:18">
      <c r="B4096" s="1" t="s">
        <v>633</v>
      </c>
      <c r="C4096" s="2" t="s">
        <v>4</v>
      </c>
      <c r="D4096" s="2" t="s">
        <v>632</v>
      </c>
      <c r="E4096" s="3">
        <v>3</v>
      </c>
      <c r="F4096" s="3">
        <v>1</v>
      </c>
      <c r="G4096" s="4">
        <v>44539</v>
      </c>
      <c r="M4096" s="1"/>
      <c r="N4096" s="1"/>
      <c r="O4096" s="1"/>
      <c r="P4096" s="1"/>
      <c r="Q4096" s="1"/>
      <c r="R4096" s="1"/>
    </row>
    <row r="4097" spans="2:18">
      <c r="B4097" s="1" t="s">
        <v>601</v>
      </c>
      <c r="C4097" s="2" t="s">
        <v>5</v>
      </c>
      <c r="D4097" s="2" t="s">
        <v>599</v>
      </c>
      <c r="E4097" s="3">
        <v>8</v>
      </c>
      <c r="F4097" s="3">
        <v>1</v>
      </c>
      <c r="G4097" s="4">
        <v>43249</v>
      </c>
      <c r="M4097" s="1"/>
      <c r="N4097" s="1"/>
      <c r="O4097" s="1"/>
      <c r="P4097" s="1"/>
      <c r="Q4097" s="1"/>
      <c r="R4097" s="1"/>
    </row>
    <row r="4098" spans="2:18">
      <c r="B4098" s="1" t="s">
        <v>598</v>
      </c>
      <c r="C4098" s="2" t="s">
        <v>4</v>
      </c>
      <c r="D4098" s="2" t="s">
        <v>596</v>
      </c>
      <c r="E4098" s="3">
        <v>6</v>
      </c>
      <c r="F4098" s="3">
        <v>1</v>
      </c>
      <c r="G4098" s="4">
        <v>44781</v>
      </c>
      <c r="M4098" s="1"/>
      <c r="N4098" s="1"/>
      <c r="O4098" s="1"/>
      <c r="P4098" s="1"/>
      <c r="Q4098" s="1"/>
      <c r="R4098" s="1"/>
    </row>
    <row r="4099" spans="2:18">
      <c r="B4099" s="1" t="s">
        <v>583</v>
      </c>
      <c r="C4099" s="2" t="s">
        <v>278</v>
      </c>
      <c r="D4099" s="2" t="s">
        <v>582</v>
      </c>
      <c r="E4099" s="3">
        <v>2</v>
      </c>
      <c r="F4099" s="3">
        <v>1</v>
      </c>
      <c r="G4099" s="4">
        <v>44223</v>
      </c>
      <c r="M4099" s="1"/>
      <c r="N4099" s="1"/>
      <c r="O4099" s="1"/>
      <c r="P4099" s="1"/>
      <c r="Q4099" s="1"/>
      <c r="R4099" s="1"/>
    </row>
    <row r="4100" spans="2:18">
      <c r="B4100" s="1" t="s">
        <v>579</v>
      </c>
      <c r="C4100" s="2" t="s">
        <v>4</v>
      </c>
      <c r="D4100" s="2" t="s">
        <v>573</v>
      </c>
      <c r="E4100" s="3">
        <v>10</v>
      </c>
      <c r="F4100" s="3">
        <v>1</v>
      </c>
      <c r="G4100" s="4">
        <v>44887</v>
      </c>
      <c r="M4100" s="1"/>
      <c r="N4100" s="1"/>
      <c r="O4100" s="1"/>
      <c r="P4100" s="1"/>
      <c r="Q4100" s="1"/>
      <c r="R4100" s="1"/>
    </row>
    <row r="4101" spans="2:18">
      <c r="B4101" s="1" t="s">
        <v>578</v>
      </c>
      <c r="C4101" s="2" t="s">
        <v>4</v>
      </c>
      <c r="D4101" s="2" t="s">
        <v>573</v>
      </c>
      <c r="E4101" s="3">
        <v>10</v>
      </c>
      <c r="F4101" s="3">
        <v>1</v>
      </c>
      <c r="G4101" s="4">
        <v>44887</v>
      </c>
      <c r="M4101" s="1"/>
      <c r="N4101" s="1"/>
      <c r="O4101" s="1"/>
      <c r="P4101" s="1"/>
      <c r="Q4101" s="1"/>
      <c r="R4101" s="1"/>
    </row>
    <row r="4102" spans="2:18">
      <c r="B4102" s="1" t="s">
        <v>576</v>
      </c>
      <c r="C4102" s="2" t="s">
        <v>4</v>
      </c>
      <c r="D4102" s="2" t="s">
        <v>573</v>
      </c>
      <c r="E4102" s="3">
        <v>10</v>
      </c>
      <c r="F4102" s="3">
        <v>1</v>
      </c>
      <c r="G4102" s="4">
        <v>44887</v>
      </c>
      <c r="M4102" s="1"/>
      <c r="N4102" s="1"/>
      <c r="O4102" s="1"/>
      <c r="P4102" s="1"/>
      <c r="Q4102" s="1"/>
      <c r="R4102" s="1"/>
    </row>
    <row r="4103" spans="2:18">
      <c r="B4103" s="1" t="s">
        <v>575</v>
      </c>
      <c r="C4103" s="2" t="s">
        <v>4</v>
      </c>
      <c r="D4103" s="2" t="s">
        <v>573</v>
      </c>
      <c r="E4103" s="3">
        <v>10</v>
      </c>
      <c r="F4103" s="3">
        <v>1</v>
      </c>
      <c r="G4103" s="4">
        <v>44887</v>
      </c>
      <c r="M4103" s="1"/>
      <c r="N4103" s="1"/>
      <c r="O4103" s="1"/>
      <c r="P4103" s="1"/>
      <c r="Q4103" s="1"/>
      <c r="R4103" s="1"/>
    </row>
    <row r="4104" spans="2:18">
      <c r="B4104" s="1" t="s">
        <v>574</v>
      </c>
      <c r="C4104" s="2" t="s">
        <v>4</v>
      </c>
      <c r="D4104" s="2" t="s">
        <v>573</v>
      </c>
      <c r="E4104" s="3">
        <v>10</v>
      </c>
      <c r="F4104" s="3">
        <v>1</v>
      </c>
      <c r="G4104" s="4">
        <v>44887</v>
      </c>
      <c r="M4104" s="1"/>
      <c r="N4104" s="1"/>
      <c r="O4104" s="1"/>
      <c r="P4104" s="1"/>
      <c r="Q4104" s="1"/>
      <c r="R4104" s="1"/>
    </row>
    <row r="4105" spans="2:18">
      <c r="B4105" s="1" t="s">
        <v>484</v>
      </c>
      <c r="C4105" s="2" t="s">
        <v>4</v>
      </c>
      <c r="D4105" s="2" t="s">
        <v>483</v>
      </c>
      <c r="E4105" s="3">
        <v>2.5</v>
      </c>
      <c r="F4105" s="3">
        <v>1</v>
      </c>
      <c r="G4105" s="4">
        <v>44305</v>
      </c>
      <c r="M4105" s="1"/>
      <c r="N4105" s="1"/>
      <c r="O4105" s="1"/>
      <c r="P4105" s="1"/>
      <c r="Q4105" s="1"/>
      <c r="R4105" s="1"/>
    </row>
    <row r="4106" spans="2:18">
      <c r="B4106" s="1" t="s">
        <v>474</v>
      </c>
      <c r="C4106" s="2" t="s">
        <v>4</v>
      </c>
      <c r="D4106" s="2" t="s">
        <v>469</v>
      </c>
      <c r="E4106" s="3">
        <v>6</v>
      </c>
      <c r="F4106" s="3">
        <v>1</v>
      </c>
      <c r="G4106" s="4">
        <v>45104</v>
      </c>
      <c r="M4106" s="1"/>
      <c r="N4106" s="1"/>
      <c r="O4106" s="1"/>
      <c r="P4106" s="1"/>
      <c r="Q4106" s="1"/>
      <c r="R4106" s="1"/>
    </row>
    <row r="4107" spans="2:18">
      <c r="B4107" s="1" t="s">
        <v>473</v>
      </c>
      <c r="C4107" s="2" t="s">
        <v>4</v>
      </c>
      <c r="D4107" s="2" t="s">
        <v>469</v>
      </c>
      <c r="E4107" s="3">
        <v>6</v>
      </c>
      <c r="F4107" s="3">
        <v>1</v>
      </c>
      <c r="G4107" s="4">
        <v>45104</v>
      </c>
      <c r="M4107" s="1"/>
      <c r="N4107" s="1"/>
      <c r="O4107" s="1"/>
      <c r="P4107" s="1"/>
      <c r="Q4107" s="1"/>
      <c r="R4107" s="1"/>
    </row>
    <row r="4108" spans="2:18">
      <c r="B4108" s="1" t="s">
        <v>471</v>
      </c>
      <c r="C4108" s="2" t="s">
        <v>4</v>
      </c>
      <c r="D4108" s="2" t="s">
        <v>469</v>
      </c>
      <c r="E4108" s="3">
        <v>6</v>
      </c>
      <c r="F4108" s="3">
        <v>1</v>
      </c>
      <c r="G4108" s="4">
        <v>45104</v>
      </c>
      <c r="M4108" s="1"/>
      <c r="N4108" s="1"/>
      <c r="O4108" s="1"/>
      <c r="P4108" s="1"/>
      <c r="Q4108" s="1"/>
      <c r="R4108" s="1"/>
    </row>
    <row r="4109" spans="2:18">
      <c r="B4109" s="1" t="s">
        <v>470</v>
      </c>
      <c r="C4109" s="2" t="s">
        <v>4</v>
      </c>
      <c r="D4109" s="2" t="s">
        <v>469</v>
      </c>
      <c r="E4109" s="3">
        <v>6</v>
      </c>
      <c r="F4109" s="3">
        <v>1</v>
      </c>
      <c r="G4109" s="4">
        <v>45104</v>
      </c>
      <c r="M4109" s="1"/>
      <c r="N4109" s="1"/>
      <c r="O4109" s="1"/>
      <c r="P4109" s="1"/>
      <c r="Q4109" s="1"/>
      <c r="R4109" s="1"/>
    </row>
    <row r="4110" spans="2:18">
      <c r="B4110" s="1" t="s">
        <v>330</v>
      </c>
      <c r="C4110" s="2" t="s">
        <v>4</v>
      </c>
      <c r="D4110" s="2" t="s">
        <v>329</v>
      </c>
      <c r="E4110" s="3">
        <v>5</v>
      </c>
      <c r="F4110" s="3">
        <v>1</v>
      </c>
      <c r="G4110" s="4">
        <v>43224</v>
      </c>
      <c r="L4110" s="1">
        <v>0</v>
      </c>
      <c r="M4110" s="1"/>
      <c r="N4110" s="1"/>
      <c r="O4110" s="1"/>
      <c r="P4110" s="1"/>
      <c r="Q4110" s="1"/>
      <c r="R4110" s="1"/>
    </row>
    <row r="4111" spans="2:18">
      <c r="G4111" s="4"/>
      <c r="M4111" s="1"/>
      <c r="N4111" s="1"/>
      <c r="O4111" s="1"/>
      <c r="P4111" s="1"/>
      <c r="Q4111" s="1"/>
      <c r="R4111" s="1"/>
    </row>
    <row r="4112" spans="2:18">
      <c r="B4112" s="1" t="s">
        <v>127</v>
      </c>
      <c r="C4112" s="2" t="s">
        <v>4</v>
      </c>
      <c r="D4112" s="2" t="s">
        <v>122</v>
      </c>
      <c r="E4112" s="3">
        <v>2</v>
      </c>
      <c r="F4112" s="3">
        <v>1</v>
      </c>
      <c r="G4112" s="4">
        <v>44658</v>
      </c>
    </row>
    <row r="4113" spans="2:18">
      <c r="B4113" s="91" t="s">
        <v>5910</v>
      </c>
      <c r="C4113" s="92" t="s">
        <v>4</v>
      </c>
      <c r="D4113" s="92" t="s">
        <v>2069</v>
      </c>
      <c r="E4113" s="3">
        <v>5</v>
      </c>
      <c r="F4113" s="3">
        <v>1</v>
      </c>
      <c r="G4113" s="4">
        <v>43466</v>
      </c>
    </row>
    <row r="4114" spans="2:18">
      <c r="B4114" s="91" t="s">
        <v>5993</v>
      </c>
      <c r="C4114" s="92" t="s">
        <v>5</v>
      </c>
      <c r="D4114" s="92" t="s">
        <v>5990</v>
      </c>
      <c r="E4114" s="3">
        <v>3</v>
      </c>
      <c r="F4114" s="3">
        <v>1</v>
      </c>
      <c r="G4114" s="4">
        <v>44140</v>
      </c>
    </row>
    <row r="4115" spans="2:18">
      <c r="B4115" s="238" t="s">
        <v>7427</v>
      </c>
      <c r="C4115" s="241" t="s">
        <v>5</v>
      </c>
      <c r="D4115" s="241" t="s">
        <v>2010</v>
      </c>
      <c r="E4115" s="3">
        <v>9</v>
      </c>
      <c r="F4115" s="3">
        <f>6/4</f>
        <v>1.5</v>
      </c>
      <c r="G4115" s="4">
        <v>44540</v>
      </c>
    </row>
    <row r="4116" spans="2:18">
      <c r="B4116" s="91" t="s">
        <v>5994</v>
      </c>
      <c r="C4116" s="92" t="s">
        <v>5</v>
      </c>
      <c r="D4116" s="92" t="s">
        <v>5990</v>
      </c>
      <c r="E4116" s="3">
        <v>3</v>
      </c>
      <c r="F4116" s="3">
        <v>1</v>
      </c>
      <c r="G4116" s="4">
        <v>44140</v>
      </c>
    </row>
    <row r="4117" spans="2:18">
      <c r="B4117" s="91"/>
      <c r="C4117" s="92"/>
      <c r="D4117" s="92"/>
      <c r="G4117" s="4"/>
    </row>
    <row r="4118" spans="2:18">
      <c r="B4118" s="152"/>
      <c r="G4118" s="4"/>
    </row>
    <row r="4119" spans="2:18">
      <c r="B4119" s="152"/>
      <c r="G4119" s="4"/>
    </row>
    <row r="4120" spans="2:18">
      <c r="B4120" s="152" t="s">
        <v>6391</v>
      </c>
      <c r="C4120" s="2" t="s">
        <v>5</v>
      </c>
      <c r="D4120" s="2" t="s">
        <v>2039</v>
      </c>
      <c r="E4120" s="3">
        <v>18</v>
      </c>
      <c r="F4120" s="3">
        <v>1</v>
      </c>
      <c r="G4120" s="4">
        <v>43445</v>
      </c>
    </row>
    <row r="4121" spans="2:18">
      <c r="B4121" s="152" t="s">
        <v>6548</v>
      </c>
      <c r="C4121" s="153" t="s">
        <v>5</v>
      </c>
      <c r="D4121" s="153" t="s">
        <v>2035</v>
      </c>
      <c r="E4121" s="3">
        <v>9.1</v>
      </c>
      <c r="F4121" s="3">
        <v>1</v>
      </c>
      <c r="G4121" s="4">
        <v>42087</v>
      </c>
    </row>
    <row r="4122" spans="2:18">
      <c r="B4122" s="152" t="s">
        <v>6549</v>
      </c>
      <c r="C4122" s="153" t="s">
        <v>5</v>
      </c>
      <c r="D4122" s="153" t="s">
        <v>2035</v>
      </c>
      <c r="E4122" s="3">
        <v>9.1</v>
      </c>
      <c r="F4122" s="3">
        <v>1</v>
      </c>
      <c r="G4122" s="4">
        <v>42087</v>
      </c>
    </row>
    <row r="4123" spans="2:18">
      <c r="B4123" s="152" t="s">
        <v>6558</v>
      </c>
      <c r="C4123" s="153" t="s">
        <v>5</v>
      </c>
      <c r="D4123" s="153" t="s">
        <v>2034</v>
      </c>
      <c r="E4123" s="3">
        <v>5</v>
      </c>
      <c r="F4123" s="3">
        <v>1</v>
      </c>
      <c r="G4123" s="4">
        <v>43888</v>
      </c>
    </row>
    <row r="4124" spans="2:18">
      <c r="B4124" s="176" t="s">
        <v>6687</v>
      </c>
      <c r="C4124" s="177" t="s">
        <v>4</v>
      </c>
      <c r="D4124" s="177" t="s">
        <v>6681</v>
      </c>
      <c r="E4124" s="3">
        <v>5</v>
      </c>
      <c r="F4124" s="3">
        <v>1</v>
      </c>
      <c r="G4124" s="4">
        <v>44073</v>
      </c>
    </row>
    <row r="4125" spans="2:18">
      <c r="B4125" s="176" t="s">
        <v>6688</v>
      </c>
      <c r="C4125" s="177" t="s">
        <v>4</v>
      </c>
      <c r="D4125" s="177" t="s">
        <v>6681</v>
      </c>
      <c r="E4125" s="3">
        <v>5</v>
      </c>
      <c r="F4125" s="3">
        <v>1</v>
      </c>
      <c r="G4125" s="4">
        <v>44073</v>
      </c>
    </row>
    <row r="4126" spans="2:18">
      <c r="B4126" s="176" t="s">
        <v>6689</v>
      </c>
      <c r="C4126" s="177" t="s">
        <v>4</v>
      </c>
      <c r="D4126" s="177" t="s">
        <v>6681</v>
      </c>
      <c r="E4126" s="3">
        <v>5</v>
      </c>
      <c r="F4126" s="3">
        <v>1</v>
      </c>
      <c r="G4126" s="4">
        <v>44073</v>
      </c>
    </row>
    <row r="4127" spans="2:18">
      <c r="B4127" s="176" t="s">
        <v>6712</v>
      </c>
      <c r="C4127" s="177" t="s">
        <v>4</v>
      </c>
      <c r="D4127" s="177" t="s">
        <v>2027</v>
      </c>
      <c r="E4127" s="3">
        <v>5</v>
      </c>
      <c r="F4127" s="3">
        <v>1</v>
      </c>
      <c r="G4127" s="4">
        <v>44105</v>
      </c>
    </row>
    <row r="4128" spans="2:18">
      <c r="B4128" s="1" t="s">
        <v>571</v>
      </c>
      <c r="C4128" s="2" t="s">
        <v>4</v>
      </c>
      <c r="D4128" s="2" t="s">
        <v>565</v>
      </c>
      <c r="E4128" s="3">
        <v>9</v>
      </c>
      <c r="F4128" s="3">
        <f t="shared" ref="F4128:F4133" si="10">5/6</f>
        <v>0.83333333333333337</v>
      </c>
      <c r="G4128" s="4">
        <v>44859</v>
      </c>
      <c r="M4128" s="1"/>
      <c r="N4128" s="1"/>
      <c r="O4128" s="1"/>
      <c r="P4128" s="1"/>
      <c r="Q4128" s="1"/>
      <c r="R4128" s="1"/>
    </row>
    <row r="4129" spans="2:18">
      <c r="B4129" s="1" t="s">
        <v>570</v>
      </c>
      <c r="C4129" s="2" t="s">
        <v>4</v>
      </c>
      <c r="D4129" s="2" t="s">
        <v>565</v>
      </c>
      <c r="E4129" s="3">
        <v>9</v>
      </c>
      <c r="F4129" s="3">
        <f t="shared" si="10"/>
        <v>0.83333333333333337</v>
      </c>
      <c r="G4129" s="4">
        <v>44859</v>
      </c>
      <c r="M4129" s="1"/>
      <c r="N4129" s="1"/>
      <c r="O4129" s="1"/>
      <c r="P4129" s="1"/>
      <c r="Q4129" s="1"/>
      <c r="R4129" s="1"/>
    </row>
    <row r="4130" spans="2:18">
      <c r="B4130" s="1" t="s">
        <v>569</v>
      </c>
      <c r="C4130" s="2" t="s">
        <v>4</v>
      </c>
      <c r="D4130" s="2" t="s">
        <v>565</v>
      </c>
      <c r="E4130" s="3">
        <v>9</v>
      </c>
      <c r="F4130" s="3">
        <f t="shared" si="10"/>
        <v>0.83333333333333337</v>
      </c>
      <c r="G4130" s="4">
        <v>44859</v>
      </c>
      <c r="M4130" s="1"/>
      <c r="N4130" s="1"/>
      <c r="O4130" s="1"/>
      <c r="P4130" s="1"/>
      <c r="Q4130" s="1"/>
      <c r="R4130" s="1"/>
    </row>
    <row r="4131" spans="2:18">
      <c r="B4131" s="1" t="s">
        <v>568</v>
      </c>
      <c r="C4131" s="2" t="s">
        <v>4</v>
      </c>
      <c r="D4131" s="2" t="s">
        <v>565</v>
      </c>
      <c r="E4131" s="3">
        <v>9</v>
      </c>
      <c r="F4131" s="3">
        <f t="shared" si="10"/>
        <v>0.83333333333333337</v>
      </c>
      <c r="G4131" s="4">
        <v>44859</v>
      </c>
      <c r="M4131" s="1"/>
      <c r="N4131" s="1"/>
      <c r="O4131" s="1"/>
      <c r="P4131" s="1"/>
      <c r="Q4131" s="1"/>
      <c r="R4131" s="1"/>
    </row>
    <row r="4132" spans="2:18">
      <c r="B4132" s="1" t="s">
        <v>567</v>
      </c>
      <c r="C4132" s="2" t="s">
        <v>4</v>
      </c>
      <c r="D4132" s="2" t="s">
        <v>565</v>
      </c>
      <c r="E4132" s="3">
        <v>9</v>
      </c>
      <c r="F4132" s="3">
        <f t="shared" si="10"/>
        <v>0.83333333333333337</v>
      </c>
      <c r="G4132" s="4">
        <v>44859</v>
      </c>
      <c r="M4132" s="1"/>
      <c r="N4132" s="1"/>
      <c r="O4132" s="1"/>
      <c r="P4132" s="1"/>
      <c r="Q4132" s="1"/>
      <c r="R4132" s="1"/>
    </row>
    <row r="4133" spans="2:18">
      <c r="B4133" s="1" t="s">
        <v>566</v>
      </c>
      <c r="C4133" s="2" t="s">
        <v>4</v>
      </c>
      <c r="D4133" s="2" t="s">
        <v>565</v>
      </c>
      <c r="E4133" s="3">
        <v>9</v>
      </c>
      <c r="F4133" s="3">
        <f t="shared" si="10"/>
        <v>0.83333333333333337</v>
      </c>
      <c r="G4133" s="4">
        <v>44859</v>
      </c>
      <c r="M4133" s="1"/>
      <c r="N4133" s="1"/>
      <c r="O4133" s="1"/>
      <c r="P4133" s="1"/>
      <c r="Q4133" s="1"/>
      <c r="R4133" s="1"/>
    </row>
    <row r="4134" spans="2:18">
      <c r="B4134" s="1" t="s">
        <v>770</v>
      </c>
      <c r="C4134" s="2" t="s">
        <v>4</v>
      </c>
      <c r="D4134" s="2" t="s">
        <v>722</v>
      </c>
      <c r="E4134" s="3">
        <v>3</v>
      </c>
      <c r="F4134" s="3">
        <v>0.75</v>
      </c>
      <c r="G4134" s="4">
        <v>44011</v>
      </c>
      <c r="M4134" s="1"/>
      <c r="N4134" s="1"/>
      <c r="O4134" s="1"/>
      <c r="P4134" s="1"/>
      <c r="Q4134" s="1"/>
      <c r="R4134" s="1"/>
    </row>
    <row r="4135" spans="2:18">
      <c r="B4135" s="1" t="s">
        <v>769</v>
      </c>
      <c r="C4135" s="2" t="s">
        <v>4</v>
      </c>
      <c r="D4135" s="2" t="s">
        <v>722</v>
      </c>
      <c r="E4135" s="3">
        <v>3</v>
      </c>
      <c r="F4135" s="3">
        <v>0.75</v>
      </c>
      <c r="G4135" s="4">
        <v>44011</v>
      </c>
      <c r="M4135" s="1"/>
      <c r="N4135" s="1"/>
      <c r="O4135" s="1"/>
      <c r="P4135" s="1"/>
      <c r="Q4135" s="1"/>
      <c r="R4135" s="1"/>
    </row>
    <row r="4136" spans="2:18">
      <c r="B4136" s="1" t="s">
        <v>340</v>
      </c>
      <c r="C4136" s="2" t="s">
        <v>4</v>
      </c>
      <c r="D4136" s="2" t="s">
        <v>336</v>
      </c>
      <c r="E4136" s="3">
        <v>3</v>
      </c>
      <c r="F4136" s="3">
        <v>0.75</v>
      </c>
      <c r="G4136" s="4">
        <v>44327</v>
      </c>
      <c r="M4136" s="1"/>
      <c r="N4136" s="1"/>
      <c r="O4136" s="1"/>
      <c r="P4136" s="1"/>
      <c r="Q4136" s="1"/>
      <c r="R4136" s="1"/>
    </row>
    <row r="4137" spans="2:18">
      <c r="B4137" s="1" t="s">
        <v>339</v>
      </c>
      <c r="C4137" s="2" t="s">
        <v>4</v>
      </c>
      <c r="D4137" s="2" t="s">
        <v>336</v>
      </c>
      <c r="E4137" s="3">
        <v>3</v>
      </c>
      <c r="F4137" s="3">
        <v>0.75</v>
      </c>
      <c r="G4137" s="4">
        <v>44327</v>
      </c>
      <c r="M4137" s="1"/>
      <c r="N4137" s="1"/>
      <c r="O4137" s="1"/>
      <c r="P4137" s="1"/>
      <c r="Q4137" s="1"/>
      <c r="R4137" s="1"/>
    </row>
    <row r="4138" spans="2:18">
      <c r="B4138" s="1" t="s">
        <v>425</v>
      </c>
      <c r="C4138" s="2" t="s">
        <v>4</v>
      </c>
      <c r="D4138" s="2" t="s">
        <v>424</v>
      </c>
      <c r="E4138" s="3">
        <v>7</v>
      </c>
      <c r="F4138" s="3">
        <v>0.7142857142857143</v>
      </c>
      <c r="G4138" s="4">
        <v>43046</v>
      </c>
      <c r="M4138" s="1"/>
      <c r="N4138" s="1"/>
      <c r="O4138" s="1"/>
      <c r="P4138" s="1"/>
      <c r="Q4138" s="1"/>
      <c r="R4138" s="1"/>
    </row>
    <row r="4139" spans="2:18">
      <c r="B4139" s="1" t="s">
        <v>768</v>
      </c>
      <c r="C4139" s="2" t="s">
        <v>4</v>
      </c>
      <c r="D4139" s="2" t="s">
        <v>765</v>
      </c>
      <c r="E4139" s="3">
        <v>4</v>
      </c>
      <c r="F4139" s="3">
        <f>2/3</f>
        <v>0.66666666666666663</v>
      </c>
      <c r="G4139" s="4">
        <v>45026</v>
      </c>
      <c r="M4139" s="1"/>
      <c r="N4139" s="1"/>
      <c r="O4139" s="1"/>
      <c r="P4139" s="1"/>
      <c r="Q4139" s="1"/>
      <c r="R4139" s="1"/>
    </row>
    <row r="4140" spans="2:18">
      <c r="B4140" s="1" t="s">
        <v>767</v>
      </c>
      <c r="C4140" s="2" t="s">
        <v>4</v>
      </c>
      <c r="D4140" s="2" t="s">
        <v>765</v>
      </c>
      <c r="E4140" s="3">
        <v>4</v>
      </c>
      <c r="F4140" s="3">
        <f>2/3</f>
        <v>0.66666666666666663</v>
      </c>
      <c r="G4140" s="4">
        <v>45026</v>
      </c>
      <c r="M4140" s="1"/>
      <c r="N4140" s="1"/>
      <c r="O4140" s="1"/>
      <c r="P4140" s="1"/>
      <c r="Q4140" s="1"/>
      <c r="R4140" s="1"/>
    </row>
    <row r="4141" spans="2:18">
      <c r="B4141" s="1" t="s">
        <v>766</v>
      </c>
      <c r="C4141" s="2" t="s">
        <v>4</v>
      </c>
      <c r="D4141" s="2" t="s">
        <v>765</v>
      </c>
      <c r="E4141" s="3">
        <v>4</v>
      </c>
      <c r="F4141" s="3">
        <f>2/3</f>
        <v>0.66666666666666663</v>
      </c>
      <c r="G4141" s="4">
        <v>45026</v>
      </c>
      <c r="M4141" s="1"/>
      <c r="N4141" s="1"/>
      <c r="O4141" s="1"/>
      <c r="P4141" s="1"/>
      <c r="Q4141" s="1"/>
      <c r="R4141" s="1"/>
    </row>
    <row r="4142" spans="2:18">
      <c r="B4142" s="1" t="s">
        <v>116</v>
      </c>
      <c r="C4142" s="2" t="s">
        <v>4</v>
      </c>
      <c r="D4142" s="2" t="s">
        <v>110</v>
      </c>
      <c r="E4142" s="3">
        <v>8</v>
      </c>
      <c r="F4142" s="3">
        <f t="shared" ref="F4142:F4147" si="11">5/8</f>
        <v>0.625</v>
      </c>
      <c r="G4142" s="4">
        <v>44063</v>
      </c>
    </row>
    <row r="4143" spans="2:18">
      <c r="B4143" s="1" t="s">
        <v>115</v>
      </c>
      <c r="C4143" s="2" t="s">
        <v>4</v>
      </c>
      <c r="D4143" s="2" t="s">
        <v>110</v>
      </c>
      <c r="E4143" s="3">
        <v>8</v>
      </c>
      <c r="F4143" s="3">
        <f t="shared" si="11"/>
        <v>0.625</v>
      </c>
      <c r="G4143" s="4">
        <v>44063</v>
      </c>
    </row>
    <row r="4144" spans="2:18">
      <c r="B4144" s="1" t="s">
        <v>114</v>
      </c>
      <c r="C4144" s="2" t="s">
        <v>4</v>
      </c>
      <c r="D4144" s="2" t="s">
        <v>110</v>
      </c>
      <c r="E4144" s="3">
        <v>8</v>
      </c>
      <c r="F4144" s="3">
        <f t="shared" si="11"/>
        <v>0.625</v>
      </c>
      <c r="G4144" s="4">
        <v>44063</v>
      </c>
    </row>
    <row r="4145" spans="2:18">
      <c r="B4145" s="1" t="s">
        <v>113</v>
      </c>
      <c r="C4145" s="2" t="s">
        <v>4</v>
      </c>
      <c r="D4145" s="2" t="s">
        <v>110</v>
      </c>
      <c r="E4145" s="3">
        <v>8</v>
      </c>
      <c r="F4145" s="3">
        <f t="shared" si="11"/>
        <v>0.625</v>
      </c>
      <c r="G4145" s="4">
        <v>44063</v>
      </c>
    </row>
    <row r="4146" spans="2:18">
      <c r="B4146" s="1" t="s">
        <v>112</v>
      </c>
      <c r="C4146" s="2" t="s">
        <v>4</v>
      </c>
      <c r="D4146" s="2" t="s">
        <v>110</v>
      </c>
      <c r="E4146" s="3">
        <v>8</v>
      </c>
      <c r="F4146" s="3">
        <f t="shared" si="11"/>
        <v>0.625</v>
      </c>
      <c r="G4146" s="4">
        <v>44063</v>
      </c>
    </row>
    <row r="4147" spans="2:18">
      <c r="B4147" s="1" t="s">
        <v>111</v>
      </c>
      <c r="C4147" s="2" t="s">
        <v>4</v>
      </c>
      <c r="D4147" s="2" t="s">
        <v>110</v>
      </c>
      <c r="E4147" s="3">
        <v>8</v>
      </c>
      <c r="F4147" s="3">
        <f t="shared" si="11"/>
        <v>0.625</v>
      </c>
      <c r="G4147" s="4">
        <v>44063</v>
      </c>
    </row>
    <row r="4148" spans="2:18">
      <c r="B4148" s="1" t="s">
        <v>438</v>
      </c>
      <c r="C4148" s="2" t="s">
        <v>7</v>
      </c>
      <c r="D4148" s="2" t="s">
        <v>435</v>
      </c>
      <c r="E4148" s="3">
        <v>1.8</v>
      </c>
      <c r="F4148" s="3">
        <v>0.6</v>
      </c>
      <c r="G4148" s="4">
        <v>43661</v>
      </c>
      <c r="M4148" s="1"/>
      <c r="N4148" s="1"/>
      <c r="O4148" s="1"/>
      <c r="P4148" s="1"/>
      <c r="Q4148" s="1"/>
      <c r="R4148" s="1"/>
    </row>
    <row r="4149" spans="2:18">
      <c r="B4149" s="1" t="s">
        <v>437</v>
      </c>
      <c r="C4149" s="2" t="s">
        <v>7</v>
      </c>
      <c r="D4149" s="2" t="s">
        <v>435</v>
      </c>
      <c r="E4149" s="3">
        <v>1.8</v>
      </c>
      <c r="F4149" s="3">
        <v>0.6</v>
      </c>
      <c r="G4149" s="4">
        <v>43661</v>
      </c>
      <c r="M4149" s="1"/>
      <c r="N4149" s="1"/>
      <c r="O4149" s="1"/>
      <c r="P4149" s="1"/>
      <c r="Q4149" s="1"/>
      <c r="R4149" s="1"/>
    </row>
    <row r="4150" spans="2:18">
      <c r="B4150" s="1" t="s">
        <v>762</v>
      </c>
      <c r="C4150" s="2" t="s">
        <v>4</v>
      </c>
      <c r="D4150" s="2" t="s">
        <v>663</v>
      </c>
      <c r="E4150" s="3">
        <v>4.5</v>
      </c>
      <c r="F4150" s="3">
        <v>0.5</v>
      </c>
      <c r="G4150" s="4">
        <v>44415</v>
      </c>
      <c r="M4150" s="1"/>
      <c r="N4150" s="1"/>
      <c r="O4150" s="1"/>
      <c r="P4150" s="1"/>
      <c r="Q4150" s="1"/>
      <c r="R4150" s="1"/>
    </row>
    <row r="4151" spans="2:18">
      <c r="B4151" s="1" t="s">
        <v>761</v>
      </c>
      <c r="C4151" s="2" t="s">
        <v>4</v>
      </c>
      <c r="D4151" s="2" t="s">
        <v>720</v>
      </c>
      <c r="E4151" s="3">
        <v>2.1</v>
      </c>
      <c r="F4151" s="3">
        <v>0.5</v>
      </c>
      <c r="G4151" s="4">
        <v>44455</v>
      </c>
      <c r="M4151" s="1"/>
      <c r="N4151" s="1"/>
      <c r="O4151" s="1"/>
      <c r="P4151" s="1"/>
      <c r="Q4151" s="1"/>
      <c r="R4151" s="1"/>
    </row>
    <row r="4152" spans="2:18">
      <c r="B4152" s="1" t="s">
        <v>760</v>
      </c>
      <c r="C4152" s="2" t="s">
        <v>4</v>
      </c>
      <c r="D4152" s="2" t="s">
        <v>730</v>
      </c>
      <c r="E4152" s="3">
        <v>4</v>
      </c>
      <c r="F4152" s="3">
        <v>0.5</v>
      </c>
      <c r="G4152" s="4">
        <v>44340</v>
      </c>
      <c r="M4152" s="1"/>
      <c r="N4152" s="1"/>
      <c r="O4152" s="1"/>
      <c r="P4152" s="1"/>
      <c r="Q4152" s="1"/>
      <c r="R4152" s="1"/>
    </row>
    <row r="4153" spans="2:18">
      <c r="B4153" s="1" t="s">
        <v>758</v>
      </c>
      <c r="C4153" s="2" t="s">
        <v>4</v>
      </c>
      <c r="D4153" s="2" t="s">
        <v>676</v>
      </c>
      <c r="E4153" s="3">
        <v>4.5</v>
      </c>
      <c r="F4153" s="3">
        <v>0.5</v>
      </c>
      <c r="G4153" s="4">
        <v>44362</v>
      </c>
      <c r="M4153" s="1"/>
      <c r="N4153" s="1"/>
      <c r="O4153" s="1"/>
      <c r="P4153" s="1"/>
      <c r="Q4153" s="1"/>
      <c r="R4153" s="1"/>
    </row>
    <row r="4154" spans="2:18">
      <c r="B4154" s="1" t="s">
        <v>757</v>
      </c>
      <c r="C4154" s="2" t="s">
        <v>4</v>
      </c>
      <c r="D4154" s="2" t="s">
        <v>672</v>
      </c>
      <c r="E4154" s="3">
        <v>3</v>
      </c>
      <c r="F4154" s="3">
        <v>0.5</v>
      </c>
      <c r="G4154" s="4">
        <v>43993</v>
      </c>
      <c r="M4154" s="1"/>
      <c r="N4154" s="1"/>
      <c r="O4154" s="1"/>
      <c r="P4154" s="1"/>
      <c r="Q4154" s="1"/>
      <c r="R4154" s="1"/>
    </row>
    <row r="4155" spans="2:18">
      <c r="B4155" s="1" t="s">
        <v>756</v>
      </c>
      <c r="C4155" s="2" t="s">
        <v>4</v>
      </c>
      <c r="D4155" s="2" t="s">
        <v>672</v>
      </c>
      <c r="E4155" s="3">
        <v>3</v>
      </c>
      <c r="F4155" s="3">
        <v>0.5</v>
      </c>
      <c r="G4155" s="4">
        <v>43993</v>
      </c>
      <c r="M4155" s="1"/>
      <c r="N4155" s="1"/>
      <c r="O4155" s="1"/>
      <c r="P4155" s="1"/>
      <c r="Q4155" s="1"/>
      <c r="R4155" s="1"/>
    </row>
    <row r="4156" spans="2:18">
      <c r="B4156" s="1" t="s">
        <v>754</v>
      </c>
      <c r="C4156" s="2" t="s">
        <v>4</v>
      </c>
      <c r="D4156" s="2" t="s">
        <v>640</v>
      </c>
      <c r="E4156" s="3">
        <v>2.2000000000000002</v>
      </c>
      <c r="F4156" s="3">
        <v>0.5</v>
      </c>
      <c r="G4156" s="4">
        <v>44959</v>
      </c>
      <c r="M4156" s="1"/>
      <c r="N4156" s="1"/>
      <c r="O4156" s="1"/>
      <c r="P4156" s="1"/>
      <c r="Q4156" s="1"/>
      <c r="R4156" s="1"/>
    </row>
    <row r="4157" spans="2:18">
      <c r="B4157" s="1" t="s">
        <v>753</v>
      </c>
      <c r="C4157" s="2" t="s">
        <v>4</v>
      </c>
      <c r="D4157" s="2" t="s">
        <v>640</v>
      </c>
      <c r="E4157" s="3">
        <v>2.2000000000000002</v>
      </c>
      <c r="F4157" s="3">
        <v>0.5</v>
      </c>
      <c r="G4157" s="4">
        <v>44959</v>
      </c>
      <c r="M4157" s="1"/>
      <c r="N4157" s="1"/>
      <c r="O4157" s="1"/>
      <c r="P4157" s="1"/>
      <c r="Q4157" s="1"/>
      <c r="R4157" s="1"/>
    </row>
    <row r="4158" spans="2:18">
      <c r="B4158" s="1" t="s">
        <v>752</v>
      </c>
      <c r="C4158" s="2" t="s">
        <v>4</v>
      </c>
      <c r="D4158" s="2" t="s">
        <v>719</v>
      </c>
      <c r="E4158" s="3">
        <v>2.9</v>
      </c>
      <c r="F4158" s="3">
        <v>0.5</v>
      </c>
      <c r="G4158" s="4">
        <v>44272</v>
      </c>
      <c r="M4158" s="1"/>
      <c r="N4158" s="1"/>
      <c r="O4158" s="1"/>
      <c r="P4158" s="1"/>
      <c r="Q4158" s="1"/>
      <c r="R4158" s="1"/>
    </row>
    <row r="4159" spans="2:18">
      <c r="B4159" s="1" t="s">
        <v>751</v>
      </c>
      <c r="C4159" s="2" t="s">
        <v>4</v>
      </c>
      <c r="D4159" s="2" t="s">
        <v>638</v>
      </c>
      <c r="E4159" s="3">
        <v>1.5</v>
      </c>
      <c r="F4159" s="3">
        <v>0.5</v>
      </c>
      <c r="G4159" s="4">
        <v>44098</v>
      </c>
      <c r="M4159" s="1"/>
      <c r="N4159" s="1"/>
      <c r="O4159" s="1"/>
      <c r="P4159" s="1"/>
      <c r="Q4159" s="1"/>
      <c r="R4159" s="1"/>
    </row>
    <row r="4160" spans="2:18">
      <c r="B4160" s="1" t="s">
        <v>750</v>
      </c>
      <c r="C4160" s="2" t="s">
        <v>4</v>
      </c>
      <c r="D4160" s="2" t="s">
        <v>403</v>
      </c>
      <c r="E4160" s="3">
        <v>3.1</v>
      </c>
      <c r="F4160" s="3">
        <v>0.5</v>
      </c>
      <c r="G4160" s="4">
        <v>43580</v>
      </c>
      <c r="M4160" s="1"/>
      <c r="N4160" s="1"/>
      <c r="O4160" s="1"/>
      <c r="P4160" s="1"/>
      <c r="Q4160" s="1"/>
      <c r="R4160" s="1"/>
    </row>
    <row r="4161" spans="2:18">
      <c r="G4161" s="4"/>
      <c r="M4161" s="1"/>
      <c r="N4161" s="1"/>
      <c r="O4161" s="1"/>
      <c r="P4161" s="1"/>
      <c r="Q4161" s="1"/>
      <c r="R4161" s="1"/>
    </row>
    <row r="4162" spans="2:18">
      <c r="B4162" s="1" t="s">
        <v>597</v>
      </c>
      <c r="C4162" s="2" t="s">
        <v>278</v>
      </c>
      <c r="D4162" s="2" t="s">
        <v>596</v>
      </c>
      <c r="E4162" s="3">
        <v>1</v>
      </c>
      <c r="F4162" s="3">
        <v>0.5</v>
      </c>
      <c r="G4162" s="4">
        <v>44415</v>
      </c>
      <c r="M4162" s="1"/>
      <c r="N4162" s="1"/>
      <c r="O4162" s="1"/>
      <c r="P4162" s="1"/>
      <c r="Q4162" s="1"/>
      <c r="R4162" s="1"/>
    </row>
    <row r="4163" spans="2:18">
      <c r="C4163" s="227" t="s">
        <v>4</v>
      </c>
      <c r="D4163" s="2" t="s">
        <v>2017</v>
      </c>
      <c r="E4163" s="3">
        <v>4</v>
      </c>
      <c r="F4163" s="3">
        <v>1</v>
      </c>
      <c r="G4163" s="4">
        <v>44097</v>
      </c>
      <c r="M4163" s="1"/>
      <c r="N4163" s="1"/>
      <c r="O4163" s="1"/>
      <c r="P4163" s="1"/>
      <c r="Q4163" s="1"/>
      <c r="R4163" s="1"/>
    </row>
    <row r="4164" spans="2:18">
      <c r="C4164" s="227"/>
      <c r="G4164" s="4"/>
      <c r="M4164" s="1"/>
      <c r="N4164" s="1"/>
      <c r="O4164" s="1"/>
      <c r="P4164" s="1"/>
      <c r="Q4164" s="1"/>
      <c r="R4164" s="1"/>
    </row>
    <row r="4165" spans="2:18">
      <c r="B4165" s="1" t="s">
        <v>528</v>
      </c>
      <c r="C4165" s="2" t="s">
        <v>5</v>
      </c>
      <c r="D4165" s="2" t="s">
        <v>520</v>
      </c>
      <c r="E4165" s="3">
        <v>7</v>
      </c>
      <c r="F4165" s="3">
        <v>0.5</v>
      </c>
      <c r="G4165" s="4">
        <v>42885</v>
      </c>
      <c r="M4165" s="1"/>
      <c r="N4165" s="1"/>
      <c r="O4165" s="1"/>
      <c r="P4165" s="1"/>
      <c r="Q4165" s="1"/>
      <c r="R4165" s="1"/>
    </row>
    <row r="4166" spans="2:18">
      <c r="B4166" s="1" t="s">
        <v>527</v>
      </c>
      <c r="C4166" s="2" t="s">
        <v>4</v>
      </c>
      <c r="D4166" s="2" t="s">
        <v>520</v>
      </c>
      <c r="E4166" s="3">
        <v>3</v>
      </c>
      <c r="F4166" s="3">
        <v>0.5</v>
      </c>
      <c r="G4166" s="4">
        <v>42606</v>
      </c>
      <c r="M4166" s="1"/>
      <c r="N4166" s="1"/>
      <c r="O4166" s="1"/>
      <c r="P4166" s="1"/>
      <c r="Q4166" s="1"/>
      <c r="R4166" s="1"/>
    </row>
    <row r="4167" spans="2:18">
      <c r="B4167" s="1" t="s">
        <v>524</v>
      </c>
      <c r="C4167" s="2" t="s">
        <v>4</v>
      </c>
      <c r="D4167" s="2" t="s">
        <v>520</v>
      </c>
      <c r="E4167" s="3">
        <v>3</v>
      </c>
      <c r="F4167" s="3">
        <v>0.5</v>
      </c>
      <c r="G4167" s="4">
        <v>42606</v>
      </c>
      <c r="M4167" s="1"/>
      <c r="N4167" s="1"/>
      <c r="O4167" s="1"/>
      <c r="P4167" s="1"/>
      <c r="Q4167" s="1"/>
      <c r="R4167" s="1"/>
    </row>
    <row r="4168" spans="2:18">
      <c r="B4168" s="1" t="s">
        <v>523</v>
      </c>
      <c r="C4168" s="2" t="s">
        <v>4</v>
      </c>
      <c r="D4168" s="2" t="s">
        <v>520</v>
      </c>
      <c r="E4168" s="3">
        <v>3</v>
      </c>
      <c r="F4168" s="3">
        <v>0.5</v>
      </c>
      <c r="G4168" s="4">
        <v>42606</v>
      </c>
      <c r="M4168" s="1"/>
      <c r="N4168" s="1"/>
      <c r="O4168" s="1"/>
      <c r="P4168" s="1"/>
      <c r="Q4168" s="1"/>
      <c r="R4168" s="1"/>
    </row>
    <row r="4169" spans="2:18">
      <c r="B4169" s="1" t="s">
        <v>522</v>
      </c>
      <c r="C4169" s="2" t="s">
        <v>4</v>
      </c>
      <c r="D4169" s="2" t="s">
        <v>520</v>
      </c>
      <c r="E4169" s="3">
        <v>3</v>
      </c>
      <c r="F4169" s="3">
        <v>0.5</v>
      </c>
      <c r="G4169" s="4">
        <v>42606</v>
      </c>
      <c r="M4169" s="1"/>
      <c r="N4169" s="1"/>
      <c r="O4169" s="1"/>
      <c r="P4169" s="1"/>
      <c r="Q4169" s="1"/>
      <c r="R4169" s="1"/>
    </row>
    <row r="4170" spans="2:18">
      <c r="B4170" s="1" t="s">
        <v>521</v>
      </c>
      <c r="C4170" s="2" t="s">
        <v>4</v>
      </c>
      <c r="D4170" s="2" t="s">
        <v>520</v>
      </c>
      <c r="E4170" s="3">
        <v>3</v>
      </c>
      <c r="F4170" s="3">
        <v>0.5</v>
      </c>
      <c r="G4170" s="4">
        <v>42606</v>
      </c>
      <c r="M4170" s="1"/>
      <c r="N4170" s="1"/>
      <c r="O4170" s="1"/>
      <c r="P4170" s="1"/>
      <c r="Q4170" s="1"/>
      <c r="R4170" s="1"/>
    </row>
    <row r="4171" spans="2:18">
      <c r="B4171" s="1" t="s">
        <v>482</v>
      </c>
      <c r="C4171" s="2" t="s">
        <v>4</v>
      </c>
      <c r="D4171" s="2" t="s">
        <v>481</v>
      </c>
      <c r="E4171" s="3">
        <v>2</v>
      </c>
      <c r="F4171" s="3">
        <v>0.5</v>
      </c>
      <c r="G4171" s="4">
        <v>43876</v>
      </c>
      <c r="M4171" s="1"/>
      <c r="N4171" s="1"/>
      <c r="O4171" s="1"/>
      <c r="P4171" s="1"/>
      <c r="Q4171" s="1"/>
      <c r="R4171" s="1"/>
    </row>
    <row r="4172" spans="2:18">
      <c r="B4172" s="1" t="s">
        <v>443</v>
      </c>
      <c r="C4172" s="2" t="s">
        <v>4</v>
      </c>
      <c r="D4172" s="2" t="s">
        <v>439</v>
      </c>
      <c r="E4172" s="3">
        <v>7</v>
      </c>
      <c r="F4172" s="3">
        <v>0.5</v>
      </c>
      <c r="G4172" s="4">
        <v>44602</v>
      </c>
      <c r="M4172" s="1"/>
      <c r="N4172" s="1"/>
      <c r="O4172" s="1"/>
      <c r="P4172" s="1"/>
      <c r="Q4172" s="1"/>
      <c r="R4172" s="1"/>
    </row>
    <row r="4173" spans="2:18">
      <c r="B4173" s="1" t="s">
        <v>441</v>
      </c>
      <c r="C4173" s="2" t="s">
        <v>4</v>
      </c>
      <c r="D4173" s="2" t="s">
        <v>439</v>
      </c>
      <c r="E4173" s="3">
        <v>7</v>
      </c>
      <c r="F4173" s="3">
        <v>0.5</v>
      </c>
      <c r="G4173" s="4">
        <v>44602</v>
      </c>
      <c r="M4173" s="1"/>
      <c r="N4173" s="1"/>
      <c r="O4173" s="1"/>
      <c r="P4173" s="1"/>
      <c r="Q4173" s="1"/>
      <c r="R4173" s="1"/>
    </row>
    <row r="4174" spans="2:18">
      <c r="B4174" s="1" t="s">
        <v>375</v>
      </c>
      <c r="C4174" s="2" t="s">
        <v>4</v>
      </c>
      <c r="D4174" s="2" t="s">
        <v>374</v>
      </c>
      <c r="E4174" s="3">
        <v>2.5</v>
      </c>
      <c r="F4174" s="3">
        <v>0.5</v>
      </c>
      <c r="G4174" s="4">
        <v>42936</v>
      </c>
      <c r="M4174" s="1"/>
      <c r="N4174" s="1"/>
      <c r="O4174" s="1"/>
      <c r="P4174" s="1"/>
      <c r="Q4174" s="1"/>
      <c r="R4174" s="1"/>
    </row>
    <row r="4175" spans="2:18">
      <c r="B4175" s="1" t="s">
        <v>345</v>
      </c>
      <c r="C4175" s="2" t="s">
        <v>4</v>
      </c>
      <c r="D4175" s="2" t="s">
        <v>341</v>
      </c>
      <c r="E4175" s="3">
        <v>3.5</v>
      </c>
      <c r="F4175" s="3">
        <v>0.5</v>
      </c>
      <c r="G4175" s="4">
        <v>44636</v>
      </c>
      <c r="M4175" s="1"/>
      <c r="N4175" s="1"/>
      <c r="O4175" s="1"/>
      <c r="P4175" s="1"/>
      <c r="Q4175" s="1"/>
      <c r="R4175" s="1"/>
    </row>
    <row r="4176" spans="2:18">
      <c r="B4176" s="1" t="s">
        <v>344</v>
      </c>
      <c r="C4176" s="2" t="s">
        <v>4</v>
      </c>
      <c r="D4176" s="2" t="s">
        <v>341</v>
      </c>
      <c r="E4176" s="3">
        <v>3.5</v>
      </c>
      <c r="F4176" s="3">
        <v>0.5</v>
      </c>
      <c r="G4176" s="4">
        <v>44636</v>
      </c>
      <c r="M4176" s="1"/>
      <c r="N4176" s="1"/>
      <c r="O4176" s="1"/>
      <c r="P4176" s="1"/>
      <c r="Q4176" s="1"/>
      <c r="R4176" s="1"/>
    </row>
    <row r="4177" spans="2:18">
      <c r="B4177" s="1" t="s">
        <v>126</v>
      </c>
      <c r="C4177" s="2" t="s">
        <v>4</v>
      </c>
      <c r="D4177" s="2" t="s">
        <v>122</v>
      </c>
      <c r="E4177" s="3">
        <v>2</v>
      </c>
      <c r="F4177" s="3">
        <v>0.5</v>
      </c>
      <c r="G4177" s="4">
        <v>44658</v>
      </c>
    </row>
    <row r="4178" spans="2:18">
      <c r="B4178" s="1" t="s">
        <v>125</v>
      </c>
      <c r="C4178" s="2" t="s">
        <v>4</v>
      </c>
      <c r="D4178" s="2" t="s">
        <v>122</v>
      </c>
      <c r="E4178" s="3">
        <v>2</v>
      </c>
      <c r="F4178" s="3">
        <v>0.5</v>
      </c>
      <c r="G4178" s="4">
        <v>44658</v>
      </c>
    </row>
    <row r="4179" spans="2:18">
      <c r="B4179" s="176" t="s">
        <v>6691</v>
      </c>
      <c r="C4179" s="92" t="s">
        <v>4</v>
      </c>
      <c r="D4179" s="92" t="s">
        <v>2101</v>
      </c>
      <c r="E4179" s="3">
        <v>2.5</v>
      </c>
      <c r="F4179" s="3">
        <v>0.5</v>
      </c>
      <c r="G4179" s="4">
        <v>43401</v>
      </c>
    </row>
    <row r="4180" spans="2:18">
      <c r="B4180" s="91" t="s">
        <v>5225</v>
      </c>
      <c r="C4180" s="92" t="s">
        <v>4</v>
      </c>
      <c r="D4180" s="92" t="s">
        <v>2101</v>
      </c>
      <c r="E4180" s="3">
        <v>2.5</v>
      </c>
      <c r="F4180" s="3">
        <v>0.5</v>
      </c>
      <c r="G4180" s="4">
        <v>43401</v>
      </c>
    </row>
    <row r="4181" spans="2:18">
      <c r="B4181" s="134" t="s">
        <v>6302</v>
      </c>
      <c r="C4181" s="140" t="s">
        <v>4</v>
      </c>
      <c r="D4181" s="140" t="s">
        <v>6293</v>
      </c>
      <c r="E4181" s="3">
        <v>5</v>
      </c>
      <c r="F4181" s="3">
        <v>0.5</v>
      </c>
      <c r="G4181" s="4">
        <v>43335</v>
      </c>
    </row>
    <row r="4182" spans="2:18">
      <c r="B4182" s="134" t="s">
        <v>6303</v>
      </c>
      <c r="C4182" s="140" t="s">
        <v>4</v>
      </c>
      <c r="D4182" s="140" t="s">
        <v>6293</v>
      </c>
      <c r="E4182" s="3">
        <v>5</v>
      </c>
      <c r="F4182" s="3">
        <v>0.5</v>
      </c>
      <c r="G4182" s="4">
        <v>43335</v>
      </c>
    </row>
    <row r="4183" spans="2:18">
      <c r="B4183" s="134" t="s">
        <v>6304</v>
      </c>
      <c r="C4183" s="140" t="s">
        <v>4</v>
      </c>
      <c r="D4183" s="140" t="s">
        <v>6293</v>
      </c>
      <c r="E4183" s="3">
        <v>5</v>
      </c>
      <c r="F4183" s="3">
        <v>0.5</v>
      </c>
      <c r="G4183" s="4">
        <v>43335</v>
      </c>
    </row>
    <row r="4184" spans="2:18">
      <c r="B4184" s="152" t="s">
        <v>6367</v>
      </c>
      <c r="C4184" s="153" t="s">
        <v>4</v>
      </c>
      <c r="D4184" s="153" t="s">
        <v>2046</v>
      </c>
      <c r="E4184" s="3">
        <v>3</v>
      </c>
      <c r="F4184" s="3">
        <f>2/4</f>
        <v>0.5</v>
      </c>
      <c r="G4184" s="4">
        <v>42628</v>
      </c>
    </row>
    <row r="4185" spans="2:18">
      <c r="B4185" s="152" t="s">
        <v>6368</v>
      </c>
      <c r="C4185" s="153" t="s">
        <v>4</v>
      </c>
      <c r="D4185" s="153" t="s">
        <v>2046</v>
      </c>
      <c r="E4185" s="3">
        <v>3</v>
      </c>
      <c r="F4185" s="3">
        <f>2/4</f>
        <v>0.5</v>
      </c>
      <c r="G4185" s="4">
        <v>42628</v>
      </c>
    </row>
    <row r="4186" spans="2:18">
      <c r="B4186" s="176" t="s">
        <v>6729</v>
      </c>
      <c r="C4186" s="177" t="s">
        <v>4</v>
      </c>
      <c r="D4186" s="177" t="s">
        <v>2023</v>
      </c>
      <c r="E4186" s="3">
        <v>3.5</v>
      </c>
      <c r="F4186" s="3">
        <v>0.5</v>
      </c>
      <c r="G4186" s="4">
        <v>44609</v>
      </c>
    </row>
    <row r="4187" spans="2:18">
      <c r="B4187" s="152" t="s">
        <v>6412</v>
      </c>
      <c r="C4187" s="153" t="s">
        <v>4</v>
      </c>
      <c r="D4187" s="2" t="s">
        <v>2037</v>
      </c>
      <c r="E4187" s="3">
        <v>2.9</v>
      </c>
      <c r="F4187" s="3">
        <f>0.9/2</f>
        <v>0.45</v>
      </c>
      <c r="G4187" s="4">
        <v>43221</v>
      </c>
    </row>
    <row r="4188" spans="2:18">
      <c r="B4188" s="1" t="s">
        <v>748</v>
      </c>
      <c r="C4188" s="2" t="s">
        <v>4</v>
      </c>
      <c r="D4188" s="2" t="s">
        <v>745</v>
      </c>
      <c r="E4188" s="3">
        <v>2.6</v>
      </c>
      <c r="F4188" s="3">
        <f>1.6/4</f>
        <v>0.4</v>
      </c>
      <c r="G4188" s="4">
        <v>44147</v>
      </c>
      <c r="M4188" s="1"/>
      <c r="N4188" s="1"/>
      <c r="O4188" s="1"/>
      <c r="P4188" s="1"/>
      <c r="Q4188" s="1"/>
      <c r="R4188" s="1"/>
    </row>
    <row r="4189" spans="2:18">
      <c r="B4189" s="1" t="s">
        <v>747</v>
      </c>
      <c r="C4189" s="2" t="s">
        <v>4</v>
      </c>
      <c r="D4189" s="2" t="s">
        <v>745</v>
      </c>
      <c r="E4189" s="3">
        <v>2.6</v>
      </c>
      <c r="F4189" s="3">
        <f>1.6/4</f>
        <v>0.4</v>
      </c>
      <c r="G4189" s="4">
        <v>44147</v>
      </c>
      <c r="M4189" s="1"/>
      <c r="N4189" s="1"/>
      <c r="O4189" s="1"/>
      <c r="P4189" s="1"/>
      <c r="Q4189" s="1"/>
      <c r="R4189" s="1"/>
    </row>
    <row r="4190" spans="2:18">
      <c r="B4190" s="1" t="s">
        <v>746</v>
      </c>
      <c r="C4190" s="2" t="s">
        <v>4</v>
      </c>
      <c r="D4190" s="2" t="s">
        <v>745</v>
      </c>
      <c r="E4190" s="3">
        <v>2.6</v>
      </c>
      <c r="F4190" s="3">
        <f>1.6/4</f>
        <v>0.4</v>
      </c>
      <c r="G4190" s="4">
        <v>44147</v>
      </c>
      <c r="M4190" s="1"/>
      <c r="N4190" s="1"/>
      <c r="O4190" s="1"/>
      <c r="P4190" s="1"/>
      <c r="Q4190" s="1"/>
      <c r="R4190" s="1"/>
    </row>
    <row r="4191" spans="2:18">
      <c r="B4191" s="1" t="s">
        <v>436</v>
      </c>
      <c r="C4191" s="2" t="s">
        <v>7</v>
      </c>
      <c r="D4191" s="2" t="s">
        <v>435</v>
      </c>
      <c r="E4191" s="3">
        <v>1.8</v>
      </c>
      <c r="F4191" s="3">
        <v>0.4</v>
      </c>
      <c r="G4191" s="4">
        <v>43661</v>
      </c>
      <c r="M4191" s="1"/>
      <c r="N4191" s="1"/>
      <c r="O4191" s="1"/>
      <c r="P4191" s="1"/>
      <c r="Q4191" s="1"/>
      <c r="R4191" s="1"/>
    </row>
    <row r="4192" spans="2:18">
      <c r="B4192" s="1" t="s">
        <v>146</v>
      </c>
      <c r="C4192" s="2" t="s">
        <v>4</v>
      </c>
      <c r="D4192" s="2" t="s">
        <v>144</v>
      </c>
      <c r="E4192" s="3">
        <v>1.6</v>
      </c>
      <c r="F4192" s="3">
        <f>E4192/4</f>
        <v>0.4</v>
      </c>
      <c r="G4192" s="4">
        <v>43060</v>
      </c>
    </row>
    <row r="4193" spans="2:18">
      <c r="B4193" s="1" t="s">
        <v>262</v>
      </c>
      <c r="C4193" s="2" t="s">
        <v>4</v>
      </c>
      <c r="D4193" s="2" t="s">
        <v>258</v>
      </c>
      <c r="E4193" s="3">
        <v>3.5</v>
      </c>
      <c r="F4193" s="3">
        <f>+E4193/9</f>
        <v>0.3888888888888889</v>
      </c>
      <c r="G4193" s="4">
        <v>42979</v>
      </c>
    </row>
    <row r="4194" spans="2:18">
      <c r="B4194" s="1" t="s">
        <v>261</v>
      </c>
      <c r="C4194" s="2" t="s">
        <v>4</v>
      </c>
      <c r="D4194" s="2" t="s">
        <v>258</v>
      </c>
      <c r="E4194" s="3">
        <v>3.5</v>
      </c>
      <c r="F4194" s="3">
        <f>+E4194/9</f>
        <v>0.3888888888888889</v>
      </c>
      <c r="G4194" s="4">
        <v>42979</v>
      </c>
    </row>
    <row r="4195" spans="2:18">
      <c r="B4195" s="1" t="s">
        <v>260</v>
      </c>
      <c r="C4195" s="2" t="s">
        <v>4</v>
      </c>
      <c r="D4195" s="2" t="s">
        <v>258</v>
      </c>
      <c r="E4195" s="3">
        <v>3.5</v>
      </c>
      <c r="F4195" s="3">
        <f>+E4195/9</f>
        <v>0.3888888888888889</v>
      </c>
      <c r="G4195" s="4">
        <v>42979</v>
      </c>
    </row>
    <row r="4196" spans="2:18">
      <c r="B4196" s="1" t="s">
        <v>259</v>
      </c>
      <c r="C4196" s="2" t="s">
        <v>4</v>
      </c>
      <c r="D4196" s="2" t="s">
        <v>258</v>
      </c>
      <c r="E4196" s="3">
        <v>3.5</v>
      </c>
      <c r="F4196" s="3">
        <f>+E4196/9</f>
        <v>0.3888888888888889</v>
      </c>
      <c r="G4196" s="4">
        <v>42979</v>
      </c>
    </row>
    <row r="4197" spans="2:18">
      <c r="B4197" s="1" t="s">
        <v>338</v>
      </c>
      <c r="C4197" s="2" t="s">
        <v>4</v>
      </c>
      <c r="D4197" s="2" t="s">
        <v>336</v>
      </c>
      <c r="E4197" s="3">
        <v>3</v>
      </c>
      <c r="F4197" s="3">
        <f>1.5/4</f>
        <v>0.375</v>
      </c>
      <c r="G4197" s="4">
        <v>44327</v>
      </c>
      <c r="M4197" s="1"/>
      <c r="N4197" s="1"/>
      <c r="O4197" s="1"/>
      <c r="P4197" s="1"/>
      <c r="Q4197" s="1"/>
      <c r="R4197" s="1"/>
    </row>
    <row r="4198" spans="2:18">
      <c r="B4198" s="1" t="s">
        <v>337</v>
      </c>
      <c r="C4198" s="2" t="s">
        <v>4</v>
      </c>
      <c r="D4198" s="2" t="s">
        <v>336</v>
      </c>
      <c r="E4198" s="3">
        <v>3</v>
      </c>
      <c r="F4198" s="3">
        <f>1.5/4</f>
        <v>0.375</v>
      </c>
      <c r="G4198" s="4">
        <v>44327</v>
      </c>
      <c r="M4198" s="1"/>
      <c r="N4198" s="1"/>
      <c r="O4198" s="1"/>
      <c r="P4198" s="1"/>
      <c r="Q4198" s="1"/>
      <c r="R4198" s="1"/>
    </row>
    <row r="4199" spans="2:18">
      <c r="B4199" s="1" t="s">
        <v>387</v>
      </c>
      <c r="C4199" s="2" t="s">
        <v>4</v>
      </c>
      <c r="D4199" s="2" t="s">
        <v>386</v>
      </c>
      <c r="E4199" s="3">
        <v>0.71</v>
      </c>
      <c r="F4199" s="3">
        <f>+E4199/2</f>
        <v>0.35499999999999998</v>
      </c>
      <c r="G4199" s="4">
        <v>41730</v>
      </c>
      <c r="M4199" s="1"/>
      <c r="N4199" s="1"/>
      <c r="O4199" s="1"/>
      <c r="P4199" s="1"/>
      <c r="Q4199" s="1"/>
      <c r="R4199" s="1"/>
    </row>
    <row r="4200" spans="2:18">
      <c r="B4200" s="1" t="s">
        <v>350</v>
      </c>
      <c r="C4200" s="2" t="s">
        <v>4</v>
      </c>
      <c r="D4200" s="2" t="s">
        <v>347</v>
      </c>
      <c r="E4200" s="3">
        <v>3.5</v>
      </c>
      <c r="F4200" s="3">
        <f>E4200/10</f>
        <v>0.35</v>
      </c>
      <c r="G4200" s="4">
        <v>43046</v>
      </c>
      <c r="L4200" s="1">
        <v>0</v>
      </c>
      <c r="M4200" s="1"/>
      <c r="N4200" s="1"/>
      <c r="O4200" s="1"/>
      <c r="P4200" s="1"/>
      <c r="Q4200" s="1"/>
      <c r="R4200" s="1"/>
    </row>
    <row r="4201" spans="2:18">
      <c r="B4201" s="1" t="s">
        <v>349</v>
      </c>
      <c r="C4201" s="2" t="s">
        <v>4</v>
      </c>
      <c r="D4201" s="2" t="s">
        <v>347</v>
      </c>
      <c r="E4201" s="3">
        <v>3.5</v>
      </c>
      <c r="F4201" s="3">
        <f>E4201/10</f>
        <v>0.35</v>
      </c>
      <c r="G4201" s="4">
        <v>43046</v>
      </c>
      <c r="L4201" s="1">
        <v>0</v>
      </c>
      <c r="M4201" s="1"/>
      <c r="N4201" s="1"/>
      <c r="O4201" s="1"/>
      <c r="P4201" s="1"/>
      <c r="Q4201" s="1"/>
      <c r="R4201" s="1"/>
    </row>
    <row r="4202" spans="2:18">
      <c r="B4202" s="1" t="s">
        <v>348</v>
      </c>
      <c r="C4202" s="2" t="s">
        <v>4</v>
      </c>
      <c r="D4202" s="2" t="s">
        <v>347</v>
      </c>
      <c r="E4202" s="3">
        <v>3.5</v>
      </c>
      <c r="F4202" s="3">
        <f>E4202/10</f>
        <v>0.35</v>
      </c>
      <c r="G4202" s="4">
        <v>43046</v>
      </c>
      <c r="L4202" s="1">
        <v>0</v>
      </c>
      <c r="M4202" s="1"/>
      <c r="N4202" s="1"/>
      <c r="O4202" s="1"/>
      <c r="P4202" s="1"/>
      <c r="Q4202" s="1"/>
      <c r="R4202" s="1"/>
    </row>
    <row r="4203" spans="2:18">
      <c r="B4203" s="1" t="s">
        <v>123</v>
      </c>
      <c r="C4203" s="2" t="s">
        <v>4</v>
      </c>
      <c r="D4203" s="2" t="s">
        <v>122</v>
      </c>
      <c r="E4203" s="3">
        <v>0.35</v>
      </c>
      <c r="F4203" s="3">
        <v>0.35</v>
      </c>
      <c r="G4203" s="4">
        <v>43864</v>
      </c>
    </row>
    <row r="4204" spans="2:18">
      <c r="B4204" s="1" t="s">
        <v>744</v>
      </c>
      <c r="C4204" s="2" t="s">
        <v>4</v>
      </c>
      <c r="D4204" s="2" t="s">
        <v>699</v>
      </c>
      <c r="E4204" s="3">
        <v>2.5</v>
      </c>
      <c r="F4204" s="3">
        <f>2/6</f>
        <v>0.33333333333333331</v>
      </c>
      <c r="G4204" s="4">
        <v>44469</v>
      </c>
      <c r="M4204" s="1"/>
      <c r="N4204" s="1"/>
      <c r="O4204" s="1"/>
      <c r="P4204" s="1"/>
      <c r="Q4204" s="1"/>
      <c r="R4204" s="1"/>
    </row>
    <row r="4205" spans="2:18">
      <c r="B4205" s="1" t="s">
        <v>743</v>
      </c>
      <c r="C4205" s="2" t="s">
        <v>4</v>
      </c>
      <c r="D4205" s="2" t="s">
        <v>699</v>
      </c>
      <c r="E4205" s="3">
        <v>2.5</v>
      </c>
      <c r="F4205" s="3">
        <f>2/6</f>
        <v>0.33333333333333331</v>
      </c>
      <c r="G4205" s="4">
        <v>44469</v>
      </c>
      <c r="M4205" s="1"/>
      <c r="N4205" s="1"/>
      <c r="O4205" s="1"/>
      <c r="P4205" s="1"/>
      <c r="Q4205" s="1"/>
      <c r="R4205" s="1"/>
    </row>
    <row r="4206" spans="2:18">
      <c r="B4206" s="1" t="s">
        <v>742</v>
      </c>
      <c r="C4206" s="2" t="s">
        <v>4</v>
      </c>
      <c r="D4206" s="2" t="s">
        <v>699</v>
      </c>
      <c r="E4206" s="3">
        <v>2.5</v>
      </c>
      <c r="F4206" s="3">
        <f>2/6</f>
        <v>0.33333333333333331</v>
      </c>
      <c r="G4206" s="4">
        <v>44469</v>
      </c>
      <c r="M4206" s="1"/>
      <c r="N4206" s="1"/>
      <c r="O4206" s="1"/>
      <c r="P4206" s="1"/>
      <c r="Q4206" s="1"/>
      <c r="R4206" s="1"/>
    </row>
    <row r="4207" spans="2:18">
      <c r="B4207" s="1" t="s">
        <v>741</v>
      </c>
      <c r="C4207" s="2" t="s">
        <v>4</v>
      </c>
      <c r="D4207" s="2" t="s">
        <v>699</v>
      </c>
      <c r="E4207" s="3">
        <v>2.5</v>
      </c>
      <c r="F4207" s="3">
        <f>2/6</f>
        <v>0.33333333333333331</v>
      </c>
      <c r="G4207" s="4">
        <v>44469</v>
      </c>
      <c r="I4207" s="5"/>
      <c r="M4207" s="1"/>
      <c r="N4207" s="1"/>
      <c r="O4207" s="1"/>
      <c r="P4207" s="1"/>
      <c r="Q4207" s="1"/>
      <c r="R4207" s="1"/>
    </row>
    <row r="4208" spans="2:18">
      <c r="B4208" s="1" t="s">
        <v>549</v>
      </c>
      <c r="C4208" s="2" t="s">
        <v>278</v>
      </c>
      <c r="D4208" s="2" t="s">
        <v>548</v>
      </c>
      <c r="E4208" s="3">
        <v>0.5</v>
      </c>
      <c r="F4208" s="3">
        <v>0.3</v>
      </c>
      <c r="G4208" s="4">
        <v>43262</v>
      </c>
      <c r="M4208" s="1"/>
      <c r="N4208" s="1"/>
      <c r="O4208" s="1"/>
      <c r="P4208" s="1"/>
      <c r="Q4208" s="1"/>
      <c r="R4208" s="1"/>
    </row>
    <row r="4209" spans="2:18">
      <c r="B4209" s="1" t="s">
        <v>513</v>
      </c>
      <c r="C4209" s="2" t="s">
        <v>278</v>
      </c>
      <c r="D4209" s="2" t="s">
        <v>509</v>
      </c>
      <c r="E4209" s="3">
        <v>1.2</v>
      </c>
      <c r="F4209" s="3">
        <v>0.3</v>
      </c>
      <c r="G4209" s="4">
        <v>44545</v>
      </c>
      <c r="M4209" s="1"/>
      <c r="N4209" s="1"/>
      <c r="O4209" s="1"/>
      <c r="P4209" s="1"/>
      <c r="Q4209" s="1"/>
      <c r="R4209" s="1"/>
    </row>
    <row r="4210" spans="2:18">
      <c r="B4210" s="1" t="s">
        <v>512</v>
      </c>
      <c r="C4210" s="2" t="s">
        <v>278</v>
      </c>
      <c r="D4210" s="2" t="s">
        <v>509</v>
      </c>
      <c r="E4210" s="3">
        <v>1.2</v>
      </c>
      <c r="F4210" s="3">
        <v>0.3</v>
      </c>
      <c r="G4210" s="4">
        <v>44545</v>
      </c>
      <c r="M4210" s="1"/>
      <c r="N4210" s="1"/>
      <c r="O4210" s="1"/>
      <c r="P4210" s="1"/>
      <c r="Q4210" s="1"/>
      <c r="R4210" s="1"/>
    </row>
    <row r="4211" spans="2:18">
      <c r="B4211" s="1" t="s">
        <v>511</v>
      </c>
      <c r="C4211" s="2" t="s">
        <v>278</v>
      </c>
      <c r="D4211" s="2" t="s">
        <v>509</v>
      </c>
      <c r="E4211" s="3">
        <v>1.2</v>
      </c>
      <c r="F4211" s="3">
        <v>0.3</v>
      </c>
      <c r="G4211" s="4">
        <v>44545</v>
      </c>
      <c r="M4211" s="1"/>
      <c r="N4211" s="1"/>
      <c r="O4211" s="1"/>
      <c r="P4211" s="1"/>
      <c r="Q4211" s="1"/>
      <c r="R4211" s="1"/>
    </row>
    <row r="4212" spans="2:18">
      <c r="B4212" s="1" t="s">
        <v>510</v>
      </c>
      <c r="C4212" s="2" t="s">
        <v>278</v>
      </c>
      <c r="D4212" s="2" t="s">
        <v>509</v>
      </c>
      <c r="E4212" s="3">
        <v>1.2</v>
      </c>
      <c r="F4212" s="3">
        <v>0.3</v>
      </c>
      <c r="G4212" s="4">
        <v>44545</v>
      </c>
      <c r="M4212" s="1"/>
      <c r="N4212" s="1"/>
      <c r="O4212" s="1"/>
      <c r="P4212" s="1"/>
      <c r="Q4212" s="1"/>
      <c r="R4212" s="1"/>
    </row>
    <row r="4213" spans="2:18">
      <c r="B4213" s="134" t="s">
        <v>6208</v>
      </c>
      <c r="C4213" s="140" t="s">
        <v>4</v>
      </c>
      <c r="D4213" s="140" t="s">
        <v>2057</v>
      </c>
      <c r="E4213" s="3">
        <v>2.2999999999999998</v>
      </c>
      <c r="F4213" s="3">
        <v>0.3</v>
      </c>
      <c r="G4213" s="4">
        <v>43195</v>
      </c>
    </row>
    <row r="4214" spans="2:18">
      <c r="B4214" s="1" t="s">
        <v>343</v>
      </c>
      <c r="C4214" s="2" t="s">
        <v>278</v>
      </c>
      <c r="D4214" s="2" t="s">
        <v>341</v>
      </c>
      <c r="E4214" s="3">
        <v>0.75</v>
      </c>
      <c r="F4214" s="3">
        <f>+E4214/3</f>
        <v>0.25</v>
      </c>
      <c r="G4214" s="4">
        <v>44043</v>
      </c>
      <c r="M4214" s="1"/>
      <c r="N4214" s="1"/>
      <c r="O4214" s="1"/>
      <c r="P4214" s="1"/>
      <c r="Q4214" s="1"/>
      <c r="R4214" s="1"/>
    </row>
    <row r="4215" spans="2:18">
      <c r="B4215" s="1" t="s">
        <v>342</v>
      </c>
      <c r="C4215" s="2" t="s">
        <v>278</v>
      </c>
      <c r="D4215" s="2" t="s">
        <v>341</v>
      </c>
      <c r="E4215" s="3">
        <v>0.75</v>
      </c>
      <c r="F4215" s="3">
        <f>+E4215/3</f>
        <v>0.25</v>
      </c>
      <c r="G4215" s="4">
        <v>44043</v>
      </c>
      <c r="M4215" s="1"/>
      <c r="N4215" s="1"/>
      <c r="O4215" s="1"/>
      <c r="P4215" s="1"/>
      <c r="Q4215" s="1"/>
      <c r="R4215" s="1"/>
    </row>
    <row r="4216" spans="2:18">
      <c r="B4216" s="176" t="s">
        <v>6672</v>
      </c>
      <c r="C4216" s="177" t="s">
        <v>4</v>
      </c>
      <c r="D4216" s="174" t="s">
        <v>2030</v>
      </c>
      <c r="E4216" s="3">
        <v>2</v>
      </c>
      <c r="F4216" s="3">
        <f>1.5/6</f>
        <v>0.25</v>
      </c>
      <c r="G4216" s="4">
        <v>43522</v>
      </c>
    </row>
    <row r="4217" spans="2:18">
      <c r="B4217" s="1" t="s">
        <v>306</v>
      </c>
      <c r="C4217" s="2" t="s">
        <v>4</v>
      </c>
      <c r="D4217" s="2" t="s">
        <v>302</v>
      </c>
      <c r="E4217" s="3">
        <v>1.8</v>
      </c>
      <c r="F4217" s="3">
        <f>+E4217/9</f>
        <v>0.2</v>
      </c>
      <c r="G4217" s="4">
        <v>42690</v>
      </c>
    </row>
    <row r="4218" spans="2:18">
      <c r="B4218" s="1" t="s">
        <v>305</v>
      </c>
      <c r="C4218" s="2" t="s">
        <v>4</v>
      </c>
      <c r="D4218" s="2" t="s">
        <v>302</v>
      </c>
      <c r="E4218" s="3">
        <v>1.8</v>
      </c>
      <c r="F4218" s="3">
        <f>+E4218/9</f>
        <v>0.2</v>
      </c>
      <c r="G4218" s="4">
        <v>42690</v>
      </c>
    </row>
    <row r="4219" spans="2:18">
      <c r="B4219" s="1" t="s">
        <v>304</v>
      </c>
      <c r="C4219" s="2" t="s">
        <v>4</v>
      </c>
      <c r="D4219" s="2" t="s">
        <v>302</v>
      </c>
      <c r="E4219" s="3">
        <v>1.8</v>
      </c>
      <c r="F4219" s="3">
        <f>+E4219/9</f>
        <v>0.2</v>
      </c>
      <c r="G4219" s="4">
        <v>42690</v>
      </c>
    </row>
    <row r="4220" spans="2:18">
      <c r="B4220" s="1" t="s">
        <v>303</v>
      </c>
      <c r="C4220" s="2" t="s">
        <v>4</v>
      </c>
      <c r="D4220" s="2" t="s">
        <v>302</v>
      </c>
      <c r="E4220" s="3">
        <v>1.8</v>
      </c>
      <c r="F4220" s="3">
        <f>+E4220/9</f>
        <v>0.2</v>
      </c>
      <c r="G4220" s="4">
        <v>42690</v>
      </c>
    </row>
    <row r="4221" spans="2:18">
      <c r="B4221" s="1" t="s">
        <v>279</v>
      </c>
      <c r="C4221" s="2" t="s">
        <v>278</v>
      </c>
      <c r="D4221" s="2" t="s">
        <v>277</v>
      </c>
      <c r="E4221" s="3">
        <v>0.2</v>
      </c>
      <c r="F4221" s="3">
        <v>0.1</v>
      </c>
      <c r="G4221" s="4">
        <v>44054</v>
      </c>
    </row>
    <row r="4222" spans="2:18">
      <c r="B4222" s="1" t="s">
        <v>280</v>
      </c>
      <c r="C4222" s="2" t="s">
        <v>4</v>
      </c>
      <c r="D4222" s="2" t="s">
        <v>277</v>
      </c>
      <c r="E4222" s="3">
        <v>0.125</v>
      </c>
      <c r="F4222" s="3">
        <v>5.0000000000000001E-3</v>
      </c>
      <c r="G4222" s="4">
        <v>44265</v>
      </c>
    </row>
    <row r="4223" spans="2:18">
      <c r="B4223" s="179" t="s">
        <v>7031</v>
      </c>
      <c r="C4223" s="2" t="s">
        <v>4</v>
      </c>
      <c r="D4223" s="177" t="s">
        <v>7030</v>
      </c>
      <c r="E4223" s="3">
        <v>5</v>
      </c>
      <c r="F4223" s="3">
        <v>2.5</v>
      </c>
      <c r="G4223" s="4">
        <v>44266</v>
      </c>
    </row>
    <row r="4224" spans="2:18">
      <c r="B4224" s="179"/>
      <c r="C4224" s="2" t="s">
        <v>4</v>
      </c>
      <c r="D4224" s="177" t="s">
        <v>7030</v>
      </c>
      <c r="E4224" s="3">
        <v>1.5</v>
      </c>
      <c r="F4224" s="3">
        <v>0.75</v>
      </c>
      <c r="G4224" s="4">
        <v>43580</v>
      </c>
    </row>
    <row r="4225" spans="2:7">
      <c r="B4225" s="179" t="s">
        <v>7032</v>
      </c>
      <c r="C4225" s="2" t="s">
        <v>4</v>
      </c>
      <c r="D4225" s="177" t="s">
        <v>7030</v>
      </c>
      <c r="E4225" s="3">
        <v>5</v>
      </c>
      <c r="F4225" s="3">
        <v>2.5</v>
      </c>
      <c r="G4225" s="4">
        <v>44266</v>
      </c>
    </row>
    <row r="4226" spans="2:7">
      <c r="B4226" s="179"/>
      <c r="C4226" s="2" t="s">
        <v>4</v>
      </c>
      <c r="D4226" s="177" t="s">
        <v>7030</v>
      </c>
      <c r="E4226" s="3">
        <v>1.5</v>
      </c>
      <c r="F4226" s="3">
        <v>0.75</v>
      </c>
      <c r="G4226" s="4">
        <v>43580</v>
      </c>
    </row>
    <row r="4227" spans="2:7">
      <c r="B4227" s="1" t="s">
        <v>7298</v>
      </c>
      <c r="C4227" s="2" t="s">
        <v>5</v>
      </c>
      <c r="D4227" s="2" t="s">
        <v>2017</v>
      </c>
      <c r="E4227" s="3">
        <v>10</v>
      </c>
      <c r="F4227" s="3">
        <v>3</v>
      </c>
      <c r="G4227" s="4">
        <v>44504</v>
      </c>
    </row>
    <row r="4228" spans="2:7">
      <c r="C4228" s="2" t="s">
        <v>4</v>
      </c>
      <c r="D4228" s="2" t="s">
        <v>2017</v>
      </c>
      <c r="E4228" s="3">
        <v>4</v>
      </c>
      <c r="F4228" s="3">
        <v>1</v>
      </c>
      <c r="G4228" s="4">
        <v>44097</v>
      </c>
    </row>
    <row r="4229" spans="2:7">
      <c r="B4229" s="1" t="s">
        <v>7299</v>
      </c>
      <c r="C4229" s="2" t="s">
        <v>5</v>
      </c>
      <c r="D4229" s="2" t="s">
        <v>2017</v>
      </c>
      <c r="E4229" s="3">
        <v>10</v>
      </c>
      <c r="F4229" s="3">
        <v>2</v>
      </c>
      <c r="G4229" s="4">
        <v>44504</v>
      </c>
    </row>
    <row r="4230" spans="2:7">
      <c r="C4230" s="2" t="s">
        <v>4</v>
      </c>
      <c r="D4230" s="2" t="s">
        <v>2017</v>
      </c>
      <c r="E4230" s="3">
        <v>4</v>
      </c>
      <c r="F4230" s="3">
        <v>1</v>
      </c>
      <c r="G4230" s="4">
        <v>44097</v>
      </c>
    </row>
    <row r="4231" spans="2:7">
      <c r="B4231" s="1" t="s">
        <v>7300</v>
      </c>
      <c r="C4231" s="2" t="s">
        <v>5</v>
      </c>
      <c r="D4231" s="2" t="s">
        <v>7295</v>
      </c>
      <c r="E4231" s="3">
        <v>8</v>
      </c>
      <c r="F4231" s="3">
        <v>6</v>
      </c>
      <c r="G4231" s="4">
        <v>44663</v>
      </c>
    </row>
    <row r="4232" spans="2:7">
      <c r="B4232" s="1" t="s">
        <v>7301</v>
      </c>
      <c r="C4232" s="2" t="s">
        <v>5</v>
      </c>
      <c r="D4232" s="2" t="s">
        <v>7295</v>
      </c>
      <c r="E4232" s="3">
        <v>8</v>
      </c>
      <c r="F4232" s="3">
        <v>2</v>
      </c>
      <c r="G4232" s="4">
        <v>44663</v>
      </c>
    </row>
    <row r="4233" spans="2:7">
      <c r="C4233" s="2" t="s">
        <v>5</v>
      </c>
      <c r="D4233" s="2" t="s">
        <v>7295</v>
      </c>
      <c r="E4233" s="3">
        <v>3</v>
      </c>
      <c r="F4233" s="3">
        <v>2</v>
      </c>
      <c r="G4233" s="4">
        <v>43858</v>
      </c>
    </row>
    <row r="4234" spans="2:7">
      <c r="B4234" s="1" t="s">
        <v>7302</v>
      </c>
      <c r="C4234" s="2" t="s">
        <v>4</v>
      </c>
      <c r="D4234" s="2" t="s">
        <v>7297</v>
      </c>
      <c r="E4234" s="3">
        <v>3</v>
      </c>
      <c r="F4234" s="3">
        <v>0</v>
      </c>
      <c r="G4234" s="4">
        <v>44452</v>
      </c>
    </row>
    <row r="4235" spans="2:7">
      <c r="B4235" s="1" t="s">
        <v>7303</v>
      </c>
      <c r="C4235" s="2" t="s">
        <v>4</v>
      </c>
      <c r="D4235" s="2" t="s">
        <v>7297</v>
      </c>
      <c r="E4235" s="3">
        <v>3</v>
      </c>
      <c r="F4235" s="3">
        <v>0</v>
      </c>
      <c r="G4235" s="4">
        <v>44452</v>
      </c>
    </row>
    <row r="4236" spans="2:7">
      <c r="B4236" s="1" t="s">
        <v>7304</v>
      </c>
      <c r="C4236" s="2" t="s">
        <v>4</v>
      </c>
      <c r="D4236" s="2" t="s">
        <v>7297</v>
      </c>
      <c r="E4236" s="3">
        <v>3</v>
      </c>
      <c r="F4236" s="3">
        <v>0</v>
      </c>
      <c r="G4236" s="4">
        <v>44452</v>
      </c>
    </row>
    <row r="4237" spans="2:7">
      <c r="B4237" s="1" t="s">
        <v>7305</v>
      </c>
      <c r="C4237" s="2" t="s">
        <v>4</v>
      </c>
      <c r="D4237" s="2" t="s">
        <v>7297</v>
      </c>
      <c r="E4237" s="3">
        <v>8</v>
      </c>
      <c r="F4237" s="3">
        <v>2</v>
      </c>
      <c r="G4237" s="4">
        <v>44880</v>
      </c>
    </row>
    <row r="4238" spans="2:7">
      <c r="B4238" s="1" t="s">
        <v>7306</v>
      </c>
      <c r="C4238" s="2" t="s">
        <v>4</v>
      </c>
      <c r="D4238" s="2" t="s">
        <v>7297</v>
      </c>
      <c r="E4238" s="3">
        <v>8</v>
      </c>
      <c r="F4238" s="3">
        <v>2</v>
      </c>
      <c r="G4238" s="4">
        <v>44880</v>
      </c>
    </row>
    <row r="4239" spans="2:7">
      <c r="B4239" s="1" t="s">
        <v>7307</v>
      </c>
      <c r="C4239" s="2" t="s">
        <v>4</v>
      </c>
      <c r="D4239" s="2" t="s">
        <v>7297</v>
      </c>
      <c r="E4239" s="3">
        <v>8</v>
      </c>
      <c r="F4239" s="3">
        <v>2</v>
      </c>
      <c r="G4239" s="4">
        <v>44880</v>
      </c>
    </row>
    <row r="4240" spans="2:7">
      <c r="B4240" s="1" t="s">
        <v>7308</v>
      </c>
      <c r="C4240" s="2" t="s">
        <v>4</v>
      </c>
      <c r="D4240" s="2" t="s">
        <v>7297</v>
      </c>
      <c r="E4240" s="3">
        <v>8</v>
      </c>
      <c r="F4240" s="3">
        <v>2</v>
      </c>
      <c r="G4240" s="4">
        <v>44880</v>
      </c>
    </row>
    <row r="4241" spans="2:7">
      <c r="B4241" s="238" t="s">
        <v>1676</v>
      </c>
      <c r="C4241" s="241" t="s">
        <v>4</v>
      </c>
      <c r="D4241" s="241" t="s">
        <v>2014</v>
      </c>
      <c r="E4241" s="3">
        <v>12</v>
      </c>
      <c r="F4241" s="3">
        <v>2</v>
      </c>
      <c r="G4241" s="4">
        <v>43872</v>
      </c>
    </row>
    <row r="4242" spans="2:7">
      <c r="B4242" s="238" t="s">
        <v>7367</v>
      </c>
      <c r="C4242" s="241" t="s">
        <v>4</v>
      </c>
      <c r="D4242" s="241" t="s">
        <v>2014</v>
      </c>
      <c r="E4242" s="3">
        <v>12</v>
      </c>
      <c r="F4242" s="3">
        <v>2</v>
      </c>
      <c r="G4242" s="4">
        <v>43872</v>
      </c>
    </row>
    <row r="4243" spans="2:7">
      <c r="B4243" s="238" t="s">
        <v>7397</v>
      </c>
      <c r="C4243" s="241" t="s">
        <v>4</v>
      </c>
      <c r="D4243" s="241" t="s">
        <v>2013</v>
      </c>
      <c r="E4243" s="3">
        <v>11</v>
      </c>
      <c r="F4243" s="3">
        <f>8/6</f>
        <v>1.3333333333333333</v>
      </c>
      <c r="G4243" s="4">
        <v>44686</v>
      </c>
    </row>
    <row r="4244" spans="2:7">
      <c r="B4244" s="238" t="s">
        <v>7398</v>
      </c>
      <c r="C4244" s="241" t="s">
        <v>4</v>
      </c>
      <c r="D4244" s="241" t="s">
        <v>2013</v>
      </c>
      <c r="E4244" s="3">
        <v>11</v>
      </c>
      <c r="F4244" s="3">
        <f>8/6</f>
        <v>1.3333333333333333</v>
      </c>
      <c r="G4244" s="4">
        <v>44686</v>
      </c>
    </row>
    <row r="4245" spans="2:7">
      <c r="B4245" s="238" t="s">
        <v>7399</v>
      </c>
      <c r="C4245" s="241" t="s">
        <v>4</v>
      </c>
      <c r="D4245" s="241" t="s">
        <v>2013</v>
      </c>
      <c r="E4245" s="3">
        <v>11</v>
      </c>
      <c r="F4245" s="3">
        <f>8/6</f>
        <v>1.3333333333333333</v>
      </c>
      <c r="G4245" s="4">
        <v>44686</v>
      </c>
    </row>
    <row r="4246" spans="2:7">
      <c r="B4246" s="238" t="s">
        <v>7400</v>
      </c>
      <c r="C4246" s="241" t="s">
        <v>4</v>
      </c>
      <c r="D4246" s="241" t="s">
        <v>2013</v>
      </c>
      <c r="E4246" s="3">
        <v>11</v>
      </c>
      <c r="F4246" s="3">
        <f>8/6</f>
        <v>1.3333333333333333</v>
      </c>
      <c r="G4246" s="4">
        <v>44686</v>
      </c>
    </row>
    <row r="4247" spans="2:7">
      <c r="B4247" s="238" t="s">
        <v>7408</v>
      </c>
      <c r="C4247" s="241" t="s">
        <v>7</v>
      </c>
      <c r="D4247" s="241" t="s">
        <v>2012</v>
      </c>
      <c r="E4247" s="3">
        <v>20</v>
      </c>
      <c r="F4247" s="3">
        <v>8</v>
      </c>
      <c r="G4247" s="4">
        <v>45001</v>
      </c>
    </row>
    <row r="4248" spans="2:7">
      <c r="B4248" s="238" t="s">
        <v>7409</v>
      </c>
      <c r="C4248" s="241" t="s">
        <v>7</v>
      </c>
      <c r="D4248" s="241" t="s">
        <v>2012</v>
      </c>
      <c r="E4248" s="3">
        <v>20</v>
      </c>
      <c r="F4248" s="3">
        <f>12/3</f>
        <v>4</v>
      </c>
      <c r="G4248" s="4">
        <v>45001</v>
      </c>
    </row>
    <row r="4249" spans="2:7">
      <c r="B4249" s="238"/>
      <c r="C4249" s="241"/>
      <c r="D4249" s="241"/>
      <c r="E4249" s="3">
        <v>9</v>
      </c>
      <c r="F4249" s="3">
        <v>3</v>
      </c>
      <c r="G4249" s="4">
        <v>44152</v>
      </c>
    </row>
    <row r="4250" spans="2:7">
      <c r="B4250" s="238" t="s">
        <v>7410</v>
      </c>
      <c r="C4250" s="241" t="s">
        <v>7</v>
      </c>
      <c r="D4250" s="241" t="s">
        <v>2012</v>
      </c>
      <c r="E4250" s="3">
        <v>20</v>
      </c>
      <c r="F4250" s="3">
        <f>12/3</f>
        <v>4</v>
      </c>
      <c r="G4250" s="4">
        <v>45001</v>
      </c>
    </row>
    <row r="4251" spans="2:7">
      <c r="C4251" s="241" t="s">
        <v>5</v>
      </c>
      <c r="D4251" s="241" t="s">
        <v>2012</v>
      </c>
      <c r="E4251" s="3">
        <v>9</v>
      </c>
      <c r="F4251" s="3">
        <v>3</v>
      </c>
      <c r="G4251" s="4">
        <v>44152</v>
      </c>
    </row>
    <row r="4252" spans="2:7">
      <c r="B4252" s="238" t="s">
        <v>7416</v>
      </c>
      <c r="C4252" s="241" t="s">
        <v>7415</v>
      </c>
      <c r="D4252" s="241" t="s">
        <v>2012</v>
      </c>
      <c r="E4252" s="3">
        <v>0.8</v>
      </c>
      <c r="F4252" s="3">
        <v>0.8</v>
      </c>
      <c r="G4252" s="4">
        <v>40332</v>
      </c>
    </row>
    <row r="4253" spans="2:7">
      <c r="B4253" s="238" t="s">
        <v>7426</v>
      </c>
      <c r="C4253" s="241" t="s">
        <v>5</v>
      </c>
      <c r="D4253" s="241" t="s">
        <v>2010</v>
      </c>
      <c r="E4253" s="3">
        <v>9</v>
      </c>
      <c r="F4253" s="3">
        <f>6/4</f>
        <v>1.5</v>
      </c>
      <c r="G4253" s="4">
        <v>44540</v>
      </c>
    </row>
    <row r="4254" spans="2:7">
      <c r="B4254" s="238"/>
      <c r="C4254" s="241" t="s">
        <v>4</v>
      </c>
      <c r="D4254" s="241" t="s">
        <v>2010</v>
      </c>
      <c r="E4254" s="3">
        <v>2.5</v>
      </c>
      <c r="F4254" s="3">
        <f>1.5/3</f>
        <v>0.5</v>
      </c>
      <c r="G4254" s="4">
        <v>44296</v>
      </c>
    </row>
    <row r="4255" spans="2:7">
      <c r="B4255" s="238" t="s">
        <v>7428</v>
      </c>
      <c r="C4255" s="241" t="s">
        <v>4</v>
      </c>
      <c r="D4255" s="241" t="s">
        <v>2010</v>
      </c>
      <c r="E4255" s="3">
        <v>2.5</v>
      </c>
      <c r="F4255" s="3">
        <f>1.5/3</f>
        <v>0.5</v>
      </c>
      <c r="G4255" s="4">
        <v>44296</v>
      </c>
    </row>
    <row r="4256" spans="2:7">
      <c r="B4256" s="238" t="s">
        <v>7429</v>
      </c>
      <c r="C4256" s="241" t="s">
        <v>4</v>
      </c>
      <c r="D4256" s="241" t="s">
        <v>2010</v>
      </c>
      <c r="E4256" s="3">
        <v>2.5</v>
      </c>
      <c r="F4256" s="3">
        <f>1.5/3</f>
        <v>0.5</v>
      </c>
      <c r="G4256" s="4">
        <v>44296</v>
      </c>
    </row>
    <row r="4257" spans="2:10">
      <c r="B4257" s="238" t="s">
        <v>7437</v>
      </c>
      <c r="C4257" s="241" t="s">
        <v>5</v>
      </c>
      <c r="D4257" s="241" t="s">
        <v>7431</v>
      </c>
      <c r="E4257" s="3">
        <v>10</v>
      </c>
      <c r="F4257" s="3">
        <v>2</v>
      </c>
      <c r="G4257" s="4">
        <v>44384</v>
      </c>
    </row>
    <row r="4258" spans="2:10">
      <c r="B4258" s="238" t="s">
        <v>7446</v>
      </c>
      <c r="C4258" s="241" t="s">
        <v>5</v>
      </c>
      <c r="D4258" s="241" t="s">
        <v>2008</v>
      </c>
      <c r="E4258" s="3">
        <v>11.5</v>
      </c>
      <c r="F4258" s="3">
        <f>6/3</f>
        <v>2</v>
      </c>
      <c r="G4258" s="4">
        <v>45063</v>
      </c>
    </row>
    <row r="4259" spans="2:10">
      <c r="B4259" s="238"/>
      <c r="C4259" s="241" t="s">
        <v>4</v>
      </c>
      <c r="D4259" s="241" t="s">
        <v>2008</v>
      </c>
      <c r="E4259" s="3">
        <v>7</v>
      </c>
      <c r="F4259" s="3">
        <v>3.5</v>
      </c>
      <c r="G4259" s="4">
        <v>44216</v>
      </c>
    </row>
    <row r="4260" spans="2:10">
      <c r="B4260" s="238" t="s">
        <v>7447</v>
      </c>
      <c r="C4260" s="241" t="s">
        <v>5</v>
      </c>
      <c r="D4260" s="241" t="s">
        <v>2008</v>
      </c>
      <c r="E4260" s="3">
        <v>11.5</v>
      </c>
      <c r="F4260" s="3">
        <f>6/3</f>
        <v>2</v>
      </c>
      <c r="G4260" s="4">
        <v>45063</v>
      </c>
    </row>
    <row r="4261" spans="2:10">
      <c r="B4261" s="238" t="s">
        <v>7574</v>
      </c>
      <c r="C4261" s="241" t="s">
        <v>5</v>
      </c>
      <c r="D4261" s="241" t="s">
        <v>2007</v>
      </c>
      <c r="E4261" s="3">
        <v>10</v>
      </c>
      <c r="F4261" s="3">
        <v>5</v>
      </c>
      <c r="G4261" s="4">
        <v>44307</v>
      </c>
    </row>
    <row r="4262" spans="2:10">
      <c r="B4262" s="238" t="s">
        <v>7575</v>
      </c>
      <c r="C4262" s="241" t="s">
        <v>5</v>
      </c>
      <c r="D4262" s="241" t="s">
        <v>2007</v>
      </c>
      <c r="E4262" s="3">
        <v>10</v>
      </c>
      <c r="F4262" s="3">
        <v>5</v>
      </c>
      <c r="G4262" s="4">
        <v>44307</v>
      </c>
    </row>
    <row r="4263" spans="2:10">
      <c r="B4263" s="238" t="s">
        <v>3302</v>
      </c>
      <c r="C4263" s="241" t="s">
        <v>4</v>
      </c>
      <c r="D4263" s="241" t="s">
        <v>7585</v>
      </c>
      <c r="E4263" s="3">
        <v>2.2000000000000002</v>
      </c>
      <c r="F4263" s="3">
        <v>0.6</v>
      </c>
      <c r="G4263" s="4">
        <v>43544</v>
      </c>
    </row>
    <row r="4264" spans="2:10">
      <c r="B4264" s="238" t="s">
        <v>7591</v>
      </c>
      <c r="C4264" s="241" t="s">
        <v>4</v>
      </c>
      <c r="D4264" s="241" t="s">
        <v>7585</v>
      </c>
      <c r="E4264" s="3">
        <v>2.2000000000000002</v>
      </c>
      <c r="F4264" s="3">
        <v>1</v>
      </c>
      <c r="G4264" s="4">
        <v>43544</v>
      </c>
    </row>
    <row r="4265" spans="2:10">
      <c r="B4265" s="238" t="s">
        <v>7621</v>
      </c>
      <c r="C4265" s="241" t="s">
        <v>4</v>
      </c>
      <c r="D4265" s="241" t="s">
        <v>2004</v>
      </c>
      <c r="E4265" s="3">
        <v>7</v>
      </c>
      <c r="F4265" s="3">
        <v>5</v>
      </c>
      <c r="G4265" s="4">
        <v>44763</v>
      </c>
    </row>
    <row r="4266" spans="2:10">
      <c r="B4266" s="238"/>
      <c r="C4266" s="241" t="s">
        <v>278</v>
      </c>
      <c r="D4266" s="241" t="s">
        <v>2004</v>
      </c>
      <c r="E4266" s="3">
        <v>2</v>
      </c>
      <c r="F4266" s="3">
        <f>1/4</f>
        <v>0.25</v>
      </c>
      <c r="G4266" s="4">
        <v>44181</v>
      </c>
    </row>
    <row r="4267" spans="2:10">
      <c r="B4267" s="238" t="s">
        <v>7622</v>
      </c>
      <c r="C4267" s="241" t="s">
        <v>4</v>
      </c>
      <c r="D4267" s="241" t="s">
        <v>2004</v>
      </c>
      <c r="E4267" s="3">
        <v>7</v>
      </c>
      <c r="F4267" s="3">
        <v>1</v>
      </c>
      <c r="G4267" s="4">
        <v>44763</v>
      </c>
    </row>
    <row r="4268" spans="2:10">
      <c r="C4268" s="241" t="s">
        <v>278</v>
      </c>
      <c r="D4268" s="241" t="s">
        <v>2004</v>
      </c>
      <c r="E4268" s="3">
        <v>2</v>
      </c>
      <c r="F4268" s="3">
        <v>0.5</v>
      </c>
      <c r="G4268" s="4">
        <v>44181</v>
      </c>
    </row>
    <row r="4269" spans="2:10">
      <c r="B4269" s="238" t="s">
        <v>7627</v>
      </c>
      <c r="C4269" s="241" t="s">
        <v>278</v>
      </c>
      <c r="D4269" s="241" t="s">
        <v>2004</v>
      </c>
      <c r="E4269" s="3">
        <v>2</v>
      </c>
      <c r="F4269" s="3">
        <v>0.5</v>
      </c>
      <c r="G4269" s="4">
        <v>44181</v>
      </c>
    </row>
    <row r="4270" spans="2:10">
      <c r="B4270" s="238"/>
      <c r="C4270" s="241"/>
      <c r="D4270" s="241"/>
      <c r="G4270" s="4"/>
    </row>
    <row r="4271" spans="2:10">
      <c r="B4271" s="264" t="s">
        <v>7893</v>
      </c>
      <c r="C4271" s="265" t="s">
        <v>7890</v>
      </c>
      <c r="D4271" s="265" t="s">
        <v>1006</v>
      </c>
      <c r="E4271" s="3">
        <v>684.6</v>
      </c>
      <c r="F4271" s="3">
        <f>584.6/21</f>
        <v>27.838095238095239</v>
      </c>
      <c r="G4271" s="4">
        <v>45183</v>
      </c>
      <c r="I4271" s="1">
        <v>42500</v>
      </c>
      <c r="J4271" s="1">
        <v>42500</v>
      </c>
    </row>
    <row r="4272" spans="2:10">
      <c r="B4272" s="264"/>
      <c r="C4272" s="265" t="s">
        <v>2486</v>
      </c>
      <c r="D4272" s="265" t="s">
        <v>1006</v>
      </c>
      <c r="E4272" s="3">
        <v>1600</v>
      </c>
      <c r="F4272" s="3">
        <v>51.851851851851855</v>
      </c>
      <c r="G4272" s="4">
        <v>44439</v>
      </c>
      <c r="I4272" s="1">
        <v>36400</v>
      </c>
      <c r="J4272" s="1">
        <v>42500</v>
      </c>
    </row>
    <row r="4273" spans="2:10">
      <c r="B4273" s="264"/>
      <c r="C4273" s="265" t="s">
        <v>504</v>
      </c>
      <c r="D4273" s="265" t="s">
        <v>1006</v>
      </c>
      <c r="E4273" s="3">
        <v>1000</v>
      </c>
      <c r="F4273" s="3">
        <f>900/23</f>
        <v>39.130434782608695</v>
      </c>
      <c r="G4273" s="4">
        <v>44228</v>
      </c>
      <c r="I4273" s="1">
        <v>27000</v>
      </c>
      <c r="J4273" s="1">
        <v>42500</v>
      </c>
    </row>
    <row r="4274" spans="2:10">
      <c r="B4274" s="264"/>
      <c r="C4274" s="265"/>
      <c r="D4274" s="265"/>
      <c r="G4274" s="4"/>
    </row>
    <row r="4275" spans="2:10">
      <c r="B4275" s="264" t="s">
        <v>7894</v>
      </c>
      <c r="C4275" s="265" t="s">
        <v>7890</v>
      </c>
      <c r="D4275" s="265" t="s">
        <v>1006</v>
      </c>
      <c r="E4275" s="3">
        <v>684.6</v>
      </c>
      <c r="F4275" s="3">
        <f t="shared" ref="F4275:F4281" si="12">584.6/21</f>
        <v>27.838095238095239</v>
      </c>
      <c r="G4275" s="4">
        <v>45183</v>
      </c>
      <c r="I4275" s="1">
        <v>42500</v>
      </c>
      <c r="J4275" s="1">
        <v>42500</v>
      </c>
    </row>
    <row r="4276" spans="2:10">
      <c r="B4276" s="264"/>
      <c r="C4276" s="265"/>
      <c r="D4276" s="265"/>
      <c r="G4276" s="4"/>
    </row>
    <row r="4277" spans="2:10">
      <c r="B4277" s="264" t="s">
        <v>7895</v>
      </c>
      <c r="C4277" s="265" t="s">
        <v>7890</v>
      </c>
      <c r="D4277" s="265" t="s">
        <v>1006</v>
      </c>
      <c r="E4277" s="3">
        <v>684.6</v>
      </c>
      <c r="F4277" s="3">
        <f t="shared" si="12"/>
        <v>27.838095238095239</v>
      </c>
      <c r="G4277" s="4">
        <v>45183</v>
      </c>
      <c r="I4277" s="1">
        <v>42500</v>
      </c>
      <c r="J4277" s="1">
        <v>42500</v>
      </c>
    </row>
    <row r="4278" spans="2:10">
      <c r="B4278" s="264"/>
      <c r="C4278" s="265" t="s">
        <v>2486</v>
      </c>
      <c r="D4278" s="265" t="s">
        <v>1006</v>
      </c>
      <c r="E4278" s="3">
        <v>1600</v>
      </c>
      <c r="F4278" s="3">
        <v>51.851851851851855</v>
      </c>
      <c r="G4278" s="4">
        <v>44439</v>
      </c>
      <c r="I4278" s="1">
        <v>36400</v>
      </c>
      <c r="J4278" s="1">
        <v>42500</v>
      </c>
    </row>
    <row r="4279" spans="2:10">
      <c r="B4279" s="264"/>
      <c r="C4279" s="398" t="s">
        <v>5</v>
      </c>
      <c r="D4279" s="398" t="s">
        <v>9716</v>
      </c>
      <c r="E4279" s="3">
        <v>16</v>
      </c>
      <c r="F4279" s="3">
        <v>1</v>
      </c>
      <c r="G4279" s="4">
        <v>45209</v>
      </c>
    </row>
    <row r="4280" spans="2:10">
      <c r="B4280" s="264"/>
      <c r="C4280" s="265"/>
      <c r="D4280" s="265"/>
      <c r="G4280" s="4"/>
    </row>
    <row r="4281" spans="2:10">
      <c r="B4281" s="264" t="s">
        <v>7896</v>
      </c>
      <c r="C4281" s="265" t="s">
        <v>7890</v>
      </c>
      <c r="D4281" s="265" t="s">
        <v>1006</v>
      </c>
      <c r="E4281" s="3">
        <v>684.6</v>
      </c>
      <c r="F4281" s="3">
        <f t="shared" si="12"/>
        <v>27.838095238095239</v>
      </c>
      <c r="G4281" s="4">
        <v>45183</v>
      </c>
      <c r="I4281" s="1">
        <v>42500</v>
      </c>
      <c r="J4281" s="1">
        <v>42500</v>
      </c>
    </row>
    <row r="4282" spans="2:10">
      <c r="B4282" s="264"/>
      <c r="C4282" s="265"/>
      <c r="D4282" s="265"/>
      <c r="G4282" s="4"/>
    </row>
    <row r="4283" spans="2:10">
      <c r="B4283" s="264" t="s">
        <v>7898</v>
      </c>
      <c r="C4283" s="265" t="s">
        <v>2486</v>
      </c>
      <c r="D4283" s="265" t="s">
        <v>1006</v>
      </c>
      <c r="E4283" s="3">
        <v>1600</v>
      </c>
      <c r="F4283" s="3">
        <v>51.851851851851855</v>
      </c>
      <c r="G4283" s="4">
        <v>44439</v>
      </c>
      <c r="I4283" s="1">
        <v>36400</v>
      </c>
      <c r="J4283" s="1">
        <v>42500</v>
      </c>
    </row>
    <row r="4284" spans="2:10">
      <c r="B4284" s="264"/>
      <c r="C4284" s="265" t="s">
        <v>504</v>
      </c>
      <c r="D4284" s="265" t="s">
        <v>1006</v>
      </c>
      <c r="E4284" s="3">
        <v>1000</v>
      </c>
      <c r="F4284" s="3">
        <f>900/23</f>
        <v>39.130434782608695</v>
      </c>
      <c r="G4284" s="4">
        <v>44228</v>
      </c>
      <c r="I4284" s="1">
        <v>27000</v>
      </c>
      <c r="J4284" s="1">
        <v>42500</v>
      </c>
    </row>
    <row r="4285" spans="2:10">
      <c r="B4285" s="264"/>
      <c r="C4285" s="265"/>
      <c r="D4285" s="265"/>
      <c r="G4285" s="4"/>
    </row>
    <row r="4286" spans="2:10">
      <c r="B4286" s="264" t="s">
        <v>7899</v>
      </c>
      <c r="C4286" s="265" t="s">
        <v>2486</v>
      </c>
      <c r="D4286" s="265" t="s">
        <v>1006</v>
      </c>
      <c r="E4286" s="3">
        <v>1600</v>
      </c>
      <c r="F4286" s="3">
        <v>51.851851851851855</v>
      </c>
      <c r="G4286" s="4">
        <v>44439</v>
      </c>
      <c r="I4286" s="1">
        <v>36400</v>
      </c>
      <c r="J4286" s="1">
        <v>42500</v>
      </c>
    </row>
    <row r="4287" spans="2:10">
      <c r="B4287" s="264" t="s">
        <v>7900</v>
      </c>
      <c r="C4287" s="265" t="s">
        <v>2486</v>
      </c>
      <c r="D4287" s="265" t="s">
        <v>1006</v>
      </c>
      <c r="E4287" s="3">
        <v>1600</v>
      </c>
      <c r="F4287" s="3">
        <v>51.851851851851855</v>
      </c>
      <c r="G4287" s="4">
        <v>44439</v>
      </c>
      <c r="I4287" s="1">
        <v>36400</v>
      </c>
      <c r="J4287" s="1">
        <v>42500</v>
      </c>
    </row>
    <row r="4288" spans="2:10">
      <c r="B4288" s="264"/>
      <c r="C4288" s="265"/>
      <c r="D4288" s="265"/>
      <c r="G4288" s="4"/>
    </row>
    <row r="4289" spans="2:10">
      <c r="B4289" s="264" t="s">
        <v>7901</v>
      </c>
      <c r="C4289" s="265" t="s">
        <v>2486</v>
      </c>
      <c r="D4289" s="265" t="s">
        <v>1006</v>
      </c>
      <c r="E4289" s="3">
        <v>1600</v>
      </c>
      <c r="F4289" s="3">
        <v>51.851851851851855</v>
      </c>
      <c r="G4289" s="4">
        <v>44439</v>
      </c>
      <c r="I4289" s="1">
        <v>36400</v>
      </c>
      <c r="J4289" s="1">
        <v>42500</v>
      </c>
    </row>
    <row r="4290" spans="2:10">
      <c r="B4290" s="264"/>
      <c r="C4290" s="265" t="s">
        <v>504</v>
      </c>
      <c r="D4290" s="265" t="s">
        <v>1006</v>
      </c>
      <c r="E4290" s="3">
        <v>1000</v>
      </c>
      <c r="F4290" s="3">
        <f>900/23</f>
        <v>39.130434782608695</v>
      </c>
      <c r="G4290" s="4">
        <v>44228</v>
      </c>
      <c r="I4290" s="1">
        <v>27000</v>
      </c>
      <c r="J4290" s="1">
        <v>42500</v>
      </c>
    </row>
    <row r="4291" spans="2:10">
      <c r="B4291" s="264"/>
      <c r="C4291" s="265"/>
      <c r="D4291" s="265"/>
      <c r="G4291" s="4"/>
    </row>
    <row r="4292" spans="2:10">
      <c r="B4292" s="264" t="s">
        <v>7902</v>
      </c>
      <c r="C4292" s="265" t="s">
        <v>2486</v>
      </c>
      <c r="D4292" s="265" t="s">
        <v>1006</v>
      </c>
      <c r="E4292" s="3">
        <v>1600</v>
      </c>
      <c r="F4292" s="3">
        <v>51.851851851851855</v>
      </c>
      <c r="G4292" s="4">
        <v>44439</v>
      </c>
      <c r="I4292" s="1">
        <v>36400</v>
      </c>
      <c r="J4292" s="1">
        <v>42500</v>
      </c>
    </row>
    <row r="4293" spans="2:10">
      <c r="B4293" s="264"/>
      <c r="C4293" s="398" t="s">
        <v>278</v>
      </c>
      <c r="D4293" s="398" t="s">
        <v>9780</v>
      </c>
      <c r="E4293" s="3">
        <v>6</v>
      </c>
      <c r="F4293" s="3">
        <f>4/9</f>
        <v>0.44444444444444442</v>
      </c>
      <c r="G4293" s="4">
        <v>44348</v>
      </c>
    </row>
    <row r="4294" spans="2:10">
      <c r="B4294" s="264"/>
      <c r="C4294" s="265"/>
      <c r="D4294" s="265"/>
      <c r="G4294" s="4"/>
    </row>
    <row r="4295" spans="2:10">
      <c r="B4295" s="264" t="s">
        <v>7903</v>
      </c>
      <c r="C4295" s="265" t="s">
        <v>2486</v>
      </c>
      <c r="D4295" s="265" t="s">
        <v>1006</v>
      </c>
      <c r="E4295" s="3">
        <v>1600</v>
      </c>
      <c r="F4295" s="3">
        <v>51.851851851851855</v>
      </c>
      <c r="G4295" s="4">
        <v>44439</v>
      </c>
      <c r="I4295" s="1">
        <v>36400</v>
      </c>
      <c r="J4295" s="1">
        <v>42500</v>
      </c>
    </row>
    <row r="4296" spans="2:10">
      <c r="B4296" s="264"/>
      <c r="C4296" s="265" t="s">
        <v>504</v>
      </c>
      <c r="D4296" s="265" t="s">
        <v>1006</v>
      </c>
      <c r="E4296" s="3">
        <v>1000</v>
      </c>
      <c r="F4296" s="3">
        <f>900/23</f>
        <v>39.130434782608695</v>
      </c>
      <c r="G4296" s="4">
        <v>44228</v>
      </c>
      <c r="I4296" s="1">
        <v>27000</v>
      </c>
      <c r="J4296" s="1">
        <v>42500</v>
      </c>
    </row>
    <row r="4297" spans="2:10">
      <c r="B4297" s="264"/>
      <c r="C4297" s="265"/>
      <c r="D4297" s="265"/>
      <c r="G4297" s="4"/>
    </row>
    <row r="4298" spans="2:10">
      <c r="B4298" s="264" t="s">
        <v>7904</v>
      </c>
      <c r="C4298" s="265" t="s">
        <v>2486</v>
      </c>
      <c r="D4298" s="265" t="s">
        <v>1006</v>
      </c>
      <c r="E4298" s="3">
        <v>1600</v>
      </c>
      <c r="F4298" s="3">
        <v>51.851851851851855</v>
      </c>
      <c r="G4298" s="4">
        <v>44439</v>
      </c>
      <c r="I4298" s="1">
        <v>36400</v>
      </c>
      <c r="J4298" s="1">
        <v>42500</v>
      </c>
    </row>
    <row r="4299" spans="2:10">
      <c r="B4299" s="264" t="s">
        <v>7909</v>
      </c>
      <c r="C4299" s="265" t="s">
        <v>1</v>
      </c>
      <c r="D4299" s="265" t="s">
        <v>3931</v>
      </c>
      <c r="E4299" s="3">
        <v>1200</v>
      </c>
      <c r="F4299" s="3">
        <v>300</v>
      </c>
      <c r="G4299" s="4">
        <v>43592</v>
      </c>
      <c r="I4299" s="1">
        <v>17900</v>
      </c>
    </row>
    <row r="4300" spans="2:10">
      <c r="B4300" s="264" t="s">
        <v>7910</v>
      </c>
      <c r="C4300" s="265" t="s">
        <v>8</v>
      </c>
      <c r="D4300" s="265" t="s">
        <v>161</v>
      </c>
      <c r="E4300" s="3">
        <v>100</v>
      </c>
      <c r="F4300" s="3">
        <v>100</v>
      </c>
      <c r="G4300" s="4">
        <v>45223</v>
      </c>
      <c r="I4300" s="1">
        <v>8400</v>
      </c>
      <c r="J4300" s="1">
        <v>8400</v>
      </c>
    </row>
    <row r="4301" spans="2:10">
      <c r="B4301" s="264" t="s">
        <v>7702</v>
      </c>
      <c r="C4301" s="265" t="s">
        <v>8</v>
      </c>
      <c r="D4301" s="265" t="s">
        <v>3733</v>
      </c>
      <c r="E4301" s="3">
        <v>235</v>
      </c>
      <c r="F4301" s="3">
        <f>185/8</f>
        <v>23.125</v>
      </c>
      <c r="G4301" s="4">
        <v>45161</v>
      </c>
      <c r="I4301" s="1">
        <v>4300</v>
      </c>
      <c r="J4301" s="1">
        <v>4300</v>
      </c>
    </row>
    <row r="4302" spans="2:10">
      <c r="B4302" s="264" t="s">
        <v>7914</v>
      </c>
      <c r="C4302" s="265" t="s">
        <v>8</v>
      </c>
      <c r="D4302" s="265" t="s">
        <v>3733</v>
      </c>
      <c r="E4302" s="3">
        <v>235</v>
      </c>
      <c r="F4302" s="3">
        <f t="shared" ref="F4302" si="13">185/8</f>
        <v>23.125</v>
      </c>
      <c r="G4302" s="4">
        <v>45161</v>
      </c>
      <c r="I4302" s="1">
        <v>4300</v>
      </c>
      <c r="J4302" s="1">
        <v>4300</v>
      </c>
    </row>
    <row r="4303" spans="2:10">
      <c r="B4303" s="264" t="s">
        <v>7917</v>
      </c>
      <c r="C4303" s="265" t="s">
        <v>7</v>
      </c>
      <c r="D4303" s="265" t="s">
        <v>1133</v>
      </c>
      <c r="E4303" s="3">
        <v>1300</v>
      </c>
      <c r="F4303" s="3">
        <v>200</v>
      </c>
      <c r="G4303" s="4">
        <v>45106</v>
      </c>
      <c r="I4303" s="1">
        <v>4000</v>
      </c>
      <c r="J4303" s="1">
        <v>4000</v>
      </c>
    </row>
    <row r="4304" spans="2:10">
      <c r="B4304" s="264" t="s">
        <v>7936</v>
      </c>
      <c r="C4304" s="265" t="s">
        <v>7934</v>
      </c>
      <c r="D4304" s="265" t="s">
        <v>606</v>
      </c>
      <c r="E4304" s="3">
        <v>59</v>
      </c>
      <c r="F4304" s="3">
        <f>59/9</f>
        <v>6.5555555555555554</v>
      </c>
      <c r="G4304" s="4">
        <v>45124</v>
      </c>
      <c r="I4304" s="1">
        <v>1200</v>
      </c>
      <c r="J4304" s="1">
        <v>1200</v>
      </c>
    </row>
    <row r="4305" spans="2:10">
      <c r="B4305" s="274" t="s">
        <v>8302</v>
      </c>
      <c r="C4305" s="335" t="s">
        <v>4</v>
      </c>
      <c r="D4305" s="335" t="s">
        <v>8303</v>
      </c>
      <c r="E4305" s="3">
        <v>8</v>
      </c>
      <c r="F4305" s="3">
        <v>1</v>
      </c>
      <c r="G4305" s="4">
        <v>44482</v>
      </c>
    </row>
    <row r="4306" spans="2:10">
      <c r="B4306" s="274" t="s">
        <v>8304</v>
      </c>
      <c r="C4306" s="335" t="s">
        <v>4</v>
      </c>
      <c r="D4306" s="335" t="s">
        <v>8303</v>
      </c>
      <c r="E4306" s="3">
        <v>8</v>
      </c>
      <c r="F4306" s="3">
        <v>1</v>
      </c>
      <c r="G4306" s="4">
        <v>44482</v>
      </c>
    </row>
    <row r="4307" spans="2:10">
      <c r="B4307" s="274" t="s">
        <v>8305</v>
      </c>
      <c r="C4307" s="335" t="s">
        <v>4</v>
      </c>
      <c r="D4307" s="335" t="s">
        <v>8303</v>
      </c>
      <c r="E4307" s="3">
        <v>8</v>
      </c>
      <c r="F4307" s="3">
        <v>1</v>
      </c>
      <c r="G4307" s="4">
        <v>44482</v>
      </c>
    </row>
    <row r="4308" spans="2:10">
      <c r="B4308" s="274" t="s">
        <v>8306</v>
      </c>
      <c r="C4308" s="335" t="s">
        <v>4</v>
      </c>
      <c r="D4308" s="335" t="s">
        <v>8303</v>
      </c>
      <c r="E4308" s="3">
        <v>8</v>
      </c>
      <c r="F4308" s="3">
        <v>1</v>
      </c>
      <c r="G4308" s="4">
        <v>44482</v>
      </c>
    </row>
    <row r="4309" spans="2:10">
      <c r="B4309" s="274" t="s">
        <v>8307</v>
      </c>
      <c r="C4309" s="335" t="s">
        <v>4</v>
      </c>
      <c r="D4309" s="335" t="s">
        <v>8303</v>
      </c>
      <c r="E4309" s="3">
        <v>8</v>
      </c>
      <c r="F4309" s="3">
        <v>1</v>
      </c>
      <c r="G4309" s="4">
        <v>44482</v>
      </c>
    </row>
    <row r="4310" spans="2:10">
      <c r="B4310" s="274" t="s">
        <v>8308</v>
      </c>
      <c r="C4310" s="335" t="s">
        <v>4</v>
      </c>
      <c r="D4310" s="335" t="s">
        <v>8303</v>
      </c>
      <c r="E4310" s="3">
        <v>8</v>
      </c>
      <c r="F4310" s="3">
        <v>1</v>
      </c>
      <c r="G4310" s="4">
        <v>44482</v>
      </c>
    </row>
    <row r="4311" spans="2:10">
      <c r="B4311" s="274" t="s">
        <v>8904</v>
      </c>
      <c r="C4311" s="335" t="s">
        <v>18</v>
      </c>
      <c r="D4311" s="335" t="s">
        <v>8309</v>
      </c>
      <c r="E4311" s="3">
        <v>25</v>
      </c>
      <c r="F4311" s="3">
        <f>15/4</f>
        <v>3.75</v>
      </c>
      <c r="G4311" s="4">
        <v>43888</v>
      </c>
      <c r="J4311" s="1">
        <v>1000</v>
      </c>
    </row>
    <row r="4312" spans="2:10">
      <c r="C4312" s="335" t="s">
        <v>7</v>
      </c>
      <c r="D4312" s="335" t="s">
        <v>8309</v>
      </c>
      <c r="E4312" s="3">
        <v>25</v>
      </c>
      <c r="F4312" s="3">
        <f t="shared" ref="F4312" si="14">15/4</f>
        <v>3.75</v>
      </c>
      <c r="G4312" s="4">
        <v>43287</v>
      </c>
    </row>
    <row r="4313" spans="2:10">
      <c r="C4313" s="335" t="s">
        <v>5</v>
      </c>
      <c r="D4313" s="335" t="s">
        <v>8309</v>
      </c>
      <c r="E4313" s="3">
        <v>8</v>
      </c>
      <c r="F4313" s="3">
        <v>3</v>
      </c>
      <c r="G4313" s="4">
        <v>42747</v>
      </c>
    </row>
    <row r="4314" spans="2:10">
      <c r="B4314" s="274" t="s">
        <v>8907</v>
      </c>
      <c r="C4314" s="335" t="s">
        <v>5</v>
      </c>
      <c r="D4314" s="335" t="s">
        <v>8309</v>
      </c>
      <c r="E4314" s="3">
        <v>8</v>
      </c>
      <c r="F4314" s="3">
        <f>5/4</f>
        <v>1.25</v>
      </c>
      <c r="G4314" s="4">
        <v>42747</v>
      </c>
    </row>
    <row r="4315" spans="2:10">
      <c r="B4315" s="346" t="s">
        <v>8908</v>
      </c>
      <c r="C4315" s="335" t="s">
        <v>5</v>
      </c>
      <c r="D4315" s="335" t="s">
        <v>8309</v>
      </c>
      <c r="E4315" s="3">
        <v>8</v>
      </c>
      <c r="F4315" s="3">
        <f t="shared" ref="F4315" si="15">5/4</f>
        <v>1.25</v>
      </c>
      <c r="G4315" s="4">
        <v>42747</v>
      </c>
    </row>
    <row r="4316" spans="2:10">
      <c r="C4316" s="335" t="s">
        <v>4</v>
      </c>
      <c r="D4316" s="335" t="s">
        <v>8309</v>
      </c>
      <c r="E4316" s="3">
        <v>1.9</v>
      </c>
      <c r="F4316" s="3">
        <f>0.9/3</f>
        <v>0.3</v>
      </c>
      <c r="G4316" s="4">
        <v>42185</v>
      </c>
    </row>
    <row r="4317" spans="2:10">
      <c r="B4317" s="274" t="s">
        <v>9430</v>
      </c>
      <c r="C4317" s="335" t="s">
        <v>5</v>
      </c>
      <c r="D4317" s="335" t="s">
        <v>9429</v>
      </c>
      <c r="E4317" s="3">
        <v>102.5</v>
      </c>
      <c r="F4317" s="3">
        <v>2.5</v>
      </c>
      <c r="G4317" s="4">
        <v>45260</v>
      </c>
    </row>
    <row r="4320" spans="2:10">
      <c r="B4320" s="396" t="s">
        <v>9687</v>
      </c>
      <c r="D4320" s="398" t="s">
        <v>9688</v>
      </c>
    </row>
    <row r="4321" spans="3:7">
      <c r="D4321" s="398" t="s">
        <v>9689</v>
      </c>
    </row>
    <row r="4322" spans="3:7">
      <c r="D4322" s="398" t="s">
        <v>9690</v>
      </c>
    </row>
    <row r="4323" spans="3:7">
      <c r="D4323" s="398" t="s">
        <v>9691</v>
      </c>
    </row>
    <row r="4324" spans="3:7">
      <c r="D4324" s="398" t="s">
        <v>9692</v>
      </c>
    </row>
    <row r="4325" spans="3:7">
      <c r="D4325" s="398" t="s">
        <v>9693</v>
      </c>
    </row>
    <row r="4326" spans="3:7">
      <c r="D4326" s="398" t="s">
        <v>9694</v>
      </c>
    </row>
    <row r="4327" spans="3:7">
      <c r="D4327" s="398" t="s">
        <v>9695</v>
      </c>
    </row>
    <row r="4328" spans="3:7">
      <c r="D4328" s="398" t="s">
        <v>9696</v>
      </c>
    </row>
    <row r="4329" spans="3:7">
      <c r="D4329" s="398" t="s">
        <v>9697</v>
      </c>
    </row>
    <row r="4330" spans="3:7">
      <c r="D4330" s="398" t="s">
        <v>9698</v>
      </c>
    </row>
    <row r="4331" spans="3:7">
      <c r="D4331" s="398" t="s">
        <v>9699</v>
      </c>
    </row>
    <row r="4332" spans="3:7">
      <c r="D4332" s="398" t="s">
        <v>1695</v>
      </c>
    </row>
    <row r="4333" spans="3:7">
      <c r="D4333" s="398" t="s">
        <v>9700</v>
      </c>
    </row>
    <row r="4334" spans="3:7">
      <c r="D4334" s="398" t="s">
        <v>9701</v>
      </c>
    </row>
    <row r="4335" spans="3:7">
      <c r="D4335" s="398" t="s">
        <v>9702</v>
      </c>
    </row>
    <row r="4336" spans="3:7">
      <c r="C4336" s="398" t="s">
        <v>4</v>
      </c>
      <c r="D4336" s="398" t="s">
        <v>2001</v>
      </c>
      <c r="E4336" s="3">
        <v>1.5</v>
      </c>
      <c r="F4336" s="3">
        <v>0.25</v>
      </c>
      <c r="G4336" s="4">
        <v>43424</v>
      </c>
    </row>
    <row r="4337" spans="2:7">
      <c r="D4337" s="398" t="s">
        <v>9703</v>
      </c>
    </row>
    <row r="4338" spans="2:7">
      <c r="D4338" s="398" t="s">
        <v>9704</v>
      </c>
    </row>
    <row r="4339" spans="2:7">
      <c r="D4339" s="398" t="s">
        <v>1614</v>
      </c>
    </row>
    <row r="4340" spans="2:7">
      <c r="D4340" s="398" t="s">
        <v>9706</v>
      </c>
    </row>
    <row r="4341" spans="2:7">
      <c r="D4341" s="398" t="s">
        <v>9705</v>
      </c>
    </row>
    <row r="4342" spans="2:7">
      <c r="D4342" s="398" t="s">
        <v>9707</v>
      </c>
    </row>
    <row r="4343" spans="2:7">
      <c r="D4343" s="398" t="s">
        <v>9708</v>
      </c>
    </row>
    <row r="4344" spans="2:7">
      <c r="D4344" s="398" t="s">
        <v>9709</v>
      </c>
    </row>
    <row r="4345" spans="2:7">
      <c r="D4345" s="398" t="s">
        <v>9710</v>
      </c>
    </row>
    <row r="4346" spans="2:7">
      <c r="D4346" s="398" t="s">
        <v>9711</v>
      </c>
    </row>
    <row r="4347" spans="2:7">
      <c r="D4347" s="398" t="s">
        <v>9712</v>
      </c>
    </row>
    <row r="4348" spans="2:7">
      <c r="D4348" s="398" t="s">
        <v>9713</v>
      </c>
    </row>
    <row r="4349" spans="2:7">
      <c r="D4349" s="398" t="s">
        <v>9714</v>
      </c>
    </row>
    <row r="4351" spans="2:7">
      <c r="B4351" s="396" t="s">
        <v>9683</v>
      </c>
      <c r="C4351" s="398" t="s">
        <v>5</v>
      </c>
      <c r="D4351" s="398" t="s">
        <v>2001</v>
      </c>
      <c r="E4351" s="3">
        <v>6</v>
      </c>
      <c r="F4351" s="3">
        <v>4</v>
      </c>
      <c r="G4351" s="4">
        <v>44391</v>
      </c>
    </row>
    <row r="4352" spans="2:7">
      <c r="C4352" s="398" t="s">
        <v>7</v>
      </c>
      <c r="D4352" s="398" t="s">
        <v>2001</v>
      </c>
      <c r="E4352" s="3">
        <v>6.5</v>
      </c>
      <c r="F4352" s="3">
        <v>1.5</v>
      </c>
      <c r="G4352" s="4">
        <v>45106</v>
      </c>
    </row>
    <row r="4353" spans="2:9">
      <c r="C4353" s="398"/>
      <c r="D4353" s="398"/>
      <c r="G4353" s="4"/>
    </row>
    <row r="4354" spans="2:9">
      <c r="B4354" s="396" t="s">
        <v>9715</v>
      </c>
      <c r="C4354" s="398" t="s">
        <v>7</v>
      </c>
      <c r="D4354" s="398" t="s">
        <v>2001</v>
      </c>
      <c r="E4354" s="3">
        <v>6.5</v>
      </c>
      <c r="F4354" s="3">
        <v>3.5</v>
      </c>
      <c r="G4354" s="4">
        <v>45106</v>
      </c>
    </row>
    <row r="4356" spans="2:9">
      <c r="B4356" s="396" t="s">
        <v>9723</v>
      </c>
      <c r="C4356" s="398" t="s">
        <v>5</v>
      </c>
      <c r="D4356" s="398" t="s">
        <v>9716</v>
      </c>
      <c r="E4356" s="3">
        <v>16</v>
      </c>
      <c r="F4356" s="3">
        <v>1</v>
      </c>
      <c r="G4356" s="4">
        <v>45209</v>
      </c>
    </row>
    <row r="4357" spans="2:9">
      <c r="B4357" s="396" t="s">
        <v>9725</v>
      </c>
      <c r="C4357" s="398" t="s">
        <v>5</v>
      </c>
      <c r="D4357" s="398" t="s">
        <v>9716</v>
      </c>
      <c r="E4357" s="3">
        <v>16</v>
      </c>
      <c r="F4357" s="3">
        <v>1</v>
      </c>
      <c r="G4357" s="4">
        <v>45209</v>
      </c>
    </row>
    <row r="4358" spans="2:9">
      <c r="B4358" s="396" t="s">
        <v>9726</v>
      </c>
      <c r="C4358" s="398" t="s">
        <v>5</v>
      </c>
      <c r="D4358" s="398" t="s">
        <v>9716</v>
      </c>
      <c r="E4358" s="3">
        <v>16</v>
      </c>
      <c r="F4358" s="3">
        <v>1</v>
      </c>
      <c r="G4358" s="4">
        <v>45209</v>
      </c>
      <c r="I4358" s="396" t="s">
        <v>9727</v>
      </c>
    </row>
    <row r="4359" spans="2:9">
      <c r="B4359" s="396" t="s">
        <v>9728</v>
      </c>
      <c r="C4359" s="398" t="s">
        <v>5</v>
      </c>
      <c r="D4359" s="398" t="s">
        <v>9716</v>
      </c>
      <c r="E4359" s="3">
        <v>16</v>
      </c>
      <c r="F4359" s="3">
        <v>1</v>
      </c>
      <c r="G4359" s="4">
        <v>45209</v>
      </c>
      <c r="I4359" s="396" t="s">
        <v>9729</v>
      </c>
    </row>
    <row r="4360" spans="2:9">
      <c r="B4360" s="396" t="s">
        <v>9730</v>
      </c>
      <c r="C4360" s="398" t="s">
        <v>5</v>
      </c>
      <c r="D4360" s="398" t="s">
        <v>9716</v>
      </c>
      <c r="E4360" s="3">
        <v>16</v>
      </c>
      <c r="F4360" s="3">
        <v>1</v>
      </c>
      <c r="G4360" s="4">
        <v>45209</v>
      </c>
    </row>
    <row r="4361" spans="2:9">
      <c r="B4361" s="396" t="s">
        <v>9786</v>
      </c>
      <c r="C4361" s="398" t="s">
        <v>4</v>
      </c>
      <c r="D4361" s="398" t="s">
        <v>9739</v>
      </c>
      <c r="E4361" s="3">
        <v>4</v>
      </c>
      <c r="F4361" s="3">
        <v>1</v>
      </c>
      <c r="G4361" s="4">
        <v>44827</v>
      </c>
    </row>
    <row r="4362" spans="2:9">
      <c r="B4362" s="396" t="s">
        <v>9787</v>
      </c>
      <c r="C4362" s="398" t="s">
        <v>4</v>
      </c>
      <c r="D4362" s="398" t="s">
        <v>9739</v>
      </c>
      <c r="E4362" s="3">
        <v>4</v>
      </c>
      <c r="F4362" s="3">
        <v>1</v>
      </c>
      <c r="G4362" s="4">
        <v>44827</v>
      </c>
    </row>
    <row r="4363" spans="2:9">
      <c r="B4363" s="396" t="s">
        <v>9797</v>
      </c>
      <c r="C4363" s="398" t="s">
        <v>4</v>
      </c>
      <c r="D4363" s="398" t="s">
        <v>9780</v>
      </c>
      <c r="E4363" s="3">
        <v>3.5</v>
      </c>
      <c r="F4363" s="3">
        <f>E4363/3</f>
        <v>1.1666666666666667</v>
      </c>
      <c r="G4363" s="4">
        <v>44853</v>
      </c>
    </row>
    <row r="4364" spans="2:9">
      <c r="B4364" s="396" t="s">
        <v>9798</v>
      </c>
      <c r="C4364" s="398" t="s">
        <v>4</v>
      </c>
      <c r="D4364" s="398" t="s">
        <v>9780</v>
      </c>
      <c r="E4364" s="3">
        <v>3.5</v>
      </c>
      <c r="F4364" s="3">
        <f>E4364/3</f>
        <v>1.1666666666666667</v>
      </c>
      <c r="G4364" s="4">
        <v>44853</v>
      </c>
    </row>
    <row r="4365" spans="2:9">
      <c r="B4365" s="396" t="s">
        <v>9799</v>
      </c>
      <c r="C4365" s="398" t="s">
        <v>4</v>
      </c>
      <c r="D4365" s="398" t="s">
        <v>9780</v>
      </c>
      <c r="E4365" s="3">
        <v>3.5</v>
      </c>
      <c r="F4365" s="3">
        <f t="shared" ref="F4365" si="16">E4365/3</f>
        <v>1.1666666666666667</v>
      </c>
      <c r="G4365" s="4">
        <v>44853</v>
      </c>
    </row>
    <row r="4366" spans="2:9">
      <c r="B4366" s="396" t="s">
        <v>9805</v>
      </c>
      <c r="C4366" s="398" t="s">
        <v>278</v>
      </c>
      <c r="D4366" s="398" t="s">
        <v>9780</v>
      </c>
      <c r="E4366" s="3">
        <v>6</v>
      </c>
      <c r="F4366" s="3">
        <v>1</v>
      </c>
      <c r="G4366" s="4">
        <v>44348</v>
      </c>
    </row>
    <row r="4367" spans="2:9">
      <c r="B4367" s="396" t="s">
        <v>9807</v>
      </c>
      <c r="C4367" s="398" t="s">
        <v>278</v>
      </c>
      <c r="D4367" s="398" t="s">
        <v>9780</v>
      </c>
      <c r="E4367" s="3">
        <v>6</v>
      </c>
      <c r="F4367" s="3">
        <f>4/9</f>
        <v>0.44444444444444442</v>
      </c>
      <c r="G4367" s="4">
        <v>44348</v>
      </c>
    </row>
    <row r="4368" spans="2:9">
      <c r="B4368" s="396" t="s">
        <v>9808</v>
      </c>
      <c r="C4368" s="398" t="s">
        <v>278</v>
      </c>
      <c r="D4368" s="398" t="s">
        <v>9780</v>
      </c>
      <c r="E4368" s="3">
        <v>6</v>
      </c>
      <c r="F4368" s="3">
        <f>4/9</f>
        <v>0.44444444444444442</v>
      </c>
      <c r="G4368" s="4">
        <v>44348</v>
      </c>
    </row>
    <row r="4369" spans="2:2">
      <c r="B4369" s="396" t="s">
        <v>9815</v>
      </c>
    </row>
  </sheetData>
  <sortState xmlns:xlrd2="http://schemas.microsoft.com/office/spreadsheetml/2017/richdata2" ref="A3615:S4222">
    <sortCondition descending="1" ref="F3615:F4222"/>
  </sortState>
  <hyperlinks>
    <hyperlink ref="J387" r:id="rId1" xr:uid="{A05CDC27-286A-B746-9B5F-5B1E1B4E390C}"/>
    <hyperlink ref="J388" r:id="rId2" xr:uid="{38B35697-7F24-EC4B-A57C-DE1DBE79B23B}"/>
    <hyperlink ref="A1" location="Main!A1" display="Main" xr:uid="{F31EBBCB-3380-9C42-888A-851D8D1133D4}"/>
    <hyperlink ref="J447" r:id="rId3" xr:uid="{20A0E90C-AB43-B241-92A1-573A60CE2643}"/>
    <hyperlink ref="J448" r:id="rId4" xr:uid="{26AFB997-BCB0-BB40-9711-DDC7E3D45A27}"/>
    <hyperlink ref="J449" r:id="rId5" xr:uid="{4AF1ABAC-9AA9-4348-AAD5-005639523D12}"/>
    <hyperlink ref="J450" r:id="rId6" xr:uid="{53E22B75-910D-FA42-B4F9-5BBFBBACD597}"/>
    <hyperlink ref="J451" r:id="rId7" xr:uid="{ECD11D25-991A-1547-9A89-905FC9B1101F}"/>
    <hyperlink ref="J452" r:id="rId8" xr:uid="{5B43E000-5FB6-054A-9C7A-188CFB49418C}"/>
    <hyperlink ref="J453" r:id="rId9" xr:uid="{B3933FA6-C805-CD4C-B140-692B5686FBB8}"/>
    <hyperlink ref="J454" r:id="rId10" xr:uid="{68FC11E9-3503-C64A-9749-7F0682609AF6}"/>
    <hyperlink ref="J455"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baseColWidth="10" defaultColWidth="10.83203125" defaultRowHeight="13"/>
  <cols>
    <col min="1" max="1" width="4" style="236" customWidth="1"/>
    <col min="2" max="2" width="22.5" style="236" customWidth="1"/>
    <col min="3" max="4" width="10.83203125" style="250"/>
    <col min="5" max="5" width="14.83203125" style="236" bestFit="1" customWidth="1"/>
    <col min="6" max="6" width="22.1640625" style="236" customWidth="1"/>
    <col min="7" max="16384" width="10.83203125" style="236"/>
  </cols>
  <sheetData>
    <row r="2" spans="2:11">
      <c r="B2" s="49" t="s">
        <v>7828</v>
      </c>
    </row>
    <row r="3" spans="2:11">
      <c r="B3" s="49"/>
    </row>
    <row r="5" spans="2:11">
      <c r="B5" s="236" t="s">
        <v>3978</v>
      </c>
      <c r="C5" s="250" t="s">
        <v>1155</v>
      </c>
      <c r="D5" s="250" t="s">
        <v>7802</v>
      </c>
      <c r="E5" s="236" t="s">
        <v>7803</v>
      </c>
      <c r="F5" s="236" t="s">
        <v>7804</v>
      </c>
      <c r="G5" s="236" t="s">
        <v>7845</v>
      </c>
    </row>
    <row r="6" spans="2:11" ht="15">
      <c r="B6" s="236" t="s">
        <v>7801</v>
      </c>
      <c r="C6" s="250">
        <v>500</v>
      </c>
      <c r="D6" s="250">
        <v>217</v>
      </c>
      <c r="E6" s="236" t="s">
        <v>2062</v>
      </c>
      <c r="F6" s="261" t="s">
        <v>7805</v>
      </c>
      <c r="G6" s="44" t="s">
        <v>7846</v>
      </c>
      <c r="H6" s="236" t="s">
        <v>7847</v>
      </c>
    </row>
    <row r="7" spans="2:11">
      <c r="B7" s="236" t="s">
        <v>7835</v>
      </c>
      <c r="C7" s="250">
        <v>500</v>
      </c>
      <c r="D7" s="250">
        <v>500</v>
      </c>
      <c r="E7" s="236" t="s">
        <v>7836</v>
      </c>
      <c r="F7" s="236" t="s">
        <v>7832</v>
      </c>
      <c r="G7" s="236" t="s">
        <v>7848</v>
      </c>
    </row>
    <row r="8" spans="2:11" ht="15">
      <c r="B8" s="236" t="s">
        <v>7410</v>
      </c>
      <c r="C8" s="250">
        <v>1000</v>
      </c>
      <c r="D8" s="250" t="s">
        <v>1</v>
      </c>
      <c r="E8" s="236" t="s">
        <v>7834</v>
      </c>
      <c r="F8" s="236" t="s">
        <v>7833</v>
      </c>
      <c r="G8" s="44" t="s">
        <v>7850</v>
      </c>
      <c r="H8" s="44" t="s">
        <v>7849</v>
      </c>
      <c r="I8" s="44" t="s">
        <v>7851</v>
      </c>
      <c r="J8" s="44" t="s">
        <v>7852</v>
      </c>
      <c r="K8" s="44" t="s">
        <v>7853</v>
      </c>
    </row>
    <row r="9" spans="2:11">
      <c r="B9" s="236" t="s">
        <v>7806</v>
      </c>
      <c r="C9" s="250">
        <v>500</v>
      </c>
      <c r="D9" s="250" t="s">
        <v>1</v>
      </c>
      <c r="E9" s="236" t="s">
        <v>4</v>
      </c>
      <c r="F9" s="236" t="s">
        <v>7837</v>
      </c>
    </row>
    <row r="10" spans="2:11">
      <c r="B10" s="236" t="s">
        <v>7807</v>
      </c>
      <c r="C10" s="250">
        <v>62</v>
      </c>
      <c r="D10" s="250">
        <v>62</v>
      </c>
      <c r="E10" s="236" t="s">
        <v>7838</v>
      </c>
      <c r="F10" s="261" t="s">
        <v>7805</v>
      </c>
    </row>
    <row r="11" spans="2:11">
      <c r="B11" s="236" t="s">
        <v>339</v>
      </c>
      <c r="F11" s="236" t="s">
        <v>7839</v>
      </c>
    </row>
    <row r="12" spans="2:11">
      <c r="B12" s="236" t="s">
        <v>7830</v>
      </c>
      <c r="E12" s="236" t="s">
        <v>7841</v>
      </c>
      <c r="F12" s="236" t="s">
        <v>7840</v>
      </c>
    </row>
    <row r="13" spans="2:11" ht="15">
      <c r="B13" s="236" t="s">
        <v>7809</v>
      </c>
      <c r="F13" s="236" t="s">
        <v>7842</v>
      </c>
      <c r="G13" s="44" t="s">
        <v>7854</v>
      </c>
      <c r="H13" s="236" t="s">
        <v>7855</v>
      </c>
    </row>
    <row r="14" spans="2:11">
      <c r="B14" s="236" t="s">
        <v>7808</v>
      </c>
      <c r="F14" s="236" t="s">
        <v>7843</v>
      </c>
    </row>
    <row r="15" spans="2:11">
      <c r="B15" s="236" t="s">
        <v>1103</v>
      </c>
      <c r="F15" s="236" t="s">
        <v>7844</v>
      </c>
    </row>
    <row r="16" spans="2:11">
      <c r="B16" s="236" t="s">
        <v>7810</v>
      </c>
    </row>
    <row r="17" spans="2:6">
      <c r="B17" s="236" t="s">
        <v>10</v>
      </c>
    </row>
    <row r="18" spans="2:6">
      <c r="B18" s="236" t="s">
        <v>7811</v>
      </c>
    </row>
    <row r="19" spans="2:6">
      <c r="B19" s="236" t="s">
        <v>7829</v>
      </c>
    </row>
    <row r="20" spans="2:6">
      <c r="B20" s="236" t="s">
        <v>1001</v>
      </c>
    </row>
    <row r="21" spans="2:6">
      <c r="B21" s="236" t="s">
        <v>7812</v>
      </c>
    </row>
    <row r="22" spans="2:6">
      <c r="B22" s="236" t="s">
        <v>7813</v>
      </c>
    </row>
    <row r="23" spans="2:6">
      <c r="B23" s="236" t="s">
        <v>1053</v>
      </c>
    </row>
    <row r="24" spans="2:6">
      <c r="B24" s="236" t="s">
        <v>7814</v>
      </c>
    </row>
    <row r="25" spans="2:6">
      <c r="B25" s="236" t="s">
        <v>7815</v>
      </c>
    </row>
    <row r="26" spans="2:6">
      <c r="B26" s="236" t="s">
        <v>4396</v>
      </c>
    </row>
    <row r="27" spans="2:6">
      <c r="B27" s="236" t="s">
        <v>7816</v>
      </c>
    </row>
    <row r="28" spans="2:6">
      <c r="B28" s="236" t="s">
        <v>1130</v>
      </c>
      <c r="F28" s="269" t="s">
        <v>7947</v>
      </c>
    </row>
    <row r="29" spans="2:6">
      <c r="B29" s="236" t="s">
        <v>7817</v>
      </c>
    </row>
    <row r="30" spans="2:6">
      <c r="B30" s="236" t="s">
        <v>471</v>
      </c>
    </row>
    <row r="31" spans="2:6">
      <c r="B31" s="236" t="s">
        <v>2173</v>
      </c>
    </row>
    <row r="32" spans="2:6">
      <c r="B32" s="236" t="s">
        <v>1124</v>
      </c>
    </row>
    <row r="33" spans="2:2">
      <c r="B33" s="236" t="s">
        <v>7818</v>
      </c>
    </row>
    <row r="34" spans="2:2">
      <c r="B34" s="236" t="s">
        <v>1121</v>
      </c>
    </row>
    <row r="35" spans="2:2">
      <c r="B35" s="236" t="s">
        <v>1097</v>
      </c>
    </row>
    <row r="36" spans="2:2">
      <c r="B36" s="236" t="s">
        <v>7819</v>
      </c>
    </row>
    <row r="37" spans="2:2">
      <c r="B37" s="236" t="s">
        <v>1096</v>
      </c>
    </row>
    <row r="38" spans="2:2">
      <c r="B38" s="236" t="s">
        <v>7820</v>
      </c>
    </row>
    <row r="39" spans="2:2">
      <c r="B39" s="236" t="s">
        <v>4330</v>
      </c>
    </row>
    <row r="40" spans="2:2">
      <c r="B40" s="236" t="s">
        <v>704</v>
      </c>
    </row>
    <row r="41" spans="2:2">
      <c r="B41" s="236" t="s">
        <v>7821</v>
      </c>
    </row>
    <row r="42" spans="2:2">
      <c r="B42" s="236" t="s">
        <v>7822</v>
      </c>
    </row>
    <row r="43" spans="2:2">
      <c r="B43" s="236" t="s">
        <v>1092</v>
      </c>
    </row>
    <row r="44" spans="2:2">
      <c r="B44" s="236" t="s">
        <v>7823</v>
      </c>
    </row>
    <row r="45" spans="2:2">
      <c r="B45" s="236" t="s">
        <v>7824</v>
      </c>
    </row>
    <row r="46" spans="2:2">
      <c r="B46" s="236" t="s">
        <v>7825</v>
      </c>
    </row>
    <row r="47" spans="2:2">
      <c r="B47" s="236" t="s">
        <v>7831</v>
      </c>
    </row>
    <row r="48" spans="2:2">
      <c r="B48" s="236" t="s">
        <v>1058</v>
      </c>
    </row>
    <row r="49" spans="2:2">
      <c r="B49" s="236" t="s">
        <v>3893</v>
      </c>
    </row>
    <row r="50" spans="2:2">
      <c r="B50" s="236" t="s">
        <v>739</v>
      </c>
    </row>
    <row r="51" spans="2:2">
      <c r="B51" s="236" t="s">
        <v>7826</v>
      </c>
    </row>
    <row r="52" spans="2:2">
      <c r="B52" s="236" t="s">
        <v>1095</v>
      </c>
    </row>
    <row r="53" spans="2:2">
      <c r="B53" s="236" t="s">
        <v>7827</v>
      </c>
    </row>
    <row r="54" spans="2:2">
      <c r="B54" s="236" t="s">
        <v>774</v>
      </c>
    </row>
    <row r="55" spans="2:2">
      <c r="B55" s="236" t="s">
        <v>6400</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97"/>
  <sheetViews>
    <sheetView topLeftCell="A291" zoomScale="160" zoomScaleNormal="160" workbookViewId="0">
      <selection activeCell="C310" sqref="C310"/>
    </sheetView>
  </sheetViews>
  <sheetFormatPr baseColWidth="10" defaultColWidth="8.83203125" defaultRowHeight="13"/>
  <cols>
    <col min="1" max="1" width="4.33203125" style="108" bestFit="1" customWidth="1"/>
    <col min="2" max="2" width="28.1640625" style="108" customWidth="1"/>
    <col min="3" max="3" width="51.5" style="108" customWidth="1"/>
    <col min="4" max="4" width="6.1640625" style="108" customWidth="1"/>
    <col min="5" max="18" width="4.6640625" style="108" customWidth="1"/>
    <col min="19" max="16384" width="8.83203125" style="108"/>
  </cols>
  <sheetData>
    <row r="1" spans="1:3">
      <c r="A1" s="25" t="s">
        <v>1165</v>
      </c>
    </row>
    <row r="2" spans="1:3">
      <c r="A2" s="25"/>
      <c r="B2" s="108" t="s">
        <v>5237</v>
      </c>
      <c r="C2" s="108" t="s">
        <v>5243</v>
      </c>
    </row>
    <row r="3" spans="1:3">
      <c r="A3" s="25"/>
      <c r="B3" s="108" t="s">
        <v>4858</v>
      </c>
      <c r="C3" s="394" t="s">
        <v>9744</v>
      </c>
    </row>
    <row r="4" spans="1:3">
      <c r="A4" s="25"/>
      <c r="B4" s="175" t="s">
        <v>6664</v>
      </c>
      <c r="C4" s="175" t="s">
        <v>6665</v>
      </c>
    </row>
    <row r="5" spans="1:3">
      <c r="A5" s="25"/>
      <c r="B5" s="108" t="s">
        <v>4239</v>
      </c>
      <c r="C5" s="108" t="s">
        <v>5928</v>
      </c>
    </row>
    <row r="6" spans="1:3">
      <c r="A6" s="25"/>
      <c r="B6" s="108" t="s">
        <v>4416</v>
      </c>
      <c r="C6" s="108" t="s">
        <v>5207</v>
      </c>
    </row>
    <row r="7" spans="1:3">
      <c r="A7" s="25"/>
      <c r="B7" s="272" t="s">
        <v>8129</v>
      </c>
      <c r="C7" s="272" t="s">
        <v>8130</v>
      </c>
    </row>
    <row r="8" spans="1:3">
      <c r="A8" s="25"/>
      <c r="B8" s="108" t="s">
        <v>4412</v>
      </c>
    </row>
    <row r="9" spans="1:3">
      <c r="A9" s="25"/>
      <c r="B9" s="108" t="s">
        <v>4263</v>
      </c>
      <c r="C9" s="108" t="s">
        <v>4264</v>
      </c>
    </row>
    <row r="10" spans="1:3">
      <c r="B10" s="108" t="s">
        <v>4167</v>
      </c>
      <c r="C10" s="108" t="s">
        <v>4166</v>
      </c>
    </row>
    <row r="11" spans="1:3">
      <c r="B11" s="108" t="s">
        <v>5192</v>
      </c>
      <c r="C11" s="108" t="s">
        <v>5193</v>
      </c>
    </row>
    <row r="12" spans="1:3">
      <c r="B12" s="108" t="s">
        <v>4165</v>
      </c>
      <c r="C12" s="108" t="s">
        <v>4164</v>
      </c>
    </row>
    <row r="13" spans="1:3">
      <c r="B13" s="108" t="s">
        <v>4429</v>
      </c>
      <c r="C13" s="108" t="s">
        <v>4448</v>
      </c>
    </row>
    <row r="14" spans="1:3">
      <c r="B14" s="108" t="s">
        <v>4161</v>
      </c>
      <c r="C14" s="108" t="s">
        <v>4160</v>
      </c>
    </row>
    <row r="15" spans="1:3">
      <c r="B15" s="108" t="s">
        <v>4834</v>
      </c>
    </row>
    <row r="16" spans="1:3">
      <c r="B16" s="108" t="s">
        <v>4157</v>
      </c>
      <c r="C16" s="108" t="s">
        <v>4156</v>
      </c>
    </row>
    <row r="17" spans="2:3">
      <c r="B17" s="108" t="s">
        <v>4643</v>
      </c>
      <c r="C17" s="108" t="s">
        <v>6097</v>
      </c>
    </row>
    <row r="18" spans="2:3">
      <c r="B18" s="108" t="s">
        <v>4410</v>
      </c>
    </row>
    <row r="19" spans="2:3">
      <c r="B19" s="108" t="s">
        <v>6331</v>
      </c>
    </row>
    <row r="20" spans="2:3">
      <c r="B20" s="43" t="s">
        <v>4644</v>
      </c>
      <c r="C20" s="43" t="s">
        <v>9748</v>
      </c>
    </row>
    <row r="21" spans="2:3">
      <c r="B21" s="108" t="s">
        <v>4151</v>
      </c>
      <c r="C21" s="108" t="s">
        <v>4150</v>
      </c>
    </row>
    <row r="22" spans="2:3">
      <c r="B22" s="108" t="s">
        <v>4148</v>
      </c>
    </row>
    <row r="23" spans="2:3">
      <c r="B23" s="108" t="s">
        <v>5256</v>
      </c>
    </row>
    <row r="24" spans="2:3">
      <c r="B24" s="382" t="s">
        <v>9597</v>
      </c>
      <c r="C24" s="382" t="s">
        <v>9598</v>
      </c>
    </row>
    <row r="25" spans="2:3">
      <c r="B25" s="108" t="s">
        <v>4145</v>
      </c>
      <c r="C25" s="272" t="s">
        <v>5374</v>
      </c>
    </row>
    <row r="26" spans="2:3">
      <c r="B26" s="108" t="s">
        <v>4235</v>
      </c>
    </row>
    <row r="27" spans="2:3">
      <c r="B27" s="272" t="s">
        <v>8031</v>
      </c>
      <c r="C27" s="272" t="s">
        <v>8032</v>
      </c>
    </row>
    <row r="28" spans="2:3">
      <c r="B28" s="108" t="s">
        <v>4142</v>
      </c>
      <c r="C28" s="108" t="s">
        <v>4141</v>
      </c>
    </row>
    <row r="29" spans="2:3">
      <c r="B29" s="108" t="s">
        <v>4261</v>
      </c>
      <c r="C29" s="108" t="s">
        <v>4262</v>
      </c>
    </row>
    <row r="30" spans="2:3">
      <c r="B30" s="108" t="s">
        <v>4140</v>
      </c>
      <c r="C30" s="108" t="s">
        <v>3997</v>
      </c>
    </row>
    <row r="31" spans="2:3">
      <c r="B31" s="205" t="s">
        <v>7204</v>
      </c>
      <c r="C31" s="205" t="s">
        <v>7205</v>
      </c>
    </row>
    <row r="32" spans="2:3">
      <c r="B32" s="382" t="s">
        <v>9478</v>
      </c>
      <c r="C32" s="382" t="s">
        <v>9479</v>
      </c>
    </row>
    <row r="33" spans="2:3">
      <c r="B33" s="108" t="s">
        <v>6115</v>
      </c>
      <c r="C33" s="108" t="s">
        <v>6116</v>
      </c>
    </row>
    <row r="34" spans="2:3">
      <c r="B34" s="382" t="s">
        <v>9488</v>
      </c>
      <c r="C34" s="382" t="s">
        <v>9489</v>
      </c>
    </row>
    <row r="35" spans="2:3">
      <c r="B35" s="108" t="s">
        <v>5947</v>
      </c>
      <c r="C35" s="108" t="s">
        <v>5948</v>
      </c>
    </row>
    <row r="36" spans="2:3">
      <c r="B36" s="108" t="s">
        <v>6100</v>
      </c>
      <c r="C36" s="108" t="s">
        <v>6099</v>
      </c>
    </row>
    <row r="37" spans="2:3">
      <c r="B37" s="108" t="s">
        <v>4137</v>
      </c>
      <c r="C37" s="108" t="s">
        <v>3997</v>
      </c>
    </row>
    <row r="38" spans="2:3">
      <c r="B38" s="108" t="s">
        <v>4135</v>
      </c>
      <c r="C38" s="108" t="s">
        <v>4134</v>
      </c>
    </row>
    <row r="39" spans="2:3">
      <c r="B39" s="108" t="s">
        <v>6101</v>
      </c>
    </row>
    <row r="40" spans="2:3">
      <c r="B40" s="108" t="s">
        <v>6102</v>
      </c>
      <c r="C40" s="108" t="s">
        <v>6099</v>
      </c>
    </row>
    <row r="41" spans="2:3">
      <c r="B41" s="175" t="s">
        <v>6968</v>
      </c>
      <c r="C41" s="175" t="s">
        <v>6969</v>
      </c>
    </row>
    <row r="42" spans="2:3">
      <c r="B42" s="108" t="s">
        <v>4132</v>
      </c>
      <c r="C42" s="272" t="s">
        <v>4642</v>
      </c>
    </row>
    <row r="43" spans="2:3">
      <c r="B43" s="108" t="s">
        <v>3851</v>
      </c>
      <c r="C43" s="108" t="s">
        <v>6330</v>
      </c>
    </row>
    <row r="44" spans="2:3">
      <c r="B44" s="382" t="s">
        <v>9480</v>
      </c>
      <c r="C44" s="382" t="s">
        <v>9481</v>
      </c>
    </row>
    <row r="45" spans="2:3">
      <c r="B45" s="175" t="s">
        <v>6974</v>
      </c>
      <c r="C45" s="175" t="s">
        <v>6975</v>
      </c>
    </row>
    <row r="46" spans="2:3">
      <c r="B46" s="108" t="s">
        <v>5314</v>
      </c>
      <c r="C46" s="108" t="s">
        <v>5315</v>
      </c>
    </row>
    <row r="47" spans="2:3">
      <c r="B47" s="175" t="s">
        <v>6737</v>
      </c>
      <c r="C47" s="175" t="s">
        <v>5948</v>
      </c>
    </row>
    <row r="48" spans="2:3">
      <c r="B48" s="382" t="s">
        <v>9472</v>
      </c>
      <c r="C48" s="382" t="s">
        <v>9473</v>
      </c>
    </row>
    <row r="49" spans="2:3">
      <c r="B49" s="175" t="s">
        <v>7098</v>
      </c>
      <c r="C49" s="175" t="s">
        <v>7099</v>
      </c>
    </row>
    <row r="50" spans="2:3">
      <c r="B50" s="108" t="s">
        <v>5932</v>
      </c>
      <c r="C50" s="108" t="s">
        <v>5933</v>
      </c>
    </row>
    <row r="51" spans="2:3">
      <c r="B51" s="108" t="s">
        <v>4130</v>
      </c>
    </row>
    <row r="52" spans="2:3">
      <c r="B52" s="108" t="s">
        <v>4127</v>
      </c>
      <c r="C52" s="108" t="s">
        <v>4126</v>
      </c>
    </row>
    <row r="53" spans="2:3">
      <c r="B53" s="108" t="s">
        <v>5934</v>
      </c>
      <c r="C53" s="108" t="s">
        <v>5935</v>
      </c>
    </row>
    <row r="54" spans="2:3">
      <c r="B54" s="108" t="s">
        <v>4404</v>
      </c>
    </row>
    <row r="55" spans="2:3">
      <c r="B55" s="108" t="s">
        <v>6111</v>
      </c>
    </row>
    <row r="56" spans="2:3">
      <c r="B56" s="108" t="s">
        <v>5252</v>
      </c>
    </row>
    <row r="57" spans="2:3">
      <c r="B57" s="43" t="s">
        <v>4124</v>
      </c>
      <c r="C57" s="394" t="s">
        <v>9671</v>
      </c>
    </row>
    <row r="58" spans="2:3">
      <c r="B58" s="272" t="s">
        <v>9446</v>
      </c>
      <c r="C58" s="272" t="s">
        <v>9447</v>
      </c>
    </row>
    <row r="59" spans="2:3">
      <c r="B59" s="416" t="s">
        <v>10755</v>
      </c>
      <c r="C59" s="416" t="s">
        <v>10756</v>
      </c>
    </row>
    <row r="60" spans="2:3">
      <c r="B60" s="108" t="s">
        <v>4123</v>
      </c>
      <c r="C60" s="108" t="s">
        <v>4122</v>
      </c>
    </row>
    <row r="61" spans="2:3">
      <c r="B61" s="108" t="s">
        <v>4120</v>
      </c>
    </row>
    <row r="62" spans="2:3">
      <c r="B62" s="394" t="s">
        <v>9676</v>
      </c>
      <c r="C62" s="394" t="s">
        <v>9677</v>
      </c>
    </row>
    <row r="63" spans="2:3">
      <c r="B63" s="108" t="s">
        <v>4439</v>
      </c>
      <c r="C63" s="108" t="s">
        <v>4891</v>
      </c>
    </row>
    <row r="64" spans="2:3">
      <c r="B64" s="108" t="s">
        <v>4117</v>
      </c>
      <c r="C64" s="108" t="s">
        <v>4116</v>
      </c>
    </row>
    <row r="65" spans="2:3">
      <c r="B65" s="108" t="s">
        <v>4431</v>
      </c>
    </row>
    <row r="66" spans="2:3">
      <c r="B66" s="108" t="s">
        <v>4234</v>
      </c>
    </row>
    <row r="67" spans="2:3">
      <c r="B67" s="205" t="s">
        <v>7206</v>
      </c>
      <c r="C67" s="205" t="s">
        <v>7207</v>
      </c>
    </row>
    <row r="68" spans="2:3">
      <c r="B68" s="108" t="s">
        <v>6328</v>
      </c>
      <c r="C68" s="108" t="s">
        <v>6329</v>
      </c>
    </row>
    <row r="69" spans="2:3">
      <c r="B69" s="393" t="s">
        <v>9660</v>
      </c>
      <c r="C69" s="393" t="s">
        <v>9661</v>
      </c>
    </row>
    <row r="70" spans="2:3">
      <c r="B70" s="394" t="s">
        <v>9663</v>
      </c>
      <c r="C70" s="394" t="s">
        <v>9664</v>
      </c>
    </row>
    <row r="71" spans="2:3">
      <c r="B71" s="108" t="s">
        <v>4113</v>
      </c>
      <c r="C71" s="108" t="s">
        <v>4447</v>
      </c>
    </row>
    <row r="72" spans="2:3">
      <c r="B72" s="108" t="s">
        <v>4436</v>
      </c>
      <c r="C72" s="108" t="s">
        <v>4437</v>
      </c>
    </row>
    <row r="73" spans="2:3">
      <c r="B73" s="108" t="s">
        <v>4110</v>
      </c>
      <c r="C73" s="108" t="s">
        <v>4109</v>
      </c>
    </row>
    <row r="74" spans="2:3">
      <c r="B74" s="108" t="s">
        <v>5939</v>
      </c>
      <c r="C74" s="108" t="s">
        <v>5940</v>
      </c>
    </row>
    <row r="75" spans="2:3" ht="56">
      <c r="B75" s="108" t="s">
        <v>4450</v>
      </c>
      <c r="C75" s="258" t="s">
        <v>7777</v>
      </c>
    </row>
    <row r="76" spans="2:3">
      <c r="B76" s="108" t="s">
        <v>4107</v>
      </c>
    </row>
    <row r="77" spans="2:3">
      <c r="B77" s="205" t="s">
        <v>7131</v>
      </c>
      <c r="C77" s="205" t="s">
        <v>7132</v>
      </c>
    </row>
    <row r="78" spans="2:3">
      <c r="B78" s="394" t="s">
        <v>9752</v>
      </c>
      <c r="C78" s="394" t="s">
        <v>9753</v>
      </c>
    </row>
    <row r="79" spans="2:3">
      <c r="B79" s="394" t="s">
        <v>9750</v>
      </c>
      <c r="C79" s="394" t="s">
        <v>9748</v>
      </c>
    </row>
    <row r="80" spans="2:3" ht="28" customHeight="1">
      <c r="B80" s="108" t="s">
        <v>4105</v>
      </c>
      <c r="C80" s="258" t="s">
        <v>4104</v>
      </c>
    </row>
    <row r="81" spans="2:3">
      <c r="B81" s="108" t="s">
        <v>5270</v>
      </c>
      <c r="C81" s="108" t="s">
        <v>5271</v>
      </c>
    </row>
    <row r="82" spans="2:3" ht="148" customHeight="1">
      <c r="B82" s="43" t="s">
        <v>4246</v>
      </c>
      <c r="C82" s="308" t="s">
        <v>8128</v>
      </c>
    </row>
    <row r="83" spans="2:3" ht="14">
      <c r="B83" s="43" t="s">
        <v>7778</v>
      </c>
      <c r="C83" s="258" t="s">
        <v>7779</v>
      </c>
    </row>
    <row r="84" spans="2:3">
      <c r="B84" s="108" t="s">
        <v>5198</v>
      </c>
      <c r="C84" s="245" t="s">
        <v>7773</v>
      </c>
    </row>
    <row r="85" spans="2:3" ht="40" customHeight="1">
      <c r="B85" s="175" t="s">
        <v>6976</v>
      </c>
      <c r="C85" s="258" t="s">
        <v>7774</v>
      </c>
    </row>
    <row r="86" spans="2:3" ht="14">
      <c r="B86" s="382" t="s">
        <v>9468</v>
      </c>
      <c r="C86" s="383" t="s">
        <v>9469</v>
      </c>
    </row>
    <row r="87" spans="2:3">
      <c r="B87" s="108" t="s">
        <v>5945</v>
      </c>
      <c r="C87" s="108" t="s">
        <v>5946</v>
      </c>
    </row>
    <row r="88" spans="2:3" ht="42">
      <c r="B88" s="108" t="s">
        <v>5936</v>
      </c>
      <c r="C88" s="229" t="s">
        <v>5937</v>
      </c>
    </row>
    <row r="89" spans="2:3">
      <c r="B89" s="108" t="s">
        <v>5253</v>
      </c>
    </row>
    <row r="90" spans="2:3">
      <c r="B90" s="108" t="s">
        <v>1250</v>
      </c>
      <c r="C90" s="108" t="s">
        <v>4249</v>
      </c>
    </row>
    <row r="91" spans="2:3">
      <c r="B91" s="108" t="s">
        <v>4411</v>
      </c>
      <c r="C91" s="272" t="s">
        <v>8028</v>
      </c>
    </row>
    <row r="92" spans="2:3">
      <c r="B92" s="175" t="s">
        <v>7117</v>
      </c>
      <c r="C92" s="245" t="s">
        <v>7780</v>
      </c>
    </row>
    <row r="93" spans="2:3">
      <c r="B93" s="108" t="s">
        <v>4423</v>
      </c>
    </row>
    <row r="94" spans="2:3">
      <c r="B94" s="108" t="s">
        <v>5379</v>
      </c>
    </row>
    <row r="95" spans="2:3">
      <c r="B95" s="108" t="s">
        <v>4101</v>
      </c>
      <c r="C95" s="108" t="s">
        <v>4100</v>
      </c>
    </row>
    <row r="96" spans="2:3">
      <c r="B96" s="175" t="s">
        <v>7120</v>
      </c>
      <c r="C96" s="175" t="s">
        <v>7121</v>
      </c>
    </row>
    <row r="97" spans="2:3">
      <c r="B97" s="108" t="s">
        <v>4097</v>
      </c>
      <c r="C97" s="108" t="s">
        <v>4446</v>
      </c>
    </row>
    <row r="98" spans="2:3">
      <c r="B98" s="108" t="s">
        <v>4409</v>
      </c>
    </row>
    <row r="99" spans="2:3">
      <c r="B99" s="159" t="s">
        <v>6589</v>
      </c>
      <c r="C99" s="159" t="s">
        <v>6590</v>
      </c>
    </row>
    <row r="100" spans="2:3">
      <c r="B100" s="108" t="s">
        <v>5264</v>
      </c>
      <c r="C100" s="108" t="s">
        <v>5265</v>
      </c>
    </row>
    <row r="101" spans="2:3">
      <c r="B101" s="108" t="s">
        <v>4094</v>
      </c>
      <c r="C101" s="108" t="s">
        <v>4093</v>
      </c>
    </row>
    <row r="102" spans="2:3">
      <c r="B102" s="205" t="s">
        <v>7140</v>
      </c>
      <c r="C102" s="205" t="s">
        <v>7141</v>
      </c>
    </row>
    <row r="103" spans="2:3">
      <c r="B103" s="175" t="s">
        <v>6987</v>
      </c>
      <c r="C103" s="175" t="s">
        <v>6988</v>
      </c>
    </row>
    <row r="104" spans="2:3">
      <c r="B104" s="108" t="s">
        <v>5188</v>
      </c>
      <c r="C104" s="108" t="s">
        <v>5189</v>
      </c>
    </row>
    <row r="105" spans="2:3">
      <c r="B105" s="272" t="s">
        <v>9448</v>
      </c>
      <c r="C105" s="272" t="s">
        <v>9449</v>
      </c>
    </row>
    <row r="106" spans="2:3">
      <c r="B106" s="108" t="s">
        <v>5260</v>
      </c>
      <c r="C106" s="108" t="s">
        <v>5261</v>
      </c>
    </row>
    <row r="107" spans="2:3">
      <c r="B107" s="108" t="s">
        <v>5205</v>
      </c>
      <c r="C107" s="108" t="s">
        <v>5239</v>
      </c>
    </row>
    <row r="108" spans="2:3">
      <c r="B108" s="108" t="s">
        <v>5206</v>
      </c>
    </row>
    <row r="109" spans="2:3">
      <c r="B109" s="108" t="s">
        <v>5272</v>
      </c>
      <c r="C109" s="108" t="s">
        <v>5273</v>
      </c>
    </row>
    <row r="110" spans="2:3">
      <c r="B110" s="108" t="s">
        <v>4443</v>
      </c>
      <c r="C110" s="108" t="s">
        <v>4444</v>
      </c>
    </row>
    <row r="111" spans="2:3">
      <c r="B111" s="108" t="s">
        <v>4092</v>
      </c>
      <c r="C111" s="394" t="s">
        <v>9795</v>
      </c>
    </row>
    <row r="112" spans="2:3">
      <c r="B112" s="245" t="s">
        <v>7663</v>
      </c>
    </row>
    <row r="113" spans="2:3">
      <c r="B113" s="205" t="s">
        <v>7187</v>
      </c>
      <c r="C113" s="205" t="s">
        <v>7188</v>
      </c>
    </row>
    <row r="114" spans="2:3">
      <c r="B114" s="108" t="s">
        <v>4091</v>
      </c>
    </row>
    <row r="115" spans="2:3">
      <c r="B115" s="245" t="s">
        <v>7643</v>
      </c>
      <c r="C115" s="245" t="s">
        <v>7644</v>
      </c>
    </row>
    <row r="116" spans="2:3">
      <c r="B116" s="108" t="s">
        <v>4641</v>
      </c>
    </row>
    <row r="117" spans="2:3">
      <c r="B117" s="205" t="s">
        <v>7183</v>
      </c>
      <c r="C117" s="205" t="s">
        <v>7184</v>
      </c>
    </row>
    <row r="118" spans="2:3">
      <c r="B118" s="394" t="s">
        <v>9754</v>
      </c>
      <c r="C118" s="394" t="s">
        <v>9755</v>
      </c>
    </row>
    <row r="119" spans="2:3">
      <c r="B119" s="382" t="s">
        <v>9474</v>
      </c>
      <c r="C119" s="382" t="s">
        <v>9475</v>
      </c>
    </row>
    <row r="120" spans="2:3">
      <c r="B120" s="108" t="s">
        <v>4433</v>
      </c>
    </row>
    <row r="121" spans="2:3">
      <c r="B121" s="108" t="s">
        <v>4090</v>
      </c>
    </row>
    <row r="122" spans="2:3">
      <c r="B122" s="108" t="s">
        <v>4089</v>
      </c>
      <c r="C122" s="108" t="s">
        <v>4088</v>
      </c>
    </row>
    <row r="123" spans="2:3">
      <c r="B123" s="270" t="s">
        <v>7952</v>
      </c>
    </row>
    <row r="124" spans="2:3">
      <c r="B124" s="108" t="s">
        <v>4251</v>
      </c>
      <c r="C124" s="108" t="s">
        <v>4252</v>
      </c>
    </row>
    <row r="125" spans="2:3">
      <c r="B125" s="108" t="s">
        <v>4087</v>
      </c>
      <c r="C125" s="108" t="s">
        <v>4086</v>
      </c>
    </row>
    <row r="126" spans="2:3">
      <c r="B126" s="108" t="s">
        <v>5259</v>
      </c>
    </row>
    <row r="127" spans="2:3">
      <c r="B127" s="108" t="s">
        <v>4085</v>
      </c>
      <c r="C127" s="108" t="s">
        <v>5375</v>
      </c>
    </row>
    <row r="128" spans="2:3">
      <c r="B128" s="108" t="s">
        <v>4084</v>
      </c>
    </row>
    <row r="129" spans="2:3">
      <c r="B129" s="108" t="s">
        <v>4083</v>
      </c>
      <c r="C129" s="108" t="s">
        <v>4082</v>
      </c>
    </row>
    <row r="130" spans="2:3">
      <c r="B130" s="175" t="s">
        <v>7100</v>
      </c>
      <c r="C130" s="175" t="s">
        <v>7101</v>
      </c>
    </row>
    <row r="131" spans="2:3">
      <c r="B131" s="108" t="s">
        <v>4081</v>
      </c>
      <c r="C131" s="108" t="s">
        <v>4080</v>
      </c>
    </row>
    <row r="132" spans="2:3">
      <c r="B132" s="108" t="s">
        <v>4079</v>
      </c>
      <c r="C132" s="108" t="s">
        <v>4078</v>
      </c>
    </row>
    <row r="133" spans="2:3">
      <c r="B133" s="394" t="s">
        <v>9666</v>
      </c>
      <c r="C133" s="394" t="s">
        <v>9667</v>
      </c>
    </row>
    <row r="134" spans="2:3">
      <c r="B134" s="272" t="s">
        <v>8221</v>
      </c>
      <c r="C134" s="394" t="s">
        <v>9674</v>
      </c>
    </row>
    <row r="135" spans="2:3">
      <c r="B135" s="108" t="s">
        <v>4077</v>
      </c>
      <c r="C135" s="245" t="s">
        <v>7769</v>
      </c>
    </row>
    <row r="136" spans="2:3">
      <c r="B136" s="394" t="s">
        <v>9743</v>
      </c>
      <c r="C136" s="394" t="s">
        <v>9747</v>
      </c>
    </row>
    <row r="137" spans="2:3">
      <c r="B137" s="272" t="s">
        <v>8222</v>
      </c>
      <c r="C137" s="272" t="s">
        <v>8223</v>
      </c>
    </row>
    <row r="138" spans="2:3">
      <c r="B138" s="108" t="s">
        <v>5662</v>
      </c>
      <c r="C138" s="108" t="s">
        <v>5938</v>
      </c>
    </row>
    <row r="139" spans="2:3">
      <c r="B139" s="108" t="s">
        <v>5257</v>
      </c>
    </row>
    <row r="140" spans="2:3">
      <c r="B140" s="108" t="s">
        <v>4076</v>
      </c>
      <c r="C140" s="272" t="s">
        <v>8137</v>
      </c>
    </row>
    <row r="141" spans="2:3">
      <c r="B141" s="108" t="s">
        <v>5249</v>
      </c>
    </row>
    <row r="142" spans="2:3">
      <c r="B142" s="272" t="s">
        <v>8014</v>
      </c>
      <c r="C142" s="272" t="s">
        <v>8022</v>
      </c>
    </row>
    <row r="143" spans="2:3">
      <c r="B143" s="108" t="s">
        <v>4075</v>
      </c>
      <c r="C143" s="108" t="s">
        <v>4074</v>
      </c>
    </row>
    <row r="144" spans="2:3">
      <c r="B144" s="108" t="s">
        <v>4432</v>
      </c>
    </row>
    <row r="145" spans="2:3">
      <c r="B145" s="245" t="s">
        <v>7767</v>
      </c>
    </row>
    <row r="146" spans="2:3">
      <c r="B146" s="205" t="s">
        <v>7138</v>
      </c>
      <c r="C146" s="205" t="s">
        <v>7139</v>
      </c>
    </row>
    <row r="147" spans="2:3">
      <c r="B147" s="108" t="s">
        <v>4854</v>
      </c>
      <c r="C147" s="108" t="s">
        <v>4855</v>
      </c>
    </row>
    <row r="148" spans="2:3">
      <c r="B148" s="205" t="s">
        <v>7194</v>
      </c>
    </row>
    <row r="149" spans="2:3">
      <c r="B149" s="108" t="s">
        <v>5197</v>
      </c>
      <c r="C149" s="108" t="s">
        <v>5241</v>
      </c>
    </row>
    <row r="150" spans="2:3">
      <c r="B150" s="108" t="s">
        <v>5210</v>
      </c>
      <c r="C150" s="108" t="s">
        <v>5211</v>
      </c>
    </row>
    <row r="151" spans="2:3">
      <c r="B151" s="108" t="s">
        <v>926</v>
      </c>
      <c r="C151" s="108" t="s">
        <v>4426</v>
      </c>
    </row>
    <row r="152" spans="2:3">
      <c r="B152" s="108" t="s">
        <v>4863</v>
      </c>
      <c r="C152" s="272" t="s">
        <v>8026</v>
      </c>
    </row>
    <row r="153" spans="2:3">
      <c r="B153" s="108" t="s">
        <v>4425</v>
      </c>
      <c r="C153" s="245" t="s">
        <v>7762</v>
      </c>
    </row>
    <row r="154" spans="2:3">
      <c r="B154" s="175" t="s">
        <v>6980</v>
      </c>
      <c r="C154" s="175" t="s">
        <v>6981</v>
      </c>
    </row>
    <row r="155" spans="2:3">
      <c r="B155" s="108" t="s">
        <v>6107</v>
      </c>
      <c r="C155" s="108" t="s">
        <v>6117</v>
      </c>
    </row>
    <row r="156" spans="2:3">
      <c r="B156" s="108" t="s">
        <v>4243</v>
      </c>
      <c r="C156" s="394" t="s">
        <v>9678</v>
      </c>
    </row>
    <row r="157" spans="2:3">
      <c r="B157" s="394" t="s">
        <v>7680</v>
      </c>
      <c r="C157" s="394"/>
    </row>
    <row r="158" spans="2:3">
      <c r="B158" s="159" t="s">
        <v>6595</v>
      </c>
      <c r="C158" s="159" t="s">
        <v>6596</v>
      </c>
    </row>
    <row r="159" spans="2:3">
      <c r="B159" s="108" t="s">
        <v>6305</v>
      </c>
      <c r="C159" s="108" t="s">
        <v>6306</v>
      </c>
    </row>
    <row r="160" spans="2:3">
      <c r="B160" s="108" t="s">
        <v>5182</v>
      </c>
      <c r="C160" s="108" t="s">
        <v>5183</v>
      </c>
    </row>
    <row r="161" spans="2:3">
      <c r="B161" s="272" t="s">
        <v>8219</v>
      </c>
      <c r="C161" s="394" t="s">
        <v>9662</v>
      </c>
    </row>
    <row r="162" spans="2:3">
      <c r="B162" s="108" t="s">
        <v>4438</v>
      </c>
      <c r="C162" s="205" t="s">
        <v>7137</v>
      </c>
    </row>
    <row r="163" spans="2:3">
      <c r="B163" s="175" t="s">
        <v>7094</v>
      </c>
      <c r="C163" s="175" t="s">
        <v>7095</v>
      </c>
    </row>
    <row r="164" spans="2:3">
      <c r="B164" s="245" t="s">
        <v>7782</v>
      </c>
      <c r="C164" s="245" t="s">
        <v>7783</v>
      </c>
    </row>
    <row r="165" spans="2:3" ht="16">
      <c r="B165"/>
    </row>
    <row r="166" spans="2:3" ht="16">
      <c r="B166"/>
    </row>
    <row r="167" spans="2:3" ht="16">
      <c r="B167"/>
    </row>
    <row r="168" spans="2:3" ht="16">
      <c r="B168"/>
    </row>
    <row r="169" spans="2:3">
      <c r="B169" s="108" t="s">
        <v>6105</v>
      </c>
      <c r="C169" s="108" t="s">
        <v>6106</v>
      </c>
    </row>
    <row r="170" spans="2:3">
      <c r="B170" s="108" t="s">
        <v>4233</v>
      </c>
    </row>
    <row r="171" spans="2:3">
      <c r="B171" s="245" t="s">
        <v>7664</v>
      </c>
    </row>
    <row r="172" spans="2:3">
      <c r="B172" s="108" t="s">
        <v>5266</v>
      </c>
      <c r="C172" s="108" t="s">
        <v>5267</v>
      </c>
    </row>
    <row r="173" spans="2:3">
      <c r="B173" s="245" t="s">
        <v>7775</v>
      </c>
      <c r="C173" s="245" t="s">
        <v>7776</v>
      </c>
    </row>
    <row r="174" spans="2:3">
      <c r="B174" s="108" t="s">
        <v>4073</v>
      </c>
      <c r="C174" s="108" t="s">
        <v>4072</v>
      </c>
    </row>
    <row r="175" spans="2:3">
      <c r="B175" s="108" t="s">
        <v>4071</v>
      </c>
    </row>
    <row r="176" spans="2:3">
      <c r="B176" s="108" t="s">
        <v>4070</v>
      </c>
      <c r="C176" s="108" t="s">
        <v>4069</v>
      </c>
    </row>
    <row r="177" spans="2:3">
      <c r="B177" s="108" t="s">
        <v>4424</v>
      </c>
    </row>
    <row r="178" spans="2:3">
      <c r="B178" s="108" t="s">
        <v>4417</v>
      </c>
      <c r="C178" s="245" t="s">
        <v>7760</v>
      </c>
    </row>
    <row r="179" spans="2:3">
      <c r="B179" s="108" t="s">
        <v>4068</v>
      </c>
      <c r="C179" s="108" t="s">
        <v>4067</v>
      </c>
    </row>
    <row r="180" spans="2:3">
      <c r="B180" s="108" t="s">
        <v>4066</v>
      </c>
      <c r="C180" s="108" t="s">
        <v>4065</v>
      </c>
    </row>
    <row r="181" spans="2:3">
      <c r="B181" s="108" t="s">
        <v>5200</v>
      </c>
    </row>
    <row r="182" spans="2:3">
      <c r="B182" s="394" t="s">
        <v>9672</v>
      </c>
    </row>
    <row r="183" spans="2:3">
      <c r="B183" s="245" t="s">
        <v>7761</v>
      </c>
    </row>
    <row r="184" spans="2:3">
      <c r="B184" s="108" t="s">
        <v>4064</v>
      </c>
      <c r="C184" s="108" t="s">
        <v>6007</v>
      </c>
    </row>
    <row r="185" spans="2:3">
      <c r="B185" s="212" t="s">
        <v>7309</v>
      </c>
      <c r="C185" s="212" t="s">
        <v>7310</v>
      </c>
    </row>
    <row r="186" spans="2:3">
      <c r="B186" s="108" t="s">
        <v>5201</v>
      </c>
    </row>
    <row r="187" spans="2:3">
      <c r="B187" s="108" t="s">
        <v>6112</v>
      </c>
    </row>
    <row r="188" spans="2:3">
      <c r="B188" s="205" t="s">
        <v>7210</v>
      </c>
      <c r="C188" s="205" t="s">
        <v>7211</v>
      </c>
    </row>
    <row r="189" spans="2:3">
      <c r="B189" s="205" t="s">
        <v>7311</v>
      </c>
      <c r="C189" s="205" t="s">
        <v>7312</v>
      </c>
    </row>
    <row r="190" spans="2:3">
      <c r="B190" s="205" t="s">
        <v>7313</v>
      </c>
      <c r="C190" s="205" t="s">
        <v>7314</v>
      </c>
    </row>
    <row r="191" spans="2:3">
      <c r="B191" s="108" t="s">
        <v>4063</v>
      </c>
      <c r="C191" s="108" t="s">
        <v>4898</v>
      </c>
    </row>
    <row r="192" spans="2:3">
      <c r="B192" s="108" t="s">
        <v>4062</v>
      </c>
    </row>
    <row r="193" spans="2:4">
      <c r="B193" s="108" t="s">
        <v>4061</v>
      </c>
      <c r="C193" s="394" t="s">
        <v>9675</v>
      </c>
    </row>
    <row r="194" spans="2:4" ht="18">
      <c r="C194" s="273" t="s">
        <v>8016</v>
      </c>
      <c r="D194" s="272" t="s">
        <v>8015</v>
      </c>
    </row>
    <row r="195" spans="2:4" ht="18">
      <c r="C195" s="273" t="s">
        <v>8017</v>
      </c>
      <c r="D195" s="272" t="s">
        <v>8015</v>
      </c>
    </row>
    <row r="196" spans="2:4" ht="18">
      <c r="C196" s="273" t="s">
        <v>8018</v>
      </c>
      <c r="D196" s="272" t="s">
        <v>8020</v>
      </c>
    </row>
    <row r="197" spans="2:4" ht="18">
      <c r="C197" s="273" t="s">
        <v>8019</v>
      </c>
      <c r="D197" s="272" t="s">
        <v>8015</v>
      </c>
    </row>
    <row r="198" spans="2:4" ht="18">
      <c r="C198" s="273" t="s">
        <v>8023</v>
      </c>
      <c r="D198" s="272" t="s">
        <v>8021</v>
      </c>
    </row>
    <row r="199" spans="2:4" ht="18">
      <c r="C199" s="273" t="s">
        <v>8024</v>
      </c>
      <c r="D199" s="272"/>
    </row>
    <row r="200" spans="2:4">
      <c r="B200" s="416" t="s">
        <v>10758</v>
      </c>
      <c r="C200" s="417" t="s">
        <v>10759</v>
      </c>
      <c r="D200" s="272"/>
    </row>
    <row r="201" spans="2:4">
      <c r="B201" s="43" t="s">
        <v>4060</v>
      </c>
      <c r="C201" s="43" t="s">
        <v>9758</v>
      </c>
    </row>
    <row r="202" spans="2:4">
      <c r="B202" s="43" t="s">
        <v>5202</v>
      </c>
      <c r="C202" s="43"/>
    </row>
    <row r="203" spans="2:4">
      <c r="B203" s="108" t="s">
        <v>4440</v>
      </c>
      <c r="C203" s="108" t="s">
        <v>4441</v>
      </c>
    </row>
    <row r="204" spans="2:4">
      <c r="B204" s="108" t="s">
        <v>4247</v>
      </c>
      <c r="C204" s="108" t="s">
        <v>4248</v>
      </c>
    </row>
    <row r="205" spans="2:4">
      <c r="B205" s="108" t="s">
        <v>4415</v>
      </c>
    </row>
    <row r="206" spans="2:4">
      <c r="B206" s="108" t="s">
        <v>4059</v>
      </c>
      <c r="C206" s="108" t="s">
        <v>4058</v>
      </c>
    </row>
    <row r="207" spans="2:4">
      <c r="B207" s="108" t="s">
        <v>4057</v>
      </c>
      <c r="C207" s="108" t="s">
        <v>4056</v>
      </c>
    </row>
    <row r="208" spans="2:4">
      <c r="B208" s="175" t="s">
        <v>7118</v>
      </c>
      <c r="C208" s="175" t="s">
        <v>7119</v>
      </c>
    </row>
    <row r="209" spans="2:3">
      <c r="B209" s="108" t="s">
        <v>4055</v>
      </c>
      <c r="C209" s="108" t="s">
        <v>4054</v>
      </c>
    </row>
    <row r="210" spans="2:3">
      <c r="B210" s="205" t="s">
        <v>7189</v>
      </c>
      <c r="C210" s="205" t="s">
        <v>7190</v>
      </c>
    </row>
    <row r="211" spans="2:3">
      <c r="B211" s="159" t="s">
        <v>6593</v>
      </c>
      <c r="C211" s="159" t="s">
        <v>6594</v>
      </c>
    </row>
    <row r="212" spans="2:3">
      <c r="B212" s="108" t="s">
        <v>4253</v>
      </c>
      <c r="C212" s="108" t="s">
        <v>4254</v>
      </c>
    </row>
    <row r="213" spans="2:3">
      <c r="B213" s="108" t="s">
        <v>4053</v>
      </c>
      <c r="C213" s="108" t="s">
        <v>5971</v>
      </c>
    </row>
    <row r="214" spans="2:3">
      <c r="B214" s="108" t="s">
        <v>5235</v>
      </c>
      <c r="C214" s="108" t="s">
        <v>5242</v>
      </c>
    </row>
    <row r="215" spans="2:3">
      <c r="B215" s="108" t="s">
        <v>5207</v>
      </c>
      <c r="C215" s="108" t="s">
        <v>5240</v>
      </c>
    </row>
    <row r="216" spans="2:3">
      <c r="B216" s="245" t="s">
        <v>7758</v>
      </c>
      <c r="C216" s="245" t="s">
        <v>7759</v>
      </c>
    </row>
    <row r="217" spans="2:3">
      <c r="B217" s="394" t="s">
        <v>9791</v>
      </c>
      <c r="C217" s="394" t="s">
        <v>9793</v>
      </c>
    </row>
    <row r="218" spans="2:3">
      <c r="B218" s="108" t="s">
        <v>4052</v>
      </c>
      <c r="C218" s="108" t="s">
        <v>4047</v>
      </c>
    </row>
    <row r="219" spans="2:3">
      <c r="B219" s="108" t="s">
        <v>4241</v>
      </c>
      <c r="C219" s="108" t="s">
        <v>4242</v>
      </c>
    </row>
    <row r="220" spans="2:3">
      <c r="B220" s="108" t="s">
        <v>6118</v>
      </c>
    </row>
    <row r="221" spans="2:3">
      <c r="B221" s="108" t="s">
        <v>5277</v>
      </c>
      <c r="C221" s="108" t="s">
        <v>5278</v>
      </c>
    </row>
    <row r="222" spans="2:3">
      <c r="B222" s="108" t="s">
        <v>4407</v>
      </c>
    </row>
    <row r="223" spans="2:3">
      <c r="B223" s="108" t="s">
        <v>4051</v>
      </c>
      <c r="C223" s="108" t="s">
        <v>4050</v>
      </c>
    </row>
    <row r="224" spans="2:3">
      <c r="B224" s="394" t="s">
        <v>9792</v>
      </c>
      <c r="C224" s="394" t="s">
        <v>9794</v>
      </c>
    </row>
    <row r="225" spans="2:3">
      <c r="B225" s="108" t="s">
        <v>5376</v>
      </c>
      <c r="C225" s="108" t="s">
        <v>5377</v>
      </c>
    </row>
    <row r="226" spans="2:3">
      <c r="B226" s="108" t="s">
        <v>4049</v>
      </c>
      <c r="C226" s="108" t="s">
        <v>3997</v>
      </c>
    </row>
    <row r="227" spans="2:3">
      <c r="B227" s="108" t="s">
        <v>5949</v>
      </c>
      <c r="C227" s="108" t="s">
        <v>5948</v>
      </c>
    </row>
    <row r="228" spans="2:3">
      <c r="B228" s="205" t="s">
        <v>7142</v>
      </c>
      <c r="C228" s="205" t="s">
        <v>7143</v>
      </c>
    </row>
    <row r="229" spans="2:3">
      <c r="B229" s="108" t="s">
        <v>4442</v>
      </c>
      <c r="C229" s="391" t="s">
        <v>9627</v>
      </c>
    </row>
    <row r="230" spans="2:3">
      <c r="B230" s="382" t="s">
        <v>9482</v>
      </c>
      <c r="C230" s="382" t="s">
        <v>9483</v>
      </c>
    </row>
    <row r="231" spans="2:3">
      <c r="B231" s="108" t="s">
        <v>4048</v>
      </c>
      <c r="C231" s="108" t="s">
        <v>4047</v>
      </c>
    </row>
    <row r="232" spans="2:3">
      <c r="B232" s="175" t="s">
        <v>7092</v>
      </c>
      <c r="C232" s="175" t="s">
        <v>7093</v>
      </c>
    </row>
    <row r="233" spans="2:3">
      <c r="B233" s="108" t="s">
        <v>4046</v>
      </c>
      <c r="C233" s="108" t="s">
        <v>4045</v>
      </c>
    </row>
    <row r="234" spans="2:3">
      <c r="B234" s="108" t="s">
        <v>4238</v>
      </c>
      <c r="C234" s="108" t="s">
        <v>5931</v>
      </c>
    </row>
    <row r="235" spans="2:3">
      <c r="B235" s="108" t="s">
        <v>4237</v>
      </c>
    </row>
    <row r="236" spans="2:3">
      <c r="B236" s="108" t="s">
        <v>4044</v>
      </c>
      <c r="C236" s="394" t="s">
        <v>9796</v>
      </c>
    </row>
    <row r="237" spans="2:3">
      <c r="B237" s="245" t="s">
        <v>7766</v>
      </c>
    </row>
    <row r="238" spans="2:3">
      <c r="B238" s="108" t="s">
        <v>4043</v>
      </c>
    </row>
    <row r="239" spans="2:3">
      <c r="B239" s="108" t="s">
        <v>4042</v>
      </c>
      <c r="C239" s="108" t="s">
        <v>4041</v>
      </c>
    </row>
    <row r="240" spans="2:3">
      <c r="B240" s="382" t="s">
        <v>9486</v>
      </c>
      <c r="C240" s="382" t="s">
        <v>9487</v>
      </c>
    </row>
    <row r="241" spans="2:3">
      <c r="B241" s="108" t="s">
        <v>4405</v>
      </c>
    </row>
    <row r="242" spans="2:3">
      <c r="B242" s="108" t="s">
        <v>6098</v>
      </c>
      <c r="C242" s="108" t="s">
        <v>6099</v>
      </c>
    </row>
    <row r="243" spans="2:3">
      <c r="B243" s="108" t="s">
        <v>4402</v>
      </c>
    </row>
    <row r="244" spans="2:3">
      <c r="B244" s="108" t="s">
        <v>4236</v>
      </c>
    </row>
    <row r="245" spans="2:3">
      <c r="B245" s="175" t="s">
        <v>6985</v>
      </c>
      <c r="C245" s="175" t="s">
        <v>6986</v>
      </c>
    </row>
    <row r="246" spans="2:3">
      <c r="B246" s="108" t="s">
        <v>4259</v>
      </c>
      <c r="C246" s="108" t="s">
        <v>4260</v>
      </c>
    </row>
    <row r="247" spans="2:3">
      <c r="B247" s="394" t="s">
        <v>9756</v>
      </c>
      <c r="C247" s="394" t="s">
        <v>9757</v>
      </c>
    </row>
    <row r="248" spans="2:3">
      <c r="B248" s="245" t="s">
        <v>7755</v>
      </c>
      <c r="C248" s="245" t="s">
        <v>7756</v>
      </c>
    </row>
    <row r="249" spans="2:3">
      <c r="B249" s="108" t="s">
        <v>6108</v>
      </c>
      <c r="C249" s="175" t="s">
        <v>6989</v>
      </c>
    </row>
    <row r="250" spans="2:3">
      <c r="B250" s="159" t="s">
        <v>6588</v>
      </c>
      <c r="C250" s="175" t="s">
        <v>6992</v>
      </c>
    </row>
    <row r="251" spans="2:3">
      <c r="B251" s="108" t="s">
        <v>4231</v>
      </c>
      <c r="C251" s="108" t="s">
        <v>4232</v>
      </c>
    </row>
    <row r="252" spans="2:3">
      <c r="B252" s="108" t="s">
        <v>4435</v>
      </c>
    </row>
    <row r="253" spans="2:3">
      <c r="B253" s="108" t="s">
        <v>4401</v>
      </c>
    </row>
    <row r="254" spans="2:3">
      <c r="B254" s="245" t="s">
        <v>7645</v>
      </c>
      <c r="C254" s="245" t="s">
        <v>7646</v>
      </c>
    </row>
    <row r="255" spans="2:3">
      <c r="B255" s="108" t="s">
        <v>6109</v>
      </c>
      <c r="C255" s="108" t="s">
        <v>6110</v>
      </c>
    </row>
    <row r="256" spans="2:3">
      <c r="B256" s="175" t="s">
        <v>6666</v>
      </c>
      <c r="C256" s="175" t="s">
        <v>6667</v>
      </c>
    </row>
    <row r="257" spans="2:3">
      <c r="B257" s="108" t="s">
        <v>4040</v>
      </c>
      <c r="C257" s="108" t="s">
        <v>4039</v>
      </c>
    </row>
    <row r="258" spans="2:3">
      <c r="B258" s="108" t="s">
        <v>4403</v>
      </c>
    </row>
    <row r="259" spans="2:3">
      <c r="B259" s="382" t="s">
        <v>9484</v>
      </c>
      <c r="C259" s="382" t="s">
        <v>9485</v>
      </c>
    </row>
    <row r="260" spans="2:3">
      <c r="B260" s="108" t="s">
        <v>4894</v>
      </c>
      <c r="C260" s="108" t="s">
        <v>4895</v>
      </c>
    </row>
    <row r="261" spans="2:3">
      <c r="B261" s="108" t="s">
        <v>7315</v>
      </c>
      <c r="C261" s="108" t="s">
        <v>7316</v>
      </c>
    </row>
    <row r="262" spans="2:3">
      <c r="B262" s="108" t="s">
        <v>7317</v>
      </c>
      <c r="C262" s="108" t="s">
        <v>7318</v>
      </c>
    </row>
    <row r="263" spans="2:3">
      <c r="B263" s="245" t="s">
        <v>7548</v>
      </c>
    </row>
    <row r="264" spans="2:3">
      <c r="B264" s="205" t="s">
        <v>7181</v>
      </c>
      <c r="C264" s="205" t="s">
        <v>7182</v>
      </c>
    </row>
    <row r="265" spans="2:3">
      <c r="B265" s="108" t="s">
        <v>4856</v>
      </c>
      <c r="C265" s="108" t="s">
        <v>4857</v>
      </c>
    </row>
    <row r="266" spans="2:3">
      <c r="B266" s="108" t="s">
        <v>4418</v>
      </c>
    </row>
    <row r="267" spans="2:3">
      <c r="B267" s="108" t="s">
        <v>4038</v>
      </c>
      <c r="C267" s="108" t="s">
        <v>4892</v>
      </c>
    </row>
    <row r="268" spans="2:3">
      <c r="B268" s="108" t="s">
        <v>4427</v>
      </c>
      <c r="C268" s="108" t="s">
        <v>4428</v>
      </c>
    </row>
    <row r="269" spans="2:3">
      <c r="B269" s="108" t="s">
        <v>4419</v>
      </c>
    </row>
    <row r="270" spans="2:3">
      <c r="B270" s="272" t="s">
        <v>8029</v>
      </c>
      <c r="C270" s="272" t="s">
        <v>8030</v>
      </c>
    </row>
    <row r="271" spans="2:3">
      <c r="B271" s="205" t="s">
        <v>7180</v>
      </c>
    </row>
    <row r="272" spans="2:3">
      <c r="B272" s="108" t="s">
        <v>5208</v>
      </c>
      <c r="C272" s="108" t="s">
        <v>5209</v>
      </c>
    </row>
    <row r="273" spans="2:3">
      <c r="B273" s="108" t="s">
        <v>4430</v>
      </c>
      <c r="C273" s="108" t="s">
        <v>4893</v>
      </c>
    </row>
    <row r="274" spans="2:3">
      <c r="B274" s="108" t="s">
        <v>5943</v>
      </c>
      <c r="C274" s="108" t="s">
        <v>5942</v>
      </c>
    </row>
    <row r="275" spans="2:3">
      <c r="B275" s="108" t="s">
        <v>5944</v>
      </c>
      <c r="C275" s="175" t="s">
        <v>6736</v>
      </c>
    </row>
    <row r="276" spans="2:3">
      <c r="B276" s="205" t="s">
        <v>7185</v>
      </c>
      <c r="C276" s="205" t="s">
        <v>7186</v>
      </c>
    </row>
    <row r="277" spans="2:3">
      <c r="B277" s="272" t="s">
        <v>8220</v>
      </c>
      <c r="C277" s="394" t="s">
        <v>9665</v>
      </c>
    </row>
    <row r="278" spans="2:3">
      <c r="B278" s="175" t="s">
        <v>6972</v>
      </c>
      <c r="C278" s="175" t="s">
        <v>6973</v>
      </c>
    </row>
    <row r="279" spans="2:3">
      <c r="B279" s="108" t="s">
        <v>4865</v>
      </c>
      <c r="C279" s="108" t="s">
        <v>6114</v>
      </c>
    </row>
    <row r="280" spans="2:3">
      <c r="B280" s="108" t="s">
        <v>4037</v>
      </c>
      <c r="C280" s="272" t="s">
        <v>8013</v>
      </c>
    </row>
    <row r="281" spans="2:3">
      <c r="B281" s="108" t="s">
        <v>4422</v>
      </c>
    </row>
    <row r="282" spans="2:3">
      <c r="B282" s="175" t="s">
        <v>6970</v>
      </c>
      <c r="C282" s="175" t="s">
        <v>6971</v>
      </c>
    </row>
    <row r="283" spans="2:3">
      <c r="B283" s="108" t="s">
        <v>4399</v>
      </c>
      <c r="C283" s="108" t="s">
        <v>4400</v>
      </c>
    </row>
    <row r="284" spans="2:3">
      <c r="B284" s="108" t="s">
        <v>4864</v>
      </c>
      <c r="C284" s="108" t="s">
        <v>6113</v>
      </c>
    </row>
    <row r="285" spans="2:3">
      <c r="B285" s="108" t="s">
        <v>4445</v>
      </c>
      <c r="C285" s="108" t="s">
        <v>4449</v>
      </c>
    </row>
    <row r="286" spans="2:3">
      <c r="B286" s="108" t="s">
        <v>4036</v>
      </c>
      <c r="C286" s="43" t="s">
        <v>9749</v>
      </c>
    </row>
    <row r="287" spans="2:3">
      <c r="B287" s="270" t="s">
        <v>7977</v>
      </c>
      <c r="C287" s="270" t="s">
        <v>7978</v>
      </c>
    </row>
    <row r="288" spans="2:3">
      <c r="B288" s="245" t="s">
        <v>7781</v>
      </c>
    </row>
    <row r="289" spans="2:3">
      <c r="B289" s="108" t="s">
        <v>5262</v>
      </c>
      <c r="C289" s="108" t="s">
        <v>5263</v>
      </c>
    </row>
    <row r="290" spans="2:3">
      <c r="B290" s="108" t="s">
        <v>4035</v>
      </c>
    </row>
    <row r="291" spans="2:3">
      <c r="B291" s="108" t="s">
        <v>4034</v>
      </c>
      <c r="C291" s="245" t="s">
        <v>7628</v>
      </c>
    </row>
    <row r="292" spans="2:3">
      <c r="B292" s="108" t="s">
        <v>4033</v>
      </c>
      <c r="C292" s="108" t="s">
        <v>3997</v>
      </c>
    </row>
    <row r="293" spans="2:3">
      <c r="B293" s="108" t="s">
        <v>5274</v>
      </c>
      <c r="C293" s="108" t="s">
        <v>5275</v>
      </c>
    </row>
    <row r="294" spans="2:3">
      <c r="B294" s="108" t="s">
        <v>7321</v>
      </c>
      <c r="C294" s="108" t="s">
        <v>7322</v>
      </c>
    </row>
    <row r="295" spans="2:3">
      <c r="B295" s="382" t="s">
        <v>9506</v>
      </c>
      <c r="C295" s="382" t="s">
        <v>9507</v>
      </c>
    </row>
    <row r="296" spans="2:3">
      <c r="B296" s="108" t="s">
        <v>4032</v>
      </c>
      <c r="C296" s="108" t="s">
        <v>4031</v>
      </c>
    </row>
    <row r="297" spans="2:3">
      <c r="B297" s="108" t="s">
        <v>4030</v>
      </c>
    </row>
    <row r="298" spans="2:3">
      <c r="B298" s="108" t="s">
        <v>4406</v>
      </c>
      <c r="C298" s="175" t="s">
        <v>6982</v>
      </c>
    </row>
    <row r="299" spans="2:3">
      <c r="B299" s="108" t="s">
        <v>4029</v>
      </c>
      <c r="C299" s="108" t="s">
        <v>4028</v>
      </c>
    </row>
    <row r="300" spans="2:3">
      <c r="B300" s="108" t="s">
        <v>4027</v>
      </c>
      <c r="C300" s="108" t="s">
        <v>4026</v>
      </c>
    </row>
    <row r="301" spans="2:3">
      <c r="B301" s="108" t="s">
        <v>4420</v>
      </c>
      <c r="C301" s="108" t="s">
        <v>4421</v>
      </c>
    </row>
    <row r="302" spans="2:3">
      <c r="B302" s="108" t="s">
        <v>7319</v>
      </c>
      <c r="C302" s="108" t="s">
        <v>7320</v>
      </c>
    </row>
    <row r="303" spans="2:3">
      <c r="B303" s="108" t="s">
        <v>4859</v>
      </c>
      <c r="C303" s="108" t="s">
        <v>4860</v>
      </c>
    </row>
    <row r="304" spans="2:3">
      <c r="B304" s="108" t="s">
        <v>5180</v>
      </c>
      <c r="C304" s="108" t="s">
        <v>5181</v>
      </c>
    </row>
    <row r="305" spans="2:3">
      <c r="B305" s="108" t="s">
        <v>4025</v>
      </c>
      <c r="C305" s="108" t="s">
        <v>4024</v>
      </c>
    </row>
    <row r="306" spans="2:3">
      <c r="B306" s="212" t="s">
        <v>7347</v>
      </c>
      <c r="C306" s="212" t="s">
        <v>7348</v>
      </c>
    </row>
    <row r="307" spans="2:3">
      <c r="B307" s="205" t="s">
        <v>7197</v>
      </c>
      <c r="C307" s="205" t="s">
        <v>7198</v>
      </c>
    </row>
    <row r="308" spans="2:3">
      <c r="B308" s="108" t="s">
        <v>4866</v>
      </c>
      <c r="C308" s="245" t="s">
        <v>7757</v>
      </c>
    </row>
    <row r="309" spans="2:3">
      <c r="B309" s="416" t="s">
        <v>10762</v>
      </c>
      <c r="C309" s="416" t="s">
        <v>10763</v>
      </c>
    </row>
    <row r="310" spans="2:3">
      <c r="B310" s="108" t="s">
        <v>5190</v>
      </c>
      <c r="C310" s="108" t="s">
        <v>5191</v>
      </c>
    </row>
    <row r="311" spans="2:3">
      <c r="B311" s="108" t="s">
        <v>4408</v>
      </c>
    </row>
    <row r="312" spans="2:3">
      <c r="B312" s="43" t="s">
        <v>4023</v>
      </c>
      <c r="C312" s="43" t="s">
        <v>5378</v>
      </c>
    </row>
    <row r="313" spans="2:3">
      <c r="B313" s="175" t="s">
        <v>6979</v>
      </c>
      <c r="C313" s="175" t="s">
        <v>4060</v>
      </c>
    </row>
    <row r="314" spans="2:3">
      <c r="B314" s="159" t="s">
        <v>6591</v>
      </c>
      <c r="C314" s="159" t="s">
        <v>6592</v>
      </c>
    </row>
    <row r="315" spans="2:3">
      <c r="B315" s="108" t="s">
        <v>4022</v>
      </c>
      <c r="C315" s="43"/>
    </row>
    <row r="316" spans="2:3">
      <c r="B316" s="205" t="s">
        <v>7202</v>
      </c>
      <c r="C316" s="205" t="s">
        <v>7203</v>
      </c>
    </row>
    <row r="317" spans="2:3">
      <c r="B317" s="382" t="s">
        <v>9599</v>
      </c>
      <c r="C317" s="382" t="s">
        <v>9600</v>
      </c>
    </row>
    <row r="318" spans="2:3">
      <c r="B318" s="245" t="s">
        <v>7765</v>
      </c>
      <c r="C318" s="205"/>
    </row>
    <row r="319" spans="2:3">
      <c r="B319" s="382" t="s">
        <v>9470</v>
      </c>
      <c r="C319" s="40" t="s">
        <v>9471</v>
      </c>
    </row>
    <row r="320" spans="2:3">
      <c r="B320" s="108" t="s">
        <v>4021</v>
      </c>
      <c r="C320" s="108" t="s">
        <v>5927</v>
      </c>
    </row>
    <row r="321" spans="2:16">
      <c r="B321" s="175" t="s">
        <v>6966</v>
      </c>
      <c r="C321" s="175" t="s">
        <v>6967</v>
      </c>
    </row>
    <row r="322" spans="2:16">
      <c r="B322" s="108" t="s">
        <v>4020</v>
      </c>
      <c r="C322" s="108" t="s">
        <v>4019</v>
      </c>
    </row>
    <row r="323" spans="2:16">
      <c r="B323" s="108" t="s">
        <v>4018</v>
      </c>
      <c r="C323" s="108" t="s">
        <v>4017</v>
      </c>
    </row>
    <row r="324" spans="2:16">
      <c r="B324" s="108" t="s">
        <v>6095</v>
      </c>
      <c r="C324" s="108" t="s">
        <v>6096</v>
      </c>
    </row>
    <row r="325" spans="2:16">
      <c r="B325" s="108" t="s">
        <v>4016</v>
      </c>
      <c r="C325" s="393" t="s">
        <v>9659</v>
      </c>
    </row>
    <row r="326" spans="2:16">
      <c r="B326" s="108" t="s">
        <v>5268</v>
      </c>
      <c r="C326" s="108" t="s">
        <v>5269</v>
      </c>
    </row>
    <row r="327" spans="2:16">
      <c r="B327" s="108" t="s">
        <v>4015</v>
      </c>
      <c r="C327" s="108" t="s">
        <v>4014</v>
      </c>
    </row>
    <row r="328" spans="2:16">
      <c r="B328" s="108" t="s">
        <v>4244</v>
      </c>
      <c r="C328" s="108" t="s">
        <v>4245</v>
      </c>
    </row>
    <row r="329" spans="2:16">
      <c r="B329" s="108" t="s">
        <v>4013</v>
      </c>
      <c r="C329" s="108" t="s">
        <v>4012</v>
      </c>
    </row>
    <row r="330" spans="2:16">
      <c r="B330" s="108" t="s">
        <v>4011</v>
      </c>
      <c r="C330" s="108" t="s">
        <v>4010</v>
      </c>
    </row>
    <row r="331" spans="2:16">
      <c r="B331" s="108" t="s">
        <v>5203</v>
      </c>
      <c r="C331" s="108" t="s">
        <v>5238</v>
      </c>
    </row>
    <row r="332" spans="2:16">
      <c r="B332" s="108" t="s">
        <v>4434</v>
      </c>
    </row>
    <row r="333" spans="2:16">
      <c r="B333" s="108" t="s">
        <v>4413</v>
      </c>
      <c r="P333" s="107"/>
    </row>
    <row r="334" spans="2:16">
      <c r="B334" s="108" t="s">
        <v>4414</v>
      </c>
    </row>
    <row r="335" spans="2:16">
      <c r="B335" s="108" t="s">
        <v>4861</v>
      </c>
      <c r="C335" s="108" t="s">
        <v>4862</v>
      </c>
    </row>
    <row r="336" spans="2:16">
      <c r="B336" s="245" t="s">
        <v>7768</v>
      </c>
    </row>
    <row r="337" spans="2:3">
      <c r="B337" s="108" t="s">
        <v>5941</v>
      </c>
      <c r="C337" s="175" t="s">
        <v>6738</v>
      </c>
    </row>
    <row r="338" spans="2:3">
      <c r="B338" s="108" t="s">
        <v>4240</v>
      </c>
    </row>
    <row r="339" spans="2:3">
      <c r="B339" s="108" t="s">
        <v>4009</v>
      </c>
      <c r="C339" s="108" t="s">
        <v>4008</v>
      </c>
    </row>
    <row r="340" spans="2:3">
      <c r="B340" s="382" t="s">
        <v>9476</v>
      </c>
      <c r="C340" s="382" t="s">
        <v>9477</v>
      </c>
    </row>
    <row r="341" spans="2:3">
      <c r="B341" s="175" t="s">
        <v>6739</v>
      </c>
      <c r="C341" s="175" t="s">
        <v>6740</v>
      </c>
    </row>
    <row r="342" spans="2:3">
      <c r="B342" s="175" t="s">
        <v>7096</v>
      </c>
      <c r="C342" s="175" t="s">
        <v>7097</v>
      </c>
    </row>
    <row r="343" spans="2:3">
      <c r="B343" s="175" t="s">
        <v>6983</v>
      </c>
      <c r="C343" s="175" t="s">
        <v>6984</v>
      </c>
    </row>
    <row r="344" spans="2:3">
      <c r="B344" s="108" t="s">
        <v>4007</v>
      </c>
    </row>
    <row r="345" spans="2:3">
      <c r="B345" s="108" t="s">
        <v>4006</v>
      </c>
      <c r="C345" s="108" t="s">
        <v>4005</v>
      </c>
    </row>
    <row r="346" spans="2:3">
      <c r="B346" s="108" t="s">
        <v>5204</v>
      </c>
    </row>
    <row r="347" spans="2:3">
      <c r="B347" s="108" t="s">
        <v>4004</v>
      </c>
      <c r="C347" s="108" t="s">
        <v>4003</v>
      </c>
    </row>
    <row r="348" spans="2:3">
      <c r="B348" s="108" t="s">
        <v>4002</v>
      </c>
      <c r="C348" s="108" t="s">
        <v>4001</v>
      </c>
    </row>
    <row r="349" spans="2:3">
      <c r="B349" s="245" t="s">
        <v>7763</v>
      </c>
      <c r="C349" s="245" t="s">
        <v>7764</v>
      </c>
    </row>
    <row r="350" spans="2:3">
      <c r="B350" s="108" t="s">
        <v>5247</v>
      </c>
      <c r="C350" s="108" t="s">
        <v>5255</v>
      </c>
    </row>
    <row r="351" spans="2:3">
      <c r="B351" s="108" t="s">
        <v>2594</v>
      </c>
      <c r="C351" s="108" t="s">
        <v>5236</v>
      </c>
    </row>
    <row r="352" spans="2:3">
      <c r="B352" s="175" t="s">
        <v>7090</v>
      </c>
      <c r="C352" s="175" t="s">
        <v>7091</v>
      </c>
    </row>
    <row r="353" spans="2:21">
      <c r="B353" s="245" t="s">
        <v>7784</v>
      </c>
      <c r="C353" s="175"/>
    </row>
    <row r="354" spans="2:21">
      <c r="B354" s="175" t="s">
        <v>6990</v>
      </c>
      <c r="C354" s="175" t="s">
        <v>6991</v>
      </c>
    </row>
    <row r="355" spans="2:21">
      <c r="B355" s="394" t="s">
        <v>9789</v>
      </c>
      <c r="C355" s="394" t="s">
        <v>9790</v>
      </c>
    </row>
    <row r="356" spans="2:21">
      <c r="B356" s="108" t="s">
        <v>4645</v>
      </c>
      <c r="C356" s="108" t="s">
        <v>4647</v>
      </c>
    </row>
    <row r="357" spans="2:21">
      <c r="B357" s="108" t="s">
        <v>4646</v>
      </c>
      <c r="C357" s="108" t="s">
        <v>4400</v>
      </c>
    </row>
    <row r="358" spans="2:21">
      <c r="B358" s="108" t="s">
        <v>4972</v>
      </c>
      <c r="C358" s="108" t="s">
        <v>4973</v>
      </c>
    </row>
    <row r="359" spans="2:21">
      <c r="B359" s="272" t="s">
        <v>8025</v>
      </c>
      <c r="C359" s="272" t="s">
        <v>8027</v>
      </c>
    </row>
    <row r="360" spans="2:21">
      <c r="B360" s="108" t="s">
        <v>5244</v>
      </c>
      <c r="C360" s="108" t="s">
        <v>5246</v>
      </c>
    </row>
    <row r="361" spans="2:21">
      <c r="B361" s="108" t="s">
        <v>5250</v>
      </c>
      <c r="C361" s="108" t="s">
        <v>5251</v>
      </c>
    </row>
    <row r="362" spans="2:21">
      <c r="B362" s="108" t="s">
        <v>4000</v>
      </c>
      <c r="C362" s="108" t="s">
        <v>3999</v>
      </c>
    </row>
    <row r="363" spans="2:21">
      <c r="B363" s="108" t="s">
        <v>4896</v>
      </c>
      <c r="C363" s="108" t="s">
        <v>4897</v>
      </c>
    </row>
    <row r="364" spans="2:21">
      <c r="B364" s="108" t="s">
        <v>5258</v>
      </c>
      <c r="C364" s="108" t="s">
        <v>5276</v>
      </c>
    </row>
    <row r="365" spans="2:21">
      <c r="B365" s="108" t="s">
        <v>5184</v>
      </c>
      <c r="C365" s="108" t="s">
        <v>5185</v>
      </c>
      <c r="U365" s="108" t="s">
        <v>5247</v>
      </c>
    </row>
    <row r="366" spans="2:21">
      <c r="B366" s="108" t="s">
        <v>5234</v>
      </c>
      <c r="C366" s="108" t="s">
        <v>6008</v>
      </c>
    </row>
    <row r="367" spans="2:21">
      <c r="B367" s="108" t="s">
        <v>5216</v>
      </c>
      <c r="C367" s="108" t="s">
        <v>5217</v>
      </c>
    </row>
    <row r="368" spans="2:21">
      <c r="B368" s="108" t="s">
        <v>5245</v>
      </c>
      <c r="C368" s="108" t="s">
        <v>5254</v>
      </c>
    </row>
    <row r="369" spans="2:3">
      <c r="B369" s="108" t="s">
        <v>5199</v>
      </c>
      <c r="C369" s="108" t="s">
        <v>5248</v>
      </c>
    </row>
    <row r="370" spans="2:3">
      <c r="B370" s="108" t="s">
        <v>5194</v>
      </c>
      <c r="C370" s="245" t="s">
        <v>7547</v>
      </c>
    </row>
    <row r="371" spans="2:3">
      <c r="B371" s="108" t="s">
        <v>5196</v>
      </c>
      <c r="C371" s="108" t="s">
        <v>5195</v>
      </c>
    </row>
    <row r="372" spans="2:3">
      <c r="B372" s="108" t="s">
        <v>6119</v>
      </c>
      <c r="C372" s="108" t="s">
        <v>6120</v>
      </c>
    </row>
    <row r="373" spans="2:3">
      <c r="B373" s="394" t="s">
        <v>9745</v>
      </c>
      <c r="C373" s="394" t="s">
        <v>9746</v>
      </c>
    </row>
    <row r="374" spans="2:3">
      <c r="B374" s="108" t="s">
        <v>3998</v>
      </c>
      <c r="C374" s="108" t="s">
        <v>3997</v>
      </c>
    </row>
    <row r="375" spans="2:3">
      <c r="B375" s="108" t="s">
        <v>3996</v>
      </c>
      <c r="C375" s="108" t="s">
        <v>3995</v>
      </c>
    </row>
    <row r="376" spans="2:3">
      <c r="B376" s="108" t="s">
        <v>3994</v>
      </c>
    </row>
    <row r="377" spans="2:3">
      <c r="B377" s="108" t="s">
        <v>3993</v>
      </c>
      <c r="C377" s="108" t="s">
        <v>3992</v>
      </c>
    </row>
    <row r="378" spans="2:3">
      <c r="B378" s="108" t="s">
        <v>5186</v>
      </c>
      <c r="C378" s="108" t="s">
        <v>5187</v>
      </c>
    </row>
    <row r="379" spans="2:3">
      <c r="B379" s="108" t="s">
        <v>3991</v>
      </c>
      <c r="C379" s="108" t="s">
        <v>3990</v>
      </c>
    </row>
    <row r="380" spans="2:3">
      <c r="B380" s="108" t="s">
        <v>4255</v>
      </c>
      <c r="C380" s="108" t="s">
        <v>4256</v>
      </c>
    </row>
    <row r="381" spans="2:3">
      <c r="B381" s="394" t="s">
        <v>9751</v>
      </c>
    </row>
    <row r="382" spans="2:3">
      <c r="B382" s="394" t="s">
        <v>9673</v>
      </c>
    </row>
    <row r="383" spans="2:3">
      <c r="B383" s="245" t="s">
        <v>7629</v>
      </c>
      <c r="C383" s="245" t="s">
        <v>7630</v>
      </c>
    </row>
    <row r="384" spans="2:3">
      <c r="B384" s="108" t="s">
        <v>5929</v>
      </c>
      <c r="C384" s="108" t="s">
        <v>5930</v>
      </c>
    </row>
    <row r="385" spans="2:26">
      <c r="B385" s="175" t="s">
        <v>6977</v>
      </c>
      <c r="C385" s="175" t="s">
        <v>6978</v>
      </c>
    </row>
    <row r="387" spans="2:26">
      <c r="B387" s="108" t="s">
        <v>3989</v>
      </c>
    </row>
    <row r="389" spans="2:26">
      <c r="C389" s="131"/>
      <c r="D389" s="132"/>
      <c r="F389" s="132"/>
      <c r="G389" s="133"/>
      <c r="O389" s="109"/>
      <c r="P389" s="109"/>
      <c r="Q389" s="109"/>
      <c r="R389" s="109"/>
      <c r="S389" s="109"/>
      <c r="T389" s="109"/>
      <c r="U389" s="109"/>
      <c r="V389" s="109"/>
      <c r="W389" s="109"/>
      <c r="X389" s="109"/>
      <c r="Y389" s="109"/>
      <c r="Z389" s="109"/>
    </row>
    <row r="390" spans="2:26">
      <c r="P390" s="109"/>
      <c r="Q390" s="109"/>
      <c r="R390" s="109"/>
      <c r="S390" s="109"/>
      <c r="T390" s="109"/>
      <c r="U390" s="109"/>
      <c r="V390" s="109"/>
      <c r="W390" s="109"/>
      <c r="X390" s="109"/>
      <c r="Y390" s="109"/>
      <c r="Z390" s="109"/>
    </row>
    <row r="391" spans="2:26">
      <c r="P391" s="109"/>
      <c r="Q391" s="109"/>
      <c r="R391" s="109"/>
      <c r="S391" s="109"/>
      <c r="T391" s="109"/>
      <c r="U391" s="109"/>
      <c r="V391" s="109"/>
      <c r="W391" s="109"/>
      <c r="X391" s="109"/>
      <c r="Y391" s="109"/>
      <c r="Z391" s="109"/>
    </row>
    <row r="392" spans="2:26">
      <c r="P392" s="109"/>
      <c r="Q392" s="109"/>
      <c r="R392" s="109"/>
      <c r="S392" s="109"/>
      <c r="T392" s="109"/>
      <c r="U392" s="109"/>
      <c r="V392" s="109"/>
      <c r="W392" s="109"/>
      <c r="X392" s="109"/>
      <c r="Y392" s="109"/>
      <c r="Z392" s="109"/>
    </row>
    <row r="393" spans="2:26">
      <c r="P393" s="109"/>
      <c r="Q393" s="109"/>
      <c r="R393" s="109"/>
      <c r="S393" s="109"/>
      <c r="T393" s="109"/>
      <c r="U393" s="109"/>
      <c r="V393" s="109"/>
      <c r="W393" s="109"/>
      <c r="X393" s="109"/>
      <c r="Y393" s="109"/>
      <c r="Z393" s="109"/>
    </row>
    <row r="394" spans="2:26">
      <c r="P394" s="109"/>
      <c r="Q394" s="109"/>
      <c r="R394" s="109"/>
      <c r="S394" s="109"/>
      <c r="T394" s="109"/>
      <c r="U394" s="109"/>
      <c r="V394" s="109"/>
      <c r="W394" s="109"/>
      <c r="X394" s="109"/>
      <c r="Y394" s="109"/>
      <c r="Z394" s="109"/>
    </row>
    <row r="395" spans="2:26">
      <c r="P395" s="109"/>
      <c r="Q395" s="109"/>
      <c r="R395" s="109"/>
      <c r="S395" s="109"/>
      <c r="T395" s="109"/>
      <c r="U395" s="109"/>
      <c r="V395" s="109"/>
      <c r="W395" s="109"/>
      <c r="X395" s="109"/>
      <c r="Y395" s="109"/>
      <c r="Z395" s="109"/>
    </row>
    <row r="396" spans="2:26">
      <c r="P396" s="109"/>
      <c r="Q396" s="109"/>
      <c r="R396" s="109"/>
      <c r="S396" s="109"/>
      <c r="T396" s="109" t="s">
        <v>5244</v>
      </c>
      <c r="U396" s="109"/>
      <c r="V396" s="109"/>
      <c r="W396" s="109"/>
      <c r="X396" s="109"/>
      <c r="Y396" s="109"/>
      <c r="Z396" s="109"/>
    </row>
    <row r="397" spans="2:26">
      <c r="S397"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D33"/>
  <sheetViews>
    <sheetView zoomScale="130" zoomScaleNormal="130" workbookViewId="0">
      <selection activeCell="C10" sqref="C10"/>
    </sheetView>
  </sheetViews>
  <sheetFormatPr baseColWidth="10" defaultColWidth="10.83203125" defaultRowHeight="13"/>
  <cols>
    <col min="1" max="1" width="4.83203125" style="277" bestFit="1" customWidth="1"/>
    <col min="2" max="2" width="9.6640625" style="277" customWidth="1"/>
    <col min="3" max="16384" width="10.83203125" style="277"/>
  </cols>
  <sheetData>
    <row r="1" spans="1:4">
      <c r="A1" s="25" t="s">
        <v>1165</v>
      </c>
    </row>
    <row r="2" spans="1:4">
      <c r="A2" s="25"/>
      <c r="B2" s="142" t="s">
        <v>10971</v>
      </c>
    </row>
    <row r="3" spans="1:4">
      <c r="A3" s="25"/>
      <c r="C3" s="418" t="s">
        <v>10972</v>
      </c>
    </row>
    <row r="4" spans="1:4">
      <c r="A4" s="25"/>
      <c r="C4" s="418" t="s">
        <v>10973</v>
      </c>
    </row>
    <row r="5" spans="1:4">
      <c r="A5" s="25"/>
      <c r="C5" s="418"/>
      <c r="D5" s="418" t="s">
        <v>10974</v>
      </c>
    </row>
    <row r="6" spans="1:4">
      <c r="A6" s="25"/>
      <c r="C6" s="418"/>
      <c r="D6" s="418" t="s">
        <v>10975</v>
      </c>
    </row>
    <row r="7" spans="1:4">
      <c r="A7" s="25"/>
      <c r="C7" s="418"/>
      <c r="D7" s="418" t="s">
        <v>10976</v>
      </c>
    </row>
    <row r="8" spans="1:4">
      <c r="A8" s="25"/>
      <c r="C8" s="418"/>
      <c r="D8" s="418" t="s">
        <v>10977</v>
      </c>
    </row>
    <row r="9" spans="1:4">
      <c r="A9" s="25"/>
      <c r="C9" s="418" t="s">
        <v>10978</v>
      </c>
      <c r="D9" s="418"/>
    </row>
    <row r="11" spans="1:4">
      <c r="B11" s="395" t="s">
        <v>9828</v>
      </c>
      <c r="C11" s="142" t="s">
        <v>9829</v>
      </c>
    </row>
    <row r="13" spans="1:4">
      <c r="B13" s="410" t="s">
        <v>10751</v>
      </c>
      <c r="C13" s="142" t="s">
        <v>10752</v>
      </c>
    </row>
    <row r="20" spans="2:3">
      <c r="B20" s="277" t="s">
        <v>356</v>
      </c>
    </row>
    <row r="21" spans="2:3">
      <c r="C21" s="277" t="s">
        <v>8138</v>
      </c>
    </row>
    <row r="22" spans="2:3">
      <c r="C22" s="277" t="s">
        <v>8139</v>
      </c>
    </row>
    <row r="26" spans="2:3">
      <c r="C26" s="142" t="s">
        <v>10966</v>
      </c>
    </row>
    <row r="29" spans="2:3">
      <c r="B29" s="418" t="s">
        <v>10969</v>
      </c>
    </row>
    <row r="30" spans="2:3">
      <c r="C30" s="418" t="s">
        <v>10967</v>
      </c>
    </row>
    <row r="31" spans="2:3">
      <c r="C31" s="418" t="s">
        <v>10968</v>
      </c>
    </row>
    <row r="33" spans="2:2">
      <c r="B33" s="418" t="s">
        <v>10970</v>
      </c>
    </row>
  </sheetData>
  <hyperlinks>
    <hyperlink ref="A1" location="Main!A1" display="Main" xr:uid="{3EFBAF92-3BB3-684E-A740-B8F2C3E81A5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421"/>
  <sheetViews>
    <sheetView topLeftCell="A1388" zoomScale="130" zoomScaleNormal="130" workbookViewId="0">
      <selection activeCell="D1421" sqref="D1421"/>
    </sheetView>
  </sheetViews>
  <sheetFormatPr baseColWidth="10" defaultColWidth="8.83203125" defaultRowHeight="13"/>
  <cols>
    <col min="1" max="2" width="12.33203125" style="108" customWidth="1"/>
    <col min="3" max="3" width="9.5" style="109" customWidth="1"/>
    <col min="4" max="8" width="8.83203125" style="108"/>
    <col min="9" max="9" width="12.1640625" style="108" customWidth="1"/>
    <col min="10" max="16384" width="8.83203125" style="108"/>
  </cols>
  <sheetData>
    <row r="1" spans="1:3">
      <c r="A1" s="25" t="s">
        <v>1165</v>
      </c>
    </row>
    <row r="2" spans="1:3">
      <c r="A2" s="212" t="s">
        <v>7253</v>
      </c>
      <c r="B2" s="42" t="s">
        <v>7255</v>
      </c>
    </row>
    <row r="3" spans="1:3">
      <c r="A3" s="25"/>
      <c r="B3" s="212" t="s">
        <v>5735</v>
      </c>
      <c r="C3" s="213" t="s">
        <v>7254</v>
      </c>
    </row>
    <row r="4" spans="1:3">
      <c r="A4" s="25"/>
    </row>
    <row r="5" spans="1:3">
      <c r="A5" s="212" t="s">
        <v>7235</v>
      </c>
      <c r="B5" s="42" t="s">
        <v>7236</v>
      </c>
    </row>
    <row r="6" spans="1:3">
      <c r="A6" s="25"/>
      <c r="B6" s="212" t="s">
        <v>5735</v>
      </c>
      <c r="C6" s="213" t="s">
        <v>7237</v>
      </c>
    </row>
    <row r="7" spans="1:3">
      <c r="A7" s="25"/>
    </row>
    <row r="8" spans="1:3">
      <c r="A8" s="25"/>
    </row>
    <row r="9" spans="1:3">
      <c r="A9" s="212" t="s">
        <v>7241</v>
      </c>
      <c r="B9" s="42" t="s">
        <v>7242</v>
      </c>
    </row>
    <row r="10" spans="1:3">
      <c r="A10" s="25"/>
      <c r="B10" s="212" t="s">
        <v>5735</v>
      </c>
      <c r="C10" s="213" t="s">
        <v>7243</v>
      </c>
    </row>
    <row r="11" spans="1:3">
      <c r="A11" s="25"/>
    </row>
    <row r="12" spans="1:3">
      <c r="A12" s="25"/>
    </row>
    <row r="13" spans="1:3">
      <c r="A13" s="212" t="s">
        <v>7247</v>
      </c>
      <c r="B13" s="42" t="s">
        <v>7248</v>
      </c>
    </row>
    <row r="14" spans="1:3">
      <c r="A14" s="25"/>
      <c r="B14" s="212" t="s">
        <v>5735</v>
      </c>
      <c r="C14" s="213" t="s">
        <v>7249</v>
      </c>
    </row>
    <row r="15" spans="1:3">
      <c r="A15" s="25"/>
    </row>
    <row r="16" spans="1:3">
      <c r="A16" s="212" t="s">
        <v>7238</v>
      </c>
      <c r="B16" s="42" t="s">
        <v>7239</v>
      </c>
    </row>
    <row r="17" spans="1:3">
      <c r="A17" s="25"/>
      <c r="B17" s="212" t="s">
        <v>5735</v>
      </c>
      <c r="C17" s="213" t="s">
        <v>7240</v>
      </c>
    </row>
    <row r="18" spans="1:3">
      <c r="A18" s="25"/>
    </row>
    <row r="19" spans="1:3">
      <c r="A19" s="212" t="s">
        <v>7259</v>
      </c>
      <c r="B19" s="42" t="s">
        <v>7260</v>
      </c>
    </row>
    <row r="20" spans="1:3">
      <c r="A20" s="25"/>
      <c r="B20" s="212" t="s">
        <v>5735</v>
      </c>
      <c r="C20" s="213" t="s">
        <v>4099</v>
      </c>
    </row>
    <row r="21" spans="1:3">
      <c r="A21" s="25"/>
    </row>
    <row r="22" spans="1:3">
      <c r="A22" s="212" t="s">
        <v>7256</v>
      </c>
      <c r="B22" s="42" t="s">
        <v>7257</v>
      </c>
    </row>
    <row r="23" spans="1:3">
      <c r="A23" s="25"/>
      <c r="B23" s="212" t="s">
        <v>5735</v>
      </c>
      <c r="C23" s="213" t="s">
        <v>7258</v>
      </c>
    </row>
    <row r="24" spans="1:3">
      <c r="A24" s="25"/>
    </row>
    <row r="25" spans="1:3">
      <c r="A25" s="212" t="s">
        <v>7323</v>
      </c>
      <c r="B25" s="42" t="s">
        <v>7324</v>
      </c>
    </row>
    <row r="26" spans="1:3">
      <c r="A26" s="25"/>
      <c r="B26" s="108" t="s">
        <v>5735</v>
      </c>
      <c r="C26" s="109" t="s">
        <v>7325</v>
      </c>
    </row>
    <row r="27" spans="1:3">
      <c r="A27" s="25"/>
    </row>
    <row r="28" spans="1:3">
      <c r="A28" s="108" t="s">
        <v>6030</v>
      </c>
      <c r="B28" s="42" t="s">
        <v>6994</v>
      </c>
    </row>
    <row r="29" spans="1:3">
      <c r="A29" s="25"/>
      <c r="B29" s="108" t="s">
        <v>5735</v>
      </c>
      <c r="C29" s="193" t="s">
        <v>6993</v>
      </c>
    </row>
    <row r="30" spans="1:3">
      <c r="A30" s="25"/>
      <c r="B30" s="108" t="s">
        <v>5670</v>
      </c>
      <c r="C30" s="112">
        <v>39254</v>
      </c>
    </row>
    <row r="31" spans="1:3">
      <c r="A31" s="25"/>
      <c r="B31" s="108" t="s">
        <v>5668</v>
      </c>
      <c r="C31" s="101" t="s">
        <v>6039</v>
      </c>
    </row>
    <row r="32" spans="1:3">
      <c r="A32" s="25"/>
      <c r="B32" s="175" t="s">
        <v>6999</v>
      </c>
      <c r="C32" s="193" t="s">
        <v>7022</v>
      </c>
    </row>
    <row r="33" spans="1:3">
      <c r="A33" s="25"/>
      <c r="B33" s="175" t="s">
        <v>4202</v>
      </c>
      <c r="C33" s="193" t="s">
        <v>7000</v>
      </c>
    </row>
    <row r="34" spans="1:3">
      <c r="A34" s="25"/>
      <c r="B34" s="175"/>
      <c r="C34" s="193" t="s">
        <v>7001</v>
      </c>
    </row>
    <row r="35" spans="1:3">
      <c r="A35" s="25"/>
      <c r="B35" s="175"/>
      <c r="C35" s="193" t="s">
        <v>7002</v>
      </c>
    </row>
    <row r="36" spans="1:3">
      <c r="A36" s="25"/>
      <c r="B36" s="175"/>
      <c r="C36" s="193" t="s">
        <v>7003</v>
      </c>
    </row>
    <row r="37" spans="1:3">
      <c r="A37" s="25"/>
      <c r="B37" s="175"/>
      <c r="C37" s="193" t="s">
        <v>7004</v>
      </c>
    </row>
    <row r="38" spans="1:3">
      <c r="A38" s="25"/>
      <c r="B38" s="175"/>
      <c r="C38" s="193" t="s">
        <v>7005</v>
      </c>
    </row>
    <row r="39" spans="1:3">
      <c r="A39" s="25"/>
      <c r="B39" s="175"/>
      <c r="C39" s="193" t="s">
        <v>7006</v>
      </c>
    </row>
    <row r="40" spans="1:3">
      <c r="A40" s="25"/>
      <c r="B40" s="175"/>
      <c r="C40" s="193" t="s">
        <v>7007</v>
      </c>
    </row>
    <row r="41" spans="1:3">
      <c r="A41" s="25"/>
      <c r="B41" s="175"/>
      <c r="C41" s="193" t="s">
        <v>7008</v>
      </c>
    </row>
    <row r="42" spans="1:3">
      <c r="A42" s="25"/>
      <c r="B42" s="175"/>
      <c r="C42" s="193" t="s">
        <v>7009</v>
      </c>
    </row>
    <row r="43" spans="1:3">
      <c r="A43" s="25"/>
      <c r="B43" s="175"/>
      <c r="C43" s="193" t="s">
        <v>7010</v>
      </c>
    </row>
    <row r="44" spans="1:3">
      <c r="A44" s="25"/>
      <c r="B44" s="175"/>
      <c r="C44" s="193" t="s">
        <v>7011</v>
      </c>
    </row>
    <row r="45" spans="1:3">
      <c r="A45" s="25"/>
      <c r="B45" s="175"/>
      <c r="C45" s="193" t="s">
        <v>7012</v>
      </c>
    </row>
    <row r="46" spans="1:3">
      <c r="A46" s="25"/>
      <c r="B46" s="175"/>
      <c r="C46" s="193" t="s">
        <v>7013</v>
      </c>
    </row>
    <row r="47" spans="1:3">
      <c r="A47" s="25"/>
      <c r="B47" s="175"/>
      <c r="C47" s="193" t="s">
        <v>7014</v>
      </c>
    </row>
    <row r="48" spans="1:3">
      <c r="A48" s="25"/>
      <c r="B48" s="175"/>
      <c r="C48" s="193" t="s">
        <v>7015</v>
      </c>
    </row>
    <row r="49" spans="1:3">
      <c r="A49" s="25"/>
      <c r="B49" s="175"/>
      <c r="C49" s="193" t="s">
        <v>7016</v>
      </c>
    </row>
    <row r="50" spans="1:3">
      <c r="A50" s="25"/>
      <c r="B50" s="175"/>
      <c r="C50" s="193" t="s">
        <v>7017</v>
      </c>
    </row>
    <row r="51" spans="1:3">
      <c r="A51" s="25"/>
      <c r="B51" s="175"/>
      <c r="C51" s="193" t="s">
        <v>7018</v>
      </c>
    </row>
    <row r="52" spans="1:3">
      <c r="A52" s="25"/>
      <c r="B52" s="175"/>
      <c r="C52" s="193" t="s">
        <v>7019</v>
      </c>
    </row>
    <row r="53" spans="1:3">
      <c r="A53" s="25"/>
      <c r="B53" s="175"/>
      <c r="C53" s="193" t="s">
        <v>7020</v>
      </c>
    </row>
    <row r="54" spans="1:3">
      <c r="A54" s="25"/>
      <c r="B54" s="175"/>
      <c r="C54" s="193" t="s">
        <v>7021</v>
      </c>
    </row>
    <row r="55" spans="1:3">
      <c r="A55" s="25"/>
    </row>
    <row r="56" spans="1:3">
      <c r="A56" s="212" t="s">
        <v>7244</v>
      </c>
      <c r="B56" s="42" t="s">
        <v>7245</v>
      </c>
    </row>
    <row r="57" spans="1:3">
      <c r="A57" s="25"/>
      <c r="B57" s="212" t="s">
        <v>5735</v>
      </c>
      <c r="C57" s="213" t="s">
        <v>7246</v>
      </c>
    </row>
    <row r="58" spans="1:3">
      <c r="A58" s="25"/>
    </row>
    <row r="59" spans="1:3">
      <c r="A59" s="212" t="s">
        <v>7250</v>
      </c>
      <c r="B59" s="42" t="s">
        <v>7251</v>
      </c>
    </row>
    <row r="60" spans="1:3">
      <c r="A60" s="25"/>
      <c r="B60" s="212" t="s">
        <v>5735</v>
      </c>
      <c r="C60" s="213" t="s">
        <v>7252</v>
      </c>
    </row>
    <row r="61" spans="1:3">
      <c r="A61" s="25"/>
    </row>
    <row r="62" spans="1:3">
      <c r="A62" s="212" t="s">
        <v>7231</v>
      </c>
      <c r="B62" s="42" t="s">
        <v>7229</v>
      </c>
    </row>
    <row r="63" spans="1:3">
      <c r="A63" s="25"/>
      <c r="B63" s="212" t="s">
        <v>5735</v>
      </c>
      <c r="C63" s="213" t="s">
        <v>4099</v>
      </c>
    </row>
    <row r="64" spans="1:3">
      <c r="A64" s="25"/>
      <c r="B64" s="212" t="s">
        <v>5670</v>
      </c>
      <c r="C64" s="112">
        <v>21162</v>
      </c>
    </row>
    <row r="65" spans="1:3">
      <c r="A65" s="25"/>
      <c r="B65" s="212" t="s">
        <v>5668</v>
      </c>
      <c r="C65" s="101" t="s">
        <v>7230</v>
      </c>
    </row>
    <row r="66" spans="1:3">
      <c r="A66" s="25"/>
      <c r="B66" s="212" t="s">
        <v>6159</v>
      </c>
      <c r="C66" s="214">
        <v>45172</v>
      </c>
    </row>
    <row r="67" spans="1:3">
      <c r="A67" s="25"/>
      <c r="B67" s="212" t="s">
        <v>4202</v>
      </c>
      <c r="C67" s="214" t="s">
        <v>7261</v>
      </c>
    </row>
    <row r="68" spans="1:3">
      <c r="A68" s="25"/>
    </row>
    <row r="69" spans="1:3">
      <c r="A69" s="212" t="s">
        <v>7232</v>
      </c>
      <c r="B69" s="42" t="s">
        <v>7233</v>
      </c>
    </row>
    <row r="70" spans="1:3">
      <c r="A70" s="25"/>
      <c r="B70" s="212" t="s">
        <v>5735</v>
      </c>
      <c r="C70" s="213" t="s">
        <v>4099</v>
      </c>
    </row>
    <row r="71" spans="1:3">
      <c r="A71" s="25"/>
      <c r="B71" s="212" t="s">
        <v>5670</v>
      </c>
      <c r="C71" s="111">
        <v>259</v>
      </c>
    </row>
    <row r="72" spans="1:3">
      <c r="A72" s="25"/>
      <c r="B72" s="212" t="s">
        <v>5668</v>
      </c>
      <c r="C72" s="101" t="s">
        <v>7234</v>
      </c>
    </row>
    <row r="73" spans="1:3">
      <c r="A73" s="25"/>
    </row>
    <row r="74" spans="1:3">
      <c r="A74" s="175" t="s">
        <v>7023</v>
      </c>
      <c r="B74" s="42" t="s">
        <v>6038</v>
      </c>
    </row>
    <row r="75" spans="1:3">
      <c r="A75" s="25"/>
      <c r="B75" s="108" t="s">
        <v>5735</v>
      </c>
      <c r="C75" s="109" t="s">
        <v>6037</v>
      </c>
    </row>
    <row r="76" spans="1:3">
      <c r="A76" s="25"/>
      <c r="B76" s="108" t="s">
        <v>5670</v>
      </c>
      <c r="C76" s="111">
        <v>3169</v>
      </c>
    </row>
    <row r="77" spans="1:3">
      <c r="A77" s="25"/>
      <c r="B77" s="108" t="s">
        <v>5668</v>
      </c>
      <c r="C77" s="101" t="s">
        <v>6040</v>
      </c>
    </row>
    <row r="78" spans="1:3">
      <c r="A78" s="25"/>
    </row>
    <row r="79" spans="1:3">
      <c r="A79" s="108" t="s">
        <v>5680</v>
      </c>
      <c r="B79" s="42" t="s">
        <v>5474</v>
      </c>
    </row>
    <row r="80" spans="1:3">
      <c r="A80" s="25"/>
      <c r="B80" s="108" t="s">
        <v>5669</v>
      </c>
      <c r="C80" s="109" t="s">
        <v>5475</v>
      </c>
    </row>
    <row r="81" spans="1:3">
      <c r="A81" s="25"/>
      <c r="B81" s="108" t="s">
        <v>5670</v>
      </c>
      <c r="C81" s="111">
        <v>2971</v>
      </c>
    </row>
    <row r="82" spans="1:3">
      <c r="A82" s="25"/>
      <c r="B82" s="108" t="s">
        <v>5668</v>
      </c>
      <c r="C82" s="101" t="s">
        <v>5677</v>
      </c>
    </row>
    <row r="83" spans="1:3">
      <c r="A83" s="25"/>
      <c r="C83" s="25" t="s">
        <v>7228</v>
      </c>
    </row>
    <row r="84" spans="1:3">
      <c r="A84" s="25"/>
      <c r="B84" s="175" t="s">
        <v>6159</v>
      </c>
      <c r="C84" s="137">
        <v>45168</v>
      </c>
    </row>
    <row r="85" spans="1:3">
      <c r="A85" s="25"/>
    </row>
    <row r="86" spans="1:3">
      <c r="A86" s="108" t="s">
        <v>5681</v>
      </c>
      <c r="B86" s="42" t="s">
        <v>5678</v>
      </c>
    </row>
    <row r="87" spans="1:3">
      <c r="B87" s="108" t="s">
        <v>5669</v>
      </c>
      <c r="C87" s="109" t="s">
        <v>5300</v>
      </c>
    </row>
    <row r="88" spans="1:3">
      <c r="B88" s="108" t="s">
        <v>5670</v>
      </c>
      <c r="C88" s="112">
        <v>17453</v>
      </c>
    </row>
    <row r="89" spans="1:3">
      <c r="B89" s="108" t="s">
        <v>5668</v>
      </c>
      <c r="C89" s="228" t="s">
        <v>5679</v>
      </c>
    </row>
    <row r="91" spans="1:3">
      <c r="A91" s="108" t="s">
        <v>5682</v>
      </c>
      <c r="B91" s="42" t="s">
        <v>5487</v>
      </c>
    </row>
    <row r="92" spans="1:3">
      <c r="B92" s="108" t="s">
        <v>5669</v>
      </c>
      <c r="C92" s="109" t="s">
        <v>4125</v>
      </c>
    </row>
    <row r="93" spans="1:3">
      <c r="B93" s="108" t="s">
        <v>5670</v>
      </c>
      <c r="C93" s="111">
        <v>1984</v>
      </c>
    </row>
    <row r="94" spans="1:3">
      <c r="B94" s="108" t="s">
        <v>5668</v>
      </c>
      <c r="C94" s="101" t="s">
        <v>5691</v>
      </c>
    </row>
    <row r="96" spans="1:3">
      <c r="A96" s="108" t="s">
        <v>5683</v>
      </c>
      <c r="B96" s="42" t="s">
        <v>5693</v>
      </c>
    </row>
    <row r="97" spans="1:3">
      <c r="B97" s="108" t="s">
        <v>5669</v>
      </c>
      <c r="C97" s="109" t="s">
        <v>5692</v>
      </c>
    </row>
    <row r="98" spans="1:3">
      <c r="B98" s="108" t="s">
        <v>5670</v>
      </c>
      <c r="C98" s="111">
        <v>2957</v>
      </c>
    </row>
    <row r="99" spans="1:3">
      <c r="B99" s="108" t="s">
        <v>5668</v>
      </c>
      <c r="C99" s="101" t="s">
        <v>5694</v>
      </c>
    </row>
    <row r="101" spans="1:3">
      <c r="A101" s="108" t="s">
        <v>5684</v>
      </c>
      <c r="B101" s="42" t="s">
        <v>5306</v>
      </c>
    </row>
    <row r="102" spans="1:3">
      <c r="B102" s="108" t="s">
        <v>5669</v>
      </c>
      <c r="C102" s="109" t="s">
        <v>5300</v>
      </c>
    </row>
    <row r="103" spans="1:3">
      <c r="B103" s="108" t="s">
        <v>5670</v>
      </c>
      <c r="C103" s="113">
        <v>9588</v>
      </c>
    </row>
    <row r="104" spans="1:3">
      <c r="B104" s="108" t="s">
        <v>5668</v>
      </c>
      <c r="C104" s="101" t="s">
        <v>5695</v>
      </c>
    </row>
    <row r="106" spans="1:3">
      <c r="A106" s="108" t="s">
        <v>5685</v>
      </c>
      <c r="B106" s="42" t="s">
        <v>5696</v>
      </c>
    </row>
    <row r="107" spans="1:3">
      <c r="B107" s="108" t="s">
        <v>5669</v>
      </c>
      <c r="C107" s="109" t="s">
        <v>4483</v>
      </c>
    </row>
    <row r="108" spans="1:3">
      <c r="B108" s="108" t="s">
        <v>5670</v>
      </c>
      <c r="C108" s="111">
        <v>2896</v>
      </c>
    </row>
    <row r="109" spans="1:3">
      <c r="B109" s="108" t="s">
        <v>5668</v>
      </c>
      <c r="C109" s="101" t="s">
        <v>5697</v>
      </c>
    </row>
    <row r="111" spans="1:3">
      <c r="A111" s="108" t="s">
        <v>5686</v>
      </c>
      <c r="B111" s="42" t="s">
        <v>5307</v>
      </c>
    </row>
    <row r="112" spans="1:3">
      <c r="B112" s="108" t="s">
        <v>5669</v>
      </c>
      <c r="C112" s="109" t="s">
        <v>5308</v>
      </c>
    </row>
    <row r="113" spans="1:3">
      <c r="B113" s="108" t="s">
        <v>5670</v>
      </c>
      <c r="C113" s="114">
        <v>12004</v>
      </c>
    </row>
    <row r="114" spans="1:3">
      <c r="B114" s="108" t="s">
        <v>5668</v>
      </c>
      <c r="C114" s="101" t="s">
        <v>5700</v>
      </c>
    </row>
    <row r="116" spans="1:3">
      <c r="A116" s="108" t="s">
        <v>5687</v>
      </c>
      <c r="B116" s="42" t="s">
        <v>5698</v>
      </c>
    </row>
    <row r="117" spans="1:3">
      <c r="B117" s="108" t="s">
        <v>5669</v>
      </c>
      <c r="C117" s="109" t="s">
        <v>5699</v>
      </c>
    </row>
    <row r="118" spans="1:3">
      <c r="B118" s="108" t="s">
        <v>5670</v>
      </c>
      <c r="C118" s="111">
        <v>1026</v>
      </c>
    </row>
    <row r="119" spans="1:3">
      <c r="B119" s="108" t="s">
        <v>5668</v>
      </c>
      <c r="C119" s="101" t="s">
        <v>5701</v>
      </c>
    </row>
    <row r="121" spans="1:3">
      <c r="A121" s="108" t="s">
        <v>6284</v>
      </c>
      <c r="B121" s="42" t="s">
        <v>6286</v>
      </c>
    </row>
    <row r="122" spans="1:3">
      <c r="B122" s="108" t="s">
        <v>5669</v>
      </c>
      <c r="C122" s="109" t="s">
        <v>6285</v>
      </c>
    </row>
    <row r="123" spans="1:3">
      <c r="B123" s="108" t="s">
        <v>5670</v>
      </c>
      <c r="C123" s="111">
        <v>429</v>
      </c>
    </row>
    <row r="124" spans="1:3">
      <c r="B124" s="108" t="s">
        <v>5668</v>
      </c>
      <c r="C124" s="101" t="s">
        <v>6287</v>
      </c>
    </row>
    <row r="126" spans="1:3">
      <c r="A126" s="108" t="s">
        <v>5688</v>
      </c>
      <c r="B126" s="42" t="s">
        <v>5702</v>
      </c>
    </row>
    <row r="127" spans="1:3">
      <c r="B127" s="108" t="s">
        <v>5669</v>
      </c>
      <c r="C127" s="109" t="s">
        <v>5488</v>
      </c>
    </row>
    <row r="128" spans="1:3">
      <c r="B128" s="108" t="s">
        <v>5670</v>
      </c>
      <c r="C128" s="115">
        <v>17070</v>
      </c>
    </row>
    <row r="129" spans="1:3">
      <c r="B129" s="109" t="s">
        <v>5668</v>
      </c>
      <c r="C129" s="101" t="s">
        <v>5703</v>
      </c>
    </row>
    <row r="131" spans="1:3">
      <c r="A131" s="108" t="s">
        <v>6157</v>
      </c>
      <c r="B131" s="42" t="s">
        <v>6161</v>
      </c>
    </row>
    <row r="132" spans="1:3">
      <c r="B132" s="108" t="s">
        <v>5669</v>
      </c>
      <c r="C132" s="109" t="s">
        <v>6160</v>
      </c>
    </row>
    <row r="133" spans="1:3">
      <c r="B133" s="108" t="s">
        <v>5670</v>
      </c>
      <c r="C133" s="116">
        <v>8121</v>
      </c>
    </row>
    <row r="134" spans="1:3">
      <c r="B134" s="108" t="s">
        <v>5668</v>
      </c>
      <c r="C134" s="101" t="s">
        <v>6158</v>
      </c>
    </row>
    <row r="136" spans="1:3">
      <c r="B136" s="42" t="s">
        <v>7208</v>
      </c>
    </row>
    <row r="137" spans="1:3">
      <c r="B137" s="205" t="s">
        <v>5735</v>
      </c>
      <c r="C137" s="207" t="s">
        <v>7209</v>
      </c>
    </row>
    <row r="140" spans="1:3">
      <c r="A140" s="108" t="s">
        <v>5689</v>
      </c>
      <c r="B140" s="42" t="s">
        <v>5704</v>
      </c>
    </row>
    <row r="141" spans="1:3">
      <c r="B141" s="108" t="s">
        <v>5669</v>
      </c>
      <c r="C141" s="109" t="s">
        <v>5705</v>
      </c>
    </row>
    <row r="142" spans="1:3">
      <c r="B142" s="108" t="s">
        <v>5670</v>
      </c>
      <c r="C142" s="116">
        <v>6002</v>
      </c>
    </row>
    <row r="143" spans="1:3">
      <c r="B143" s="108" t="s">
        <v>5668</v>
      </c>
      <c r="C143" s="25" t="s">
        <v>5706</v>
      </c>
    </row>
    <row r="145" spans="1:3">
      <c r="A145" s="108" t="s">
        <v>5690</v>
      </c>
      <c r="B145" s="42" t="s">
        <v>5472</v>
      </c>
    </row>
    <row r="146" spans="1:3">
      <c r="B146" s="108" t="s">
        <v>5669</v>
      </c>
      <c r="C146" s="109" t="s">
        <v>5473</v>
      </c>
    </row>
    <row r="147" spans="1:3">
      <c r="B147" s="108" t="s">
        <v>5670</v>
      </c>
      <c r="C147" s="116">
        <v>9169</v>
      </c>
    </row>
    <row r="148" spans="1:3">
      <c r="B148" s="108" t="s">
        <v>5668</v>
      </c>
      <c r="C148" s="25" t="s">
        <v>5707</v>
      </c>
    </row>
    <row r="150" spans="1:3">
      <c r="A150" s="205" t="s">
        <v>7214</v>
      </c>
      <c r="B150" s="42" t="s">
        <v>7212</v>
      </c>
    </row>
    <row r="151" spans="1:3">
      <c r="B151" s="205" t="s">
        <v>5669</v>
      </c>
      <c r="C151" s="207" t="s">
        <v>7213</v>
      </c>
    </row>
    <row r="153" spans="1:3">
      <c r="A153" s="108" t="s">
        <v>5674</v>
      </c>
      <c r="B153" s="42" t="s">
        <v>5673</v>
      </c>
    </row>
    <row r="154" spans="1:3">
      <c r="B154" s="108" t="s">
        <v>5669</v>
      </c>
      <c r="C154" s="109" t="s">
        <v>5672</v>
      </c>
    </row>
    <row r="155" spans="1:3">
      <c r="B155" s="108" t="s">
        <v>5670</v>
      </c>
      <c r="C155" s="113">
        <v>5349</v>
      </c>
    </row>
    <row r="156" spans="1:3">
      <c r="B156" s="108" t="s">
        <v>5668</v>
      </c>
      <c r="C156" s="25" t="s">
        <v>5708</v>
      </c>
    </row>
    <row r="158" spans="1:3">
      <c r="A158" s="108" t="s">
        <v>5676</v>
      </c>
      <c r="B158" s="42" t="s">
        <v>5675</v>
      </c>
    </row>
    <row r="159" spans="1:3">
      <c r="B159" s="108" t="s">
        <v>5669</v>
      </c>
      <c r="C159" s="109" t="s">
        <v>4133</v>
      </c>
    </row>
    <row r="160" spans="1:3">
      <c r="B160" s="108" t="s">
        <v>5670</v>
      </c>
      <c r="C160" s="111">
        <v>391</v>
      </c>
    </row>
    <row r="161" spans="1:3">
      <c r="B161" s="108" t="s">
        <v>5668</v>
      </c>
      <c r="C161" s="101" t="s">
        <v>5709</v>
      </c>
    </row>
    <row r="162" spans="1:3">
      <c r="C162" s="101"/>
    </row>
    <row r="163" spans="1:3">
      <c r="A163" s="108" t="s">
        <v>5710</v>
      </c>
      <c r="B163" s="42" t="s">
        <v>5712</v>
      </c>
    </row>
    <row r="164" spans="1:3">
      <c r="B164" s="108" t="s">
        <v>5669</v>
      </c>
      <c r="C164" s="246" t="s">
        <v>5313</v>
      </c>
    </row>
    <row r="165" spans="1:3">
      <c r="B165" s="108" t="s">
        <v>5670</v>
      </c>
      <c r="C165" s="117">
        <v>34391</v>
      </c>
    </row>
    <row r="166" spans="1:3">
      <c r="B166" s="108" t="s">
        <v>5668</v>
      </c>
      <c r="C166" s="25" t="s">
        <v>5713</v>
      </c>
    </row>
    <row r="167" spans="1:3">
      <c r="B167" s="108" t="s">
        <v>4202</v>
      </c>
      <c r="C167" s="109" t="s">
        <v>5714</v>
      </c>
    </row>
    <row r="170" spans="1:3">
      <c r="A170" s="108" t="s">
        <v>5711</v>
      </c>
      <c r="B170" s="42" t="s">
        <v>5312</v>
      </c>
    </row>
    <row r="171" spans="1:3">
      <c r="B171" s="108" t="s">
        <v>5669</v>
      </c>
      <c r="C171" s="109" t="s">
        <v>5313</v>
      </c>
    </row>
    <row r="172" spans="1:3">
      <c r="B172" s="108" t="s">
        <v>5670</v>
      </c>
      <c r="C172" s="118">
        <v>26462</v>
      </c>
    </row>
    <row r="173" spans="1:3">
      <c r="B173" s="108" t="s">
        <v>5668</v>
      </c>
      <c r="C173" s="25" t="s">
        <v>5715</v>
      </c>
    </row>
    <row r="174" spans="1:3">
      <c r="C174" s="25"/>
    </row>
    <row r="175" spans="1:3">
      <c r="A175" s="108" t="s">
        <v>5999</v>
      </c>
      <c r="B175" s="42" t="s">
        <v>6000</v>
      </c>
      <c r="C175" s="25"/>
    </row>
    <row r="176" spans="1:3">
      <c r="B176" s="108" t="s">
        <v>5669</v>
      </c>
      <c r="C176" s="109" t="s">
        <v>6001</v>
      </c>
    </row>
    <row r="177" spans="1:3">
      <c r="B177" s="108" t="s">
        <v>5670</v>
      </c>
      <c r="C177" s="111">
        <v>193</v>
      </c>
    </row>
    <row r="178" spans="1:3">
      <c r="B178" s="108" t="s">
        <v>5668</v>
      </c>
      <c r="C178" s="25" t="s">
        <v>6002</v>
      </c>
    </row>
    <row r="180" spans="1:3">
      <c r="A180" s="205" t="s">
        <v>7195</v>
      </c>
      <c r="B180" s="42" t="s">
        <v>7196</v>
      </c>
    </row>
    <row r="181" spans="1:3">
      <c r="B181" s="205" t="s">
        <v>5735</v>
      </c>
      <c r="C181" s="207" t="s">
        <v>4502</v>
      </c>
    </row>
    <row r="185" spans="1:3">
      <c r="A185" s="108" t="s">
        <v>5716</v>
      </c>
      <c r="B185" s="42" t="s">
        <v>5491</v>
      </c>
    </row>
    <row r="186" spans="1:3">
      <c r="B186" s="108" t="s">
        <v>5669</v>
      </c>
      <c r="C186" s="109" t="s">
        <v>5492</v>
      </c>
    </row>
    <row r="187" spans="1:3">
      <c r="B187" s="108" t="s">
        <v>5670</v>
      </c>
      <c r="C187" s="119">
        <v>14928</v>
      </c>
    </row>
    <row r="188" spans="1:3">
      <c r="B188" s="108" t="s">
        <v>5668</v>
      </c>
      <c r="C188" s="25" t="s">
        <v>5727</v>
      </c>
    </row>
    <row r="190" spans="1:3">
      <c r="A190" s="108" t="s">
        <v>5717</v>
      </c>
      <c r="B190" s="42" t="s">
        <v>5728</v>
      </c>
    </row>
    <row r="191" spans="1:3">
      <c r="B191" s="108" t="s">
        <v>5669</v>
      </c>
      <c r="C191" s="109" t="s">
        <v>5729</v>
      </c>
    </row>
    <row r="192" spans="1:3">
      <c r="B192" s="108" t="s">
        <v>5670</v>
      </c>
      <c r="C192" s="116">
        <v>5956</v>
      </c>
    </row>
    <row r="193" spans="1:3">
      <c r="B193" s="108" t="s">
        <v>5668</v>
      </c>
      <c r="C193" s="25" t="s">
        <v>5730</v>
      </c>
    </row>
    <row r="194" spans="1:3">
      <c r="C194" s="25"/>
    </row>
    <row r="195" spans="1:3">
      <c r="A195" s="108" t="s">
        <v>6003</v>
      </c>
      <c r="B195" s="42" t="s">
        <v>6005</v>
      </c>
      <c r="C195" s="25"/>
    </row>
    <row r="196" spans="1:3">
      <c r="B196" s="108" t="s">
        <v>5669</v>
      </c>
      <c r="C196" s="120" t="s">
        <v>6006</v>
      </c>
    </row>
    <row r="197" spans="1:3">
      <c r="B197" s="108" t="s">
        <v>5670</v>
      </c>
      <c r="C197" s="111">
        <v>1950</v>
      </c>
    </row>
    <row r="198" spans="1:3">
      <c r="B198" s="108" t="s">
        <v>5668</v>
      </c>
      <c r="C198" s="25" t="s">
        <v>6004</v>
      </c>
    </row>
    <row r="200" spans="1:3">
      <c r="A200" s="108" t="s">
        <v>5719</v>
      </c>
      <c r="B200" s="42" t="s">
        <v>5731</v>
      </c>
    </row>
    <row r="201" spans="1:3">
      <c r="B201" s="108" t="s">
        <v>5669</v>
      </c>
      <c r="C201" s="109" t="s">
        <v>5732</v>
      </c>
    </row>
    <row r="202" spans="1:3">
      <c r="B202" s="108" t="s">
        <v>5670</v>
      </c>
      <c r="C202" s="119">
        <v>11169</v>
      </c>
    </row>
    <row r="203" spans="1:3">
      <c r="B203" s="108" t="s">
        <v>5668</v>
      </c>
      <c r="C203" s="25" t="s">
        <v>5733</v>
      </c>
    </row>
    <row r="205" spans="1:3">
      <c r="A205" s="108" t="s">
        <v>6191</v>
      </c>
      <c r="B205" s="42" t="s">
        <v>6188</v>
      </c>
    </row>
    <row r="206" spans="1:3">
      <c r="B206" s="108" t="s">
        <v>5669</v>
      </c>
      <c r="C206" s="109" t="s">
        <v>6190</v>
      </c>
    </row>
    <row r="207" spans="1:3">
      <c r="B207" s="108" t="s">
        <v>5670</v>
      </c>
      <c r="C207" s="116">
        <v>5749</v>
      </c>
    </row>
    <row r="208" spans="1:3">
      <c r="B208" s="108" t="s">
        <v>5668</v>
      </c>
      <c r="C208" s="101" t="s">
        <v>6189</v>
      </c>
    </row>
    <row r="210" spans="1:3">
      <c r="A210" s="108" t="s">
        <v>5718</v>
      </c>
      <c r="B210" s="42" t="s">
        <v>5486</v>
      </c>
    </row>
    <row r="211" spans="1:3">
      <c r="B211" s="108" t="s">
        <v>5735</v>
      </c>
      <c r="C211" s="246" t="s">
        <v>5734</v>
      </c>
    </row>
    <row r="212" spans="1:3">
      <c r="B212" s="108" t="s">
        <v>5670</v>
      </c>
      <c r="C212" s="121">
        <v>80021</v>
      </c>
    </row>
    <row r="213" spans="1:3">
      <c r="B213" s="108" t="s">
        <v>5668</v>
      </c>
      <c r="C213" s="25" t="s">
        <v>5736</v>
      </c>
    </row>
    <row r="215" spans="1:3">
      <c r="A215" s="175" t="s">
        <v>6846</v>
      </c>
      <c r="B215" s="42" t="s">
        <v>6849</v>
      </c>
    </row>
    <row r="216" spans="1:3">
      <c r="A216" s="175"/>
      <c r="B216" s="175" t="s">
        <v>5669</v>
      </c>
      <c r="C216" s="198" t="s">
        <v>6847</v>
      </c>
    </row>
    <row r="217" spans="1:3">
      <c r="B217" s="175" t="s">
        <v>5670</v>
      </c>
      <c r="C217" s="111">
        <v>4388</v>
      </c>
    </row>
    <row r="218" spans="1:3">
      <c r="B218" s="175" t="s">
        <v>5668</v>
      </c>
      <c r="C218" s="101" t="s">
        <v>6848</v>
      </c>
    </row>
    <row r="220" spans="1:3">
      <c r="A220" s="205" t="s">
        <v>7217</v>
      </c>
      <c r="B220" s="42" t="s">
        <v>7215</v>
      </c>
    </row>
    <row r="221" spans="1:3">
      <c r="B221" s="205" t="s">
        <v>5669</v>
      </c>
      <c r="C221" s="207" t="s">
        <v>7216</v>
      </c>
    </row>
    <row r="224" spans="1:3">
      <c r="A224" s="108" t="s">
        <v>5720</v>
      </c>
      <c r="B224" s="42" t="s">
        <v>5737</v>
      </c>
    </row>
    <row r="225" spans="1:3">
      <c r="B225" s="108" t="s">
        <v>5669</v>
      </c>
      <c r="C225" s="109" t="s">
        <v>5738</v>
      </c>
    </row>
    <row r="226" spans="1:3">
      <c r="B226" s="108" t="s">
        <v>5670</v>
      </c>
      <c r="C226" s="119">
        <v>11155</v>
      </c>
    </row>
    <row r="227" spans="1:3">
      <c r="B227" s="108" t="s">
        <v>5668</v>
      </c>
      <c r="C227" s="25" t="s">
        <v>5739</v>
      </c>
    </row>
    <row r="229" spans="1:3">
      <c r="A229" s="108" t="s">
        <v>5721</v>
      </c>
      <c r="B229" s="42" t="s">
        <v>5740</v>
      </c>
    </row>
    <row r="230" spans="1:3">
      <c r="B230" s="108" t="s">
        <v>5669</v>
      </c>
      <c r="C230" s="109" t="s">
        <v>5741</v>
      </c>
    </row>
    <row r="231" spans="1:3">
      <c r="B231" s="108" t="s">
        <v>5670</v>
      </c>
      <c r="C231" s="122">
        <v>1218</v>
      </c>
    </row>
    <row r="232" spans="1:3">
      <c r="B232" s="109" t="s">
        <v>5668</v>
      </c>
      <c r="C232" s="101" t="s">
        <v>5742</v>
      </c>
    </row>
    <row r="234" spans="1:3">
      <c r="A234" s="108" t="s">
        <v>5722</v>
      </c>
      <c r="B234" s="42" t="s">
        <v>5743</v>
      </c>
    </row>
    <row r="235" spans="1:3">
      <c r="B235" s="108" t="s">
        <v>5669</v>
      </c>
      <c r="C235" s="109" t="s">
        <v>5744</v>
      </c>
    </row>
    <row r="236" spans="1:3">
      <c r="B236" s="108" t="s">
        <v>5670</v>
      </c>
      <c r="C236" s="116">
        <v>6961</v>
      </c>
    </row>
    <row r="237" spans="1:3">
      <c r="B237" s="109" t="s">
        <v>5668</v>
      </c>
      <c r="C237" s="101" t="s">
        <v>5745</v>
      </c>
    </row>
    <row r="239" spans="1:3">
      <c r="A239" s="205" t="s">
        <v>7193</v>
      </c>
      <c r="B239" s="42" t="s">
        <v>7191</v>
      </c>
    </row>
    <row r="240" spans="1:3">
      <c r="B240" s="205" t="s">
        <v>5735</v>
      </c>
      <c r="C240" s="207" t="s">
        <v>7192</v>
      </c>
    </row>
    <row r="242" spans="1:3">
      <c r="A242" s="382" t="s">
        <v>9569</v>
      </c>
      <c r="B242" s="42" t="s">
        <v>9571</v>
      </c>
    </row>
    <row r="243" spans="1:3">
      <c r="B243" s="382" t="s">
        <v>5669</v>
      </c>
      <c r="C243" s="384" t="s">
        <v>9570</v>
      </c>
    </row>
    <row r="244" spans="1:3">
      <c r="B244" s="382" t="s">
        <v>5670</v>
      </c>
    </row>
    <row r="245" spans="1:3">
      <c r="B245" s="382" t="s">
        <v>5668</v>
      </c>
    </row>
    <row r="247" spans="1:3">
      <c r="A247" s="108" t="s">
        <v>5724</v>
      </c>
      <c r="B247" s="42" t="s">
        <v>5748</v>
      </c>
    </row>
    <row r="248" spans="1:3">
      <c r="B248" s="109" t="s">
        <v>5669</v>
      </c>
      <c r="C248" s="109" t="s">
        <v>5746</v>
      </c>
    </row>
    <row r="249" spans="1:3">
      <c r="B249" s="109" t="s">
        <v>5670</v>
      </c>
      <c r="C249" s="121">
        <v>62084</v>
      </c>
    </row>
    <row r="250" spans="1:3">
      <c r="B250" s="109" t="s">
        <v>5668</v>
      </c>
      <c r="C250" s="101" t="s">
        <v>5747</v>
      </c>
    </row>
    <row r="252" spans="1:3">
      <c r="A252" s="108" t="s">
        <v>5723</v>
      </c>
      <c r="B252" s="42" t="s">
        <v>5750</v>
      </c>
    </row>
    <row r="253" spans="1:3">
      <c r="B253" s="108" t="s">
        <v>5669</v>
      </c>
      <c r="C253" s="109" t="s">
        <v>5490</v>
      </c>
    </row>
    <row r="254" spans="1:3">
      <c r="B254" s="108" t="s">
        <v>5670</v>
      </c>
      <c r="C254" s="121">
        <v>57102</v>
      </c>
    </row>
    <row r="255" spans="1:3">
      <c r="B255" s="108" t="s">
        <v>5668</v>
      </c>
      <c r="C255" s="101" t="s">
        <v>5749</v>
      </c>
    </row>
    <row r="257" spans="1:3">
      <c r="A257" s="108" t="s">
        <v>6041</v>
      </c>
      <c r="B257" s="42" t="s">
        <v>6129</v>
      </c>
    </row>
    <row r="258" spans="1:3">
      <c r="B258" s="108" t="s">
        <v>5669</v>
      </c>
      <c r="C258" s="109" t="s">
        <v>6128</v>
      </c>
    </row>
    <row r="259" spans="1:3">
      <c r="B259" s="108" t="s">
        <v>5670</v>
      </c>
      <c r="C259" s="136">
        <v>113005</v>
      </c>
    </row>
    <row r="260" spans="1:3">
      <c r="B260" s="108" t="s">
        <v>5668</v>
      </c>
      <c r="C260" s="101" t="s">
        <v>6127</v>
      </c>
    </row>
    <row r="262" spans="1:3">
      <c r="A262" s="108" t="s">
        <v>5725</v>
      </c>
      <c r="B262" s="42" t="s">
        <v>5751</v>
      </c>
    </row>
    <row r="263" spans="1:3">
      <c r="B263" s="108" t="s">
        <v>5669</v>
      </c>
      <c r="C263" s="109" t="s">
        <v>5752</v>
      </c>
    </row>
    <row r="264" spans="1:3">
      <c r="B264" s="108" t="s">
        <v>5670</v>
      </c>
      <c r="C264" s="122">
        <v>1812</v>
      </c>
    </row>
    <row r="265" spans="1:3">
      <c r="B265" s="108" t="s">
        <v>5668</v>
      </c>
      <c r="C265" s="101" t="s">
        <v>5756</v>
      </c>
    </row>
    <row r="267" spans="1:3">
      <c r="B267" s="42" t="s">
        <v>6034</v>
      </c>
    </row>
    <row r="268" spans="1:3">
      <c r="B268" s="108" t="s">
        <v>5669</v>
      </c>
      <c r="C268" s="109" t="s">
        <v>6033</v>
      </c>
    </row>
    <row r="269" spans="1:3">
      <c r="B269" s="108" t="s">
        <v>5670</v>
      </c>
    </row>
    <row r="270" spans="1:3">
      <c r="B270" s="108" t="s">
        <v>5668</v>
      </c>
    </row>
    <row r="272" spans="1:3">
      <c r="A272" s="108" t="s">
        <v>5726</v>
      </c>
      <c r="B272" s="42" t="s">
        <v>5639</v>
      </c>
    </row>
    <row r="273" spans="1:3">
      <c r="B273" s="108" t="s">
        <v>5669</v>
      </c>
      <c r="C273" s="109" t="s">
        <v>5640</v>
      </c>
    </row>
    <row r="274" spans="1:3">
      <c r="B274" s="108" t="s">
        <v>5670</v>
      </c>
      <c r="C274" s="119">
        <v>12844</v>
      </c>
    </row>
    <row r="275" spans="1:3">
      <c r="B275" s="108" t="s">
        <v>4204</v>
      </c>
      <c r="C275" s="108" t="s">
        <v>5771</v>
      </c>
    </row>
    <row r="276" spans="1:3">
      <c r="B276" s="108" t="s">
        <v>5668</v>
      </c>
      <c r="C276" s="25" t="s">
        <v>5770</v>
      </c>
    </row>
    <row r="278" spans="1:3">
      <c r="A278" s="108" t="s">
        <v>6153</v>
      </c>
      <c r="B278" s="42" t="s">
        <v>6155</v>
      </c>
    </row>
    <row r="279" spans="1:3">
      <c r="B279" s="108" t="s">
        <v>5669</v>
      </c>
      <c r="C279" s="109" t="s">
        <v>6154</v>
      </c>
    </row>
    <row r="280" spans="1:3">
      <c r="B280" s="108" t="s">
        <v>5670</v>
      </c>
      <c r="C280" s="122">
        <v>4936</v>
      </c>
    </row>
    <row r="281" spans="1:3">
      <c r="B281" s="108" t="s">
        <v>5668</v>
      </c>
      <c r="C281" s="25" t="s">
        <v>6152</v>
      </c>
    </row>
    <row r="282" spans="1:3">
      <c r="B282" s="108" t="s">
        <v>5668</v>
      </c>
      <c r="C282" s="25" t="s">
        <v>6156</v>
      </c>
    </row>
    <row r="284" spans="1:3">
      <c r="A284" s="108" t="s">
        <v>6195</v>
      </c>
      <c r="B284" s="42" t="s">
        <v>6192</v>
      </c>
    </row>
    <row r="285" spans="1:3">
      <c r="B285" s="108" t="s">
        <v>5669</v>
      </c>
      <c r="C285" s="109" t="s">
        <v>6193</v>
      </c>
    </row>
    <row r="286" spans="1:3">
      <c r="B286" s="108" t="s">
        <v>5670</v>
      </c>
      <c r="C286" s="122">
        <v>1783</v>
      </c>
    </row>
    <row r="287" spans="1:3">
      <c r="B287" s="108" t="s">
        <v>5668</v>
      </c>
      <c r="C287" s="101" t="s">
        <v>6194</v>
      </c>
    </row>
    <row r="289" spans="1:3">
      <c r="A289" s="175" t="s">
        <v>6829</v>
      </c>
      <c r="B289" s="42" t="s">
        <v>6830</v>
      </c>
    </row>
    <row r="290" spans="1:3">
      <c r="B290" s="175" t="s">
        <v>5669</v>
      </c>
      <c r="C290" s="193" t="s">
        <v>6831</v>
      </c>
    </row>
    <row r="291" spans="1:3">
      <c r="B291" s="175" t="s">
        <v>5670</v>
      </c>
      <c r="C291" s="122">
        <v>1669</v>
      </c>
    </row>
    <row r="292" spans="1:3">
      <c r="B292" s="175" t="s">
        <v>5668</v>
      </c>
      <c r="C292" s="101" t="s">
        <v>6832</v>
      </c>
    </row>
    <row r="294" spans="1:3">
      <c r="A294" s="175" t="s">
        <v>6879</v>
      </c>
      <c r="B294" s="42" t="s">
        <v>6880</v>
      </c>
    </row>
    <row r="295" spans="1:3">
      <c r="B295" s="175" t="s">
        <v>5669</v>
      </c>
      <c r="C295" s="193" t="s">
        <v>6882</v>
      </c>
    </row>
    <row r="296" spans="1:3">
      <c r="B296" s="175" t="s">
        <v>5670</v>
      </c>
      <c r="C296" s="122">
        <v>1323</v>
      </c>
    </row>
    <row r="297" spans="1:3">
      <c r="B297" s="175" t="s">
        <v>5668</v>
      </c>
      <c r="C297" s="101" t="s">
        <v>6881</v>
      </c>
    </row>
    <row r="299" spans="1:3">
      <c r="A299" s="108" t="s">
        <v>5753</v>
      </c>
      <c r="B299" s="42" t="s">
        <v>5772</v>
      </c>
    </row>
    <row r="300" spans="1:3">
      <c r="B300" s="108" t="s">
        <v>5669</v>
      </c>
      <c r="C300" s="109" t="s">
        <v>5773</v>
      </c>
    </row>
    <row r="301" spans="1:3">
      <c r="B301" s="108" t="s">
        <v>5670</v>
      </c>
      <c r="C301" s="121">
        <v>65618</v>
      </c>
    </row>
    <row r="302" spans="1:3">
      <c r="B302" s="108" t="s">
        <v>5668</v>
      </c>
      <c r="C302" s="25" t="s">
        <v>5775</v>
      </c>
    </row>
    <row r="304" spans="1:3">
      <c r="A304" s="108" t="s">
        <v>5755</v>
      </c>
      <c r="B304" s="42" t="s">
        <v>5496</v>
      </c>
    </row>
    <row r="305" spans="1:3">
      <c r="B305" s="108" t="s">
        <v>5669</v>
      </c>
      <c r="C305" s="109" t="s">
        <v>5497</v>
      </c>
    </row>
    <row r="306" spans="1:3">
      <c r="B306" s="108" t="s">
        <v>5670</v>
      </c>
      <c r="C306" s="123">
        <v>20836</v>
      </c>
    </row>
    <row r="307" spans="1:3">
      <c r="B307" s="108" t="s">
        <v>5668</v>
      </c>
      <c r="C307" s="101" t="s">
        <v>5776</v>
      </c>
    </row>
    <row r="309" spans="1:3">
      <c r="A309" s="108" t="s">
        <v>5754</v>
      </c>
      <c r="B309" s="42" t="s">
        <v>5774</v>
      </c>
    </row>
    <row r="310" spans="1:3">
      <c r="B310" s="108" t="s">
        <v>5669</v>
      </c>
      <c r="C310" s="109" t="s">
        <v>5777</v>
      </c>
    </row>
    <row r="311" spans="1:3">
      <c r="B311" s="108" t="s">
        <v>5670</v>
      </c>
      <c r="C311" s="119">
        <v>19905</v>
      </c>
    </row>
    <row r="312" spans="1:3">
      <c r="B312" s="108" t="s">
        <v>5668</v>
      </c>
      <c r="C312" s="101" t="s">
        <v>5778</v>
      </c>
    </row>
    <row r="314" spans="1:3">
      <c r="A314" s="175" t="s">
        <v>6838</v>
      </c>
      <c r="B314" s="42" t="s">
        <v>6841</v>
      </c>
    </row>
    <row r="315" spans="1:3">
      <c r="B315" s="175" t="s">
        <v>5669</v>
      </c>
      <c r="C315" s="193" t="s">
        <v>6839</v>
      </c>
    </row>
    <row r="316" spans="1:3">
      <c r="B316" s="175" t="s">
        <v>5670</v>
      </c>
      <c r="C316" s="122">
        <v>1875</v>
      </c>
    </row>
    <row r="317" spans="1:3">
      <c r="B317" s="175" t="s">
        <v>5668</v>
      </c>
      <c r="C317" s="101" t="s">
        <v>6840</v>
      </c>
    </row>
    <row r="319" spans="1:3">
      <c r="A319" s="108" t="s">
        <v>6121</v>
      </c>
      <c r="B319" s="42" t="s">
        <v>6165</v>
      </c>
    </row>
    <row r="320" spans="1:3">
      <c r="B320" s="108" t="s">
        <v>5669</v>
      </c>
      <c r="C320" s="109" t="s">
        <v>6164</v>
      </c>
    </row>
    <row r="321" spans="1:3">
      <c r="B321" s="108" t="s">
        <v>5670</v>
      </c>
      <c r="C321" s="122">
        <v>2736</v>
      </c>
    </row>
    <row r="322" spans="1:3">
      <c r="B322" s="108" t="s">
        <v>5668</v>
      </c>
      <c r="C322" s="101" t="s">
        <v>6166</v>
      </c>
    </row>
    <row r="324" spans="1:3">
      <c r="A324" s="108" t="s">
        <v>6167</v>
      </c>
      <c r="B324" s="42" t="s">
        <v>6124</v>
      </c>
    </row>
    <row r="325" spans="1:3">
      <c r="B325" s="108" t="s">
        <v>5669</v>
      </c>
      <c r="C325" s="109" t="s">
        <v>6122</v>
      </c>
    </row>
    <row r="326" spans="1:3">
      <c r="B326" s="108" t="s">
        <v>5670</v>
      </c>
      <c r="C326" s="122">
        <v>1161</v>
      </c>
    </row>
    <row r="327" spans="1:3">
      <c r="B327" s="108" t="s">
        <v>5668</v>
      </c>
      <c r="C327" s="101" t="s">
        <v>6123</v>
      </c>
    </row>
    <row r="329" spans="1:3">
      <c r="A329" s="108" t="s">
        <v>5779</v>
      </c>
      <c r="B329" s="42" t="s">
        <v>5780</v>
      </c>
    </row>
    <row r="330" spans="1:3">
      <c r="B330" s="108" t="s">
        <v>5669</v>
      </c>
      <c r="C330" s="109" t="s">
        <v>5781</v>
      </c>
    </row>
    <row r="331" spans="1:3">
      <c r="B331" s="108" t="s">
        <v>5670</v>
      </c>
      <c r="C331" s="121">
        <v>35378</v>
      </c>
    </row>
    <row r="332" spans="1:3">
      <c r="B332" s="108" t="s">
        <v>5668</v>
      </c>
      <c r="C332" s="25" t="s">
        <v>5782</v>
      </c>
    </row>
    <row r="334" spans="1:3">
      <c r="A334" s="175" t="s">
        <v>6866</v>
      </c>
      <c r="B334" s="42" t="s">
        <v>6867</v>
      </c>
    </row>
    <row r="335" spans="1:3">
      <c r="B335" s="175" t="s">
        <v>5669</v>
      </c>
      <c r="C335" s="193" t="s">
        <v>6868</v>
      </c>
    </row>
    <row r="336" spans="1:3">
      <c r="B336" s="175" t="s">
        <v>5670</v>
      </c>
      <c r="C336" s="116">
        <v>7185</v>
      </c>
    </row>
    <row r="337" spans="1:3">
      <c r="B337" s="175" t="s">
        <v>5668</v>
      </c>
      <c r="C337" s="101" t="s">
        <v>6869</v>
      </c>
    </row>
    <row r="339" spans="1:3">
      <c r="A339" s="108" t="s">
        <v>5783</v>
      </c>
      <c r="B339" s="42" t="s">
        <v>6142</v>
      </c>
    </row>
    <row r="340" spans="1:3">
      <c r="B340" s="108" t="s">
        <v>5669</v>
      </c>
      <c r="C340" s="109" t="s">
        <v>6143</v>
      </c>
    </row>
    <row r="341" spans="1:3">
      <c r="B341" s="108" t="s">
        <v>5670</v>
      </c>
      <c r="C341" s="121">
        <v>55215</v>
      </c>
    </row>
    <row r="342" spans="1:3">
      <c r="B342" s="108" t="s">
        <v>5668</v>
      </c>
      <c r="C342" s="101" t="s">
        <v>6144</v>
      </c>
    </row>
    <row r="344" spans="1:3">
      <c r="A344" s="108" t="s">
        <v>5883</v>
      </c>
      <c r="B344" s="42" t="s">
        <v>5499</v>
      </c>
    </row>
    <row r="345" spans="1:3">
      <c r="B345" s="108" t="s">
        <v>5669</v>
      </c>
      <c r="C345" s="109" t="s">
        <v>5498</v>
      </c>
    </row>
    <row r="346" spans="1:3">
      <c r="B346" s="108" t="s">
        <v>5670</v>
      </c>
      <c r="C346" s="123">
        <v>23440</v>
      </c>
    </row>
    <row r="347" spans="1:3">
      <c r="B347" s="108" t="s">
        <v>5668</v>
      </c>
      <c r="C347" s="25" t="s">
        <v>5785</v>
      </c>
    </row>
    <row r="349" spans="1:3">
      <c r="A349" s="108" t="s">
        <v>6145</v>
      </c>
      <c r="B349" s="42" t="s">
        <v>6281</v>
      </c>
    </row>
    <row r="350" spans="1:3">
      <c r="B350" s="108" t="s">
        <v>5669</v>
      </c>
      <c r="C350" s="109" t="s">
        <v>6282</v>
      </c>
    </row>
    <row r="351" spans="1:3">
      <c r="B351" s="108" t="s">
        <v>5670</v>
      </c>
      <c r="C351" s="122">
        <v>3366</v>
      </c>
    </row>
    <row r="352" spans="1:3" ht="14">
      <c r="B352" s="108" t="s">
        <v>5668</v>
      </c>
      <c r="C352" s="144" t="s">
        <v>6280</v>
      </c>
    </row>
    <row r="354" spans="1:3">
      <c r="A354" s="108" t="s">
        <v>6179</v>
      </c>
      <c r="B354" s="42" t="s">
        <v>6177</v>
      </c>
    </row>
    <row r="355" spans="1:3">
      <c r="B355" s="108" t="s">
        <v>5669</v>
      </c>
      <c r="C355" s="109" t="s">
        <v>6178</v>
      </c>
    </row>
    <row r="356" spans="1:3">
      <c r="B356" s="108" t="s">
        <v>5670</v>
      </c>
      <c r="C356" s="122">
        <v>2819</v>
      </c>
    </row>
    <row r="357" spans="1:3">
      <c r="B357" s="108" t="s">
        <v>5668</v>
      </c>
      <c r="C357" s="101" t="s">
        <v>6176</v>
      </c>
    </row>
    <row r="358" spans="1:3">
      <c r="C358" s="101"/>
    </row>
    <row r="359" spans="1:3">
      <c r="A359" s="175" t="s">
        <v>6283</v>
      </c>
      <c r="B359" s="42" t="s">
        <v>6944</v>
      </c>
      <c r="C359" s="101"/>
    </row>
    <row r="360" spans="1:3">
      <c r="B360" s="175" t="s">
        <v>5669</v>
      </c>
      <c r="C360" s="175" t="s">
        <v>6945</v>
      </c>
    </row>
    <row r="361" spans="1:3">
      <c r="B361" s="175" t="s">
        <v>5670</v>
      </c>
      <c r="C361" s="122">
        <v>1249</v>
      </c>
    </row>
    <row r="362" spans="1:3">
      <c r="B362" s="175" t="s">
        <v>5668</v>
      </c>
      <c r="C362" s="101" t="s">
        <v>6940</v>
      </c>
    </row>
    <row r="363" spans="1:3">
      <c r="C363" s="101"/>
    </row>
    <row r="364" spans="1:3">
      <c r="A364" s="175" t="s">
        <v>6833</v>
      </c>
      <c r="B364" s="42" t="s">
        <v>5882</v>
      </c>
    </row>
    <row r="365" spans="1:3">
      <c r="B365" s="108" t="s">
        <v>5669</v>
      </c>
      <c r="C365" s="109" t="s">
        <v>5498</v>
      </c>
    </row>
    <row r="366" spans="1:3">
      <c r="B366" s="108" t="s">
        <v>5670</v>
      </c>
      <c r="C366" s="122">
        <v>55</v>
      </c>
    </row>
    <row r="367" spans="1:3">
      <c r="B367" s="108" t="s">
        <v>5668</v>
      </c>
      <c r="C367" s="25" t="s">
        <v>5884</v>
      </c>
    </row>
    <row r="369" spans="1:3">
      <c r="A369" s="175" t="s">
        <v>6943</v>
      </c>
      <c r="B369" s="42" t="s">
        <v>6836</v>
      </c>
    </row>
    <row r="370" spans="1:3">
      <c r="B370" s="175" t="s">
        <v>5669</v>
      </c>
      <c r="C370" s="193" t="s">
        <v>6834</v>
      </c>
    </row>
    <row r="371" spans="1:3">
      <c r="B371" s="175" t="s">
        <v>5670</v>
      </c>
      <c r="C371" s="197" t="s">
        <v>1</v>
      </c>
    </row>
    <row r="372" spans="1:3" ht="15">
      <c r="B372" s="175" t="s">
        <v>5668</v>
      </c>
      <c r="C372" s="151" t="s">
        <v>6835</v>
      </c>
    </row>
    <row r="374" spans="1:3">
      <c r="A374" s="108" t="s">
        <v>5786</v>
      </c>
      <c r="B374" s="42" t="s">
        <v>7076</v>
      </c>
    </row>
    <row r="375" spans="1:3">
      <c r="B375" s="108" t="s">
        <v>5669</v>
      </c>
      <c r="C375" s="193" t="s">
        <v>7073</v>
      </c>
    </row>
    <row r="376" spans="1:3">
      <c r="B376" s="108" t="s">
        <v>5670</v>
      </c>
      <c r="C376" s="121">
        <v>55931</v>
      </c>
    </row>
    <row r="377" spans="1:3">
      <c r="B377" s="108" t="s">
        <v>5668</v>
      </c>
      <c r="C377" s="25" t="s">
        <v>5787</v>
      </c>
    </row>
    <row r="379" spans="1:3">
      <c r="A379" s="108" t="s">
        <v>5788</v>
      </c>
      <c r="B379" s="42" t="s">
        <v>5493</v>
      </c>
    </row>
    <row r="380" spans="1:3">
      <c r="B380" s="108" t="s">
        <v>5669</v>
      </c>
      <c r="C380" s="109" t="s">
        <v>5494</v>
      </c>
    </row>
    <row r="381" spans="1:3">
      <c r="B381" s="108" t="s">
        <v>5670</v>
      </c>
      <c r="C381" s="123">
        <v>21401</v>
      </c>
    </row>
    <row r="382" spans="1:3">
      <c r="B382" s="108" t="s">
        <v>5668</v>
      </c>
      <c r="C382" s="25" t="s">
        <v>5789</v>
      </c>
    </row>
    <row r="384" spans="1:3">
      <c r="A384" s="108" t="s">
        <v>5792</v>
      </c>
      <c r="B384" s="42" t="s">
        <v>5790</v>
      </c>
    </row>
    <row r="385" spans="1:3">
      <c r="B385" s="108" t="s">
        <v>5669</v>
      </c>
      <c r="C385" s="109" t="s">
        <v>5791</v>
      </c>
    </row>
    <row r="386" spans="1:3">
      <c r="B386" s="108" t="s">
        <v>5670</v>
      </c>
      <c r="C386" s="123">
        <v>22158</v>
      </c>
    </row>
    <row r="387" spans="1:3">
      <c r="B387" s="108" t="s">
        <v>5668</v>
      </c>
      <c r="C387" s="25" t="s">
        <v>5793</v>
      </c>
    </row>
    <row r="389" spans="1:3">
      <c r="A389" s="108" t="s">
        <v>5794</v>
      </c>
      <c r="B389" s="42" t="s">
        <v>6276</v>
      </c>
    </row>
    <row r="390" spans="1:3">
      <c r="B390" s="108" t="s">
        <v>5669</v>
      </c>
      <c r="C390" s="109" t="s">
        <v>6277</v>
      </c>
    </row>
    <row r="391" spans="1:3">
      <c r="B391" s="108" t="s">
        <v>5670</v>
      </c>
      <c r="C391" s="122">
        <v>2712</v>
      </c>
    </row>
    <row r="392" spans="1:3">
      <c r="B392" s="108" t="s">
        <v>5668</v>
      </c>
      <c r="C392" s="101" t="s">
        <v>6278</v>
      </c>
    </row>
    <row r="394" spans="1:3">
      <c r="A394" s="108" t="s">
        <v>6183</v>
      </c>
      <c r="B394" s="42" t="s">
        <v>5465</v>
      </c>
    </row>
    <row r="395" spans="1:3">
      <c r="B395" s="108" t="s">
        <v>5669</v>
      </c>
      <c r="C395" s="109" t="s">
        <v>5464</v>
      </c>
    </row>
    <row r="396" spans="1:3">
      <c r="B396" s="108" t="s">
        <v>5670</v>
      </c>
      <c r="C396" s="122">
        <v>1164</v>
      </c>
    </row>
    <row r="397" spans="1:3">
      <c r="B397" s="108" t="s">
        <v>5668</v>
      </c>
      <c r="C397" s="25" t="s">
        <v>5795</v>
      </c>
    </row>
    <row r="398" spans="1:3">
      <c r="C398" s="109" t="s">
        <v>4223</v>
      </c>
    </row>
    <row r="399" spans="1:3">
      <c r="C399" s="109" t="s">
        <v>4222</v>
      </c>
    </row>
    <row r="400" spans="1:3">
      <c r="C400" s="109" t="s">
        <v>4221</v>
      </c>
    </row>
    <row r="401" spans="1:3">
      <c r="C401" s="109" t="s">
        <v>4220</v>
      </c>
    </row>
    <row r="402" spans="1:3">
      <c r="C402" s="109" t="s">
        <v>4219</v>
      </c>
    </row>
    <row r="403" spans="1:3">
      <c r="C403" s="109" t="s">
        <v>4218</v>
      </c>
    </row>
    <row r="404" spans="1:3">
      <c r="C404" s="109" t="s">
        <v>4217</v>
      </c>
    </row>
    <row r="405" spans="1:3">
      <c r="C405" s="109" t="s">
        <v>4216</v>
      </c>
    </row>
    <row r="406" spans="1:3">
      <c r="C406" s="109" t="s">
        <v>4215</v>
      </c>
    </row>
    <row r="408" spans="1:3">
      <c r="A408" s="108" t="s">
        <v>6279</v>
      </c>
      <c r="B408" s="42" t="s">
        <v>6181</v>
      </c>
    </row>
    <row r="409" spans="1:3">
      <c r="B409" s="108" t="s">
        <v>5669</v>
      </c>
      <c r="C409" s="109" t="s">
        <v>4136</v>
      </c>
    </row>
    <row r="410" spans="1:3">
      <c r="B410" s="108" t="s">
        <v>5670</v>
      </c>
      <c r="C410" s="122">
        <v>780</v>
      </c>
    </row>
    <row r="411" spans="1:3">
      <c r="B411" s="108" t="s">
        <v>5668</v>
      </c>
      <c r="C411" s="101" t="s">
        <v>6182</v>
      </c>
    </row>
    <row r="413" spans="1:3">
      <c r="A413" s="272" t="s">
        <v>8944</v>
      </c>
      <c r="B413" s="42" t="s">
        <v>8945</v>
      </c>
    </row>
    <row r="414" spans="1:3">
      <c r="B414" s="272" t="s">
        <v>5669</v>
      </c>
      <c r="C414" s="278" t="s">
        <v>8946</v>
      </c>
    </row>
    <row r="415" spans="1:3">
      <c r="B415" s="272" t="s">
        <v>5670</v>
      </c>
      <c r="C415" s="278"/>
    </row>
    <row r="416" spans="1:3">
      <c r="B416" s="272" t="s">
        <v>5668</v>
      </c>
      <c r="C416" s="278" t="s">
        <v>8947</v>
      </c>
    </row>
    <row r="418" spans="1:3">
      <c r="A418" s="175" t="s">
        <v>6134</v>
      </c>
      <c r="B418" s="42" t="s">
        <v>6928</v>
      </c>
    </row>
    <row r="419" spans="1:3">
      <c r="B419" s="175" t="s">
        <v>5669</v>
      </c>
      <c r="C419" s="193" t="s">
        <v>6926</v>
      </c>
    </row>
    <row r="420" spans="1:3">
      <c r="B420" s="175" t="s">
        <v>5670</v>
      </c>
      <c r="C420" s="122">
        <v>1188</v>
      </c>
    </row>
    <row r="421" spans="1:3">
      <c r="B421" s="175" t="s">
        <v>5668</v>
      </c>
      <c r="C421" s="101" t="s">
        <v>6927</v>
      </c>
    </row>
    <row r="423" spans="1:3">
      <c r="A423" s="175" t="s">
        <v>6187</v>
      </c>
      <c r="B423" s="42" t="s">
        <v>6184</v>
      </c>
      <c r="C423" s="101"/>
    </row>
    <row r="424" spans="1:3">
      <c r="B424" s="108" t="s">
        <v>5669</v>
      </c>
      <c r="C424" s="108" t="s">
        <v>6186</v>
      </c>
    </row>
    <row r="425" spans="1:3">
      <c r="B425" s="108" t="s">
        <v>5670</v>
      </c>
      <c r="C425" s="122">
        <v>554</v>
      </c>
    </row>
    <row r="426" spans="1:3">
      <c r="B426" s="108" t="s">
        <v>5668</v>
      </c>
      <c r="C426" s="101" t="s">
        <v>6185</v>
      </c>
    </row>
    <row r="428" spans="1:3">
      <c r="A428" s="175" t="s">
        <v>6925</v>
      </c>
      <c r="B428" s="42" t="s">
        <v>6135</v>
      </c>
    </row>
    <row r="429" spans="1:3">
      <c r="B429" s="108" t="s">
        <v>5669</v>
      </c>
      <c r="C429" s="109" t="s">
        <v>6136</v>
      </c>
    </row>
    <row r="430" spans="1:3">
      <c r="B430" s="108" t="s">
        <v>5670</v>
      </c>
      <c r="C430" s="122">
        <v>383</v>
      </c>
    </row>
    <row r="431" spans="1:3">
      <c r="B431" s="108" t="s">
        <v>5668</v>
      </c>
      <c r="C431" s="101" t="s">
        <v>6137</v>
      </c>
    </row>
    <row r="432" spans="1:3">
      <c r="C432" s="101"/>
    </row>
    <row r="433" spans="1:3">
      <c r="A433" s="382" t="s">
        <v>9572</v>
      </c>
      <c r="B433" s="110" t="s">
        <v>9573</v>
      </c>
      <c r="C433" s="108"/>
    </row>
    <row r="434" spans="1:3">
      <c r="A434" s="382"/>
      <c r="B434" s="384" t="s">
        <v>5669</v>
      </c>
      <c r="C434" s="382" t="s">
        <v>9574</v>
      </c>
    </row>
    <row r="435" spans="1:3">
      <c r="A435" s="382"/>
      <c r="B435" s="384" t="s">
        <v>5670</v>
      </c>
      <c r="C435" s="382"/>
    </row>
    <row r="436" spans="1:3">
      <c r="A436" s="382"/>
      <c r="B436" s="384" t="s">
        <v>5668</v>
      </c>
      <c r="C436" s="108"/>
    </row>
    <row r="438" spans="1:3">
      <c r="A438" s="108" t="s">
        <v>5796</v>
      </c>
      <c r="B438" s="42" t="s">
        <v>6103</v>
      </c>
    </row>
    <row r="439" spans="1:3">
      <c r="B439" s="108" t="s">
        <v>5669</v>
      </c>
      <c r="C439" s="109" t="s">
        <v>6104</v>
      </c>
    </row>
    <row r="440" spans="1:3">
      <c r="B440" s="108" t="s">
        <v>5670</v>
      </c>
      <c r="C440" s="136">
        <v>119294</v>
      </c>
    </row>
    <row r="441" spans="1:3">
      <c r="B441" s="108" t="s">
        <v>5668</v>
      </c>
      <c r="C441" s="101" t="s">
        <v>5646</v>
      </c>
    </row>
    <row r="442" spans="1:3">
      <c r="B442" s="108" t="s">
        <v>5668</v>
      </c>
      <c r="C442" s="101" t="s">
        <v>6125</v>
      </c>
    </row>
    <row r="443" spans="1:3">
      <c r="B443" s="108" t="s">
        <v>5668</v>
      </c>
      <c r="C443" s="101" t="s">
        <v>6126</v>
      </c>
    </row>
    <row r="444" spans="1:3">
      <c r="C444" s="101"/>
    </row>
    <row r="445" spans="1:3">
      <c r="A445" s="108" t="s">
        <v>5797</v>
      </c>
      <c r="B445" s="42" t="s">
        <v>6175</v>
      </c>
      <c r="C445" s="101"/>
    </row>
    <row r="446" spans="1:3">
      <c r="B446" s="108" t="s">
        <v>5669</v>
      </c>
      <c r="C446" s="108" t="s">
        <v>6174</v>
      </c>
    </row>
    <row r="447" spans="1:3">
      <c r="B447" s="108" t="s">
        <v>5670</v>
      </c>
      <c r="C447" s="119">
        <v>10383</v>
      </c>
    </row>
    <row r="448" spans="1:3">
      <c r="B448" s="108" t="s">
        <v>5668</v>
      </c>
      <c r="C448" s="101" t="s">
        <v>6173</v>
      </c>
    </row>
    <row r="449" spans="1:3">
      <c r="C449" s="101"/>
    </row>
    <row r="450" spans="1:3">
      <c r="A450" s="108" t="s">
        <v>5864</v>
      </c>
      <c r="B450" s="42" t="s">
        <v>5798</v>
      </c>
    </row>
    <row r="451" spans="1:3">
      <c r="B451" s="108" t="s">
        <v>5669</v>
      </c>
      <c r="C451" s="109" t="s">
        <v>5495</v>
      </c>
    </row>
    <row r="452" spans="1:3">
      <c r="B452" s="108" t="s">
        <v>5670</v>
      </c>
      <c r="C452" s="119">
        <v>10224</v>
      </c>
    </row>
    <row r="453" spans="1:3">
      <c r="B453" s="108" t="s">
        <v>5668</v>
      </c>
      <c r="C453" s="25" t="s">
        <v>5799</v>
      </c>
    </row>
    <row r="455" spans="1:3">
      <c r="A455" s="108" t="s">
        <v>6138</v>
      </c>
      <c r="B455" s="42" t="s">
        <v>6139</v>
      </c>
    </row>
    <row r="456" spans="1:3">
      <c r="B456" s="108" t="s">
        <v>5669</v>
      </c>
      <c r="C456" s="109" t="s">
        <v>6141</v>
      </c>
    </row>
    <row r="457" spans="1:3">
      <c r="B457" s="108" t="s">
        <v>5670</v>
      </c>
      <c r="C457" s="116">
        <v>6961</v>
      </c>
    </row>
    <row r="458" spans="1:3">
      <c r="B458" s="108" t="s">
        <v>5668</v>
      </c>
      <c r="C458" s="101" t="s">
        <v>6140</v>
      </c>
    </row>
    <row r="460" spans="1:3">
      <c r="A460" s="108" t="s">
        <v>6172</v>
      </c>
      <c r="B460" s="42" t="s">
        <v>5865</v>
      </c>
    </row>
    <row r="461" spans="1:3">
      <c r="B461" s="108" t="s">
        <v>5669</v>
      </c>
      <c r="C461" s="109" t="s">
        <v>5866</v>
      </c>
    </row>
    <row r="462" spans="1:3">
      <c r="B462" s="108" t="s">
        <v>5670</v>
      </c>
      <c r="C462" s="122">
        <v>592</v>
      </c>
    </row>
    <row r="463" spans="1:3">
      <c r="B463" s="108" t="s">
        <v>5668</v>
      </c>
      <c r="C463" s="101" t="s">
        <v>5867</v>
      </c>
    </row>
    <row r="465" spans="1:3">
      <c r="A465" s="108" t="s">
        <v>5800</v>
      </c>
      <c r="B465" s="42" t="s">
        <v>5591</v>
      </c>
    </row>
    <row r="466" spans="1:3">
      <c r="B466" s="108" t="s">
        <v>5669</v>
      </c>
      <c r="C466" s="109" t="s">
        <v>5592</v>
      </c>
    </row>
    <row r="467" spans="1:3">
      <c r="B467" s="108" t="s">
        <v>5670</v>
      </c>
      <c r="C467" s="121">
        <v>39916</v>
      </c>
    </row>
    <row r="468" spans="1:3">
      <c r="B468" s="108" t="s">
        <v>5668</v>
      </c>
      <c r="C468" s="25" t="s">
        <v>5801</v>
      </c>
    </row>
    <row r="470" spans="1:3">
      <c r="A470" s="108" t="s">
        <v>5802</v>
      </c>
      <c r="B470" s="42" t="s">
        <v>5803</v>
      </c>
    </row>
    <row r="471" spans="1:3">
      <c r="B471" s="108" t="s">
        <v>5669</v>
      </c>
      <c r="C471" s="109" t="s">
        <v>5804</v>
      </c>
    </row>
    <row r="472" spans="1:3">
      <c r="B472" s="108" t="s">
        <v>5670</v>
      </c>
      <c r="C472" s="121">
        <v>36613</v>
      </c>
    </row>
    <row r="473" spans="1:3">
      <c r="B473" s="108" t="s">
        <v>5668</v>
      </c>
      <c r="C473" s="25" t="s">
        <v>5805</v>
      </c>
    </row>
    <row r="475" spans="1:3">
      <c r="A475" s="108" t="s">
        <v>5806</v>
      </c>
      <c r="B475" s="42" t="s">
        <v>5476</v>
      </c>
    </row>
    <row r="476" spans="1:3">
      <c r="B476" s="108" t="s">
        <v>5669</v>
      </c>
      <c r="C476" s="109" t="s">
        <v>5477</v>
      </c>
    </row>
    <row r="477" spans="1:3">
      <c r="B477" s="108" t="s">
        <v>5670</v>
      </c>
      <c r="C477" s="119">
        <v>13688</v>
      </c>
    </row>
    <row r="478" spans="1:3">
      <c r="B478" s="108" t="s">
        <v>5668</v>
      </c>
      <c r="C478" s="25" t="s">
        <v>5807</v>
      </c>
    </row>
    <row r="480" spans="1:3">
      <c r="A480" s="108" t="s">
        <v>5808</v>
      </c>
      <c r="B480" s="42" t="s">
        <v>5819</v>
      </c>
    </row>
    <row r="481" spans="1:3">
      <c r="B481" s="108" t="s">
        <v>5669</v>
      </c>
      <c r="C481" s="109" t="s">
        <v>5456</v>
      </c>
    </row>
    <row r="482" spans="1:3">
      <c r="B482" s="108" t="s">
        <v>5670</v>
      </c>
      <c r="C482" s="119">
        <v>12509</v>
      </c>
    </row>
    <row r="483" spans="1:3">
      <c r="B483" s="108" t="s">
        <v>5668</v>
      </c>
      <c r="C483" s="25" t="s">
        <v>5831</v>
      </c>
    </row>
    <row r="485" spans="1:3">
      <c r="A485" s="108" t="s">
        <v>5809</v>
      </c>
      <c r="B485" s="42" t="s">
        <v>5832</v>
      </c>
    </row>
    <row r="486" spans="1:3">
      <c r="B486" s="108" t="s">
        <v>5669</v>
      </c>
      <c r="C486" s="109" t="s">
        <v>5834</v>
      </c>
    </row>
    <row r="487" spans="1:3">
      <c r="B487" s="108" t="s">
        <v>5670</v>
      </c>
      <c r="C487" s="119">
        <v>10378</v>
      </c>
    </row>
    <row r="488" spans="1:3">
      <c r="B488" s="108" t="s">
        <v>5668</v>
      </c>
      <c r="C488" s="25" t="s">
        <v>5833</v>
      </c>
    </row>
    <row r="490" spans="1:3">
      <c r="A490" s="175" t="s">
        <v>6854</v>
      </c>
      <c r="B490" s="42" t="s">
        <v>6855</v>
      </c>
    </row>
    <row r="491" spans="1:3">
      <c r="B491" s="175" t="s">
        <v>5669</v>
      </c>
      <c r="C491" s="193" t="s">
        <v>6856</v>
      </c>
    </row>
    <row r="492" spans="1:3">
      <c r="B492" s="175" t="s">
        <v>5670</v>
      </c>
      <c r="C492" s="122">
        <v>1142</v>
      </c>
    </row>
    <row r="493" spans="1:3">
      <c r="B493" s="175" t="s">
        <v>5668</v>
      </c>
      <c r="C493" s="101" t="s">
        <v>6857</v>
      </c>
    </row>
    <row r="495" spans="1:3">
      <c r="A495" s="108" t="s">
        <v>5810</v>
      </c>
      <c r="B495" s="42" t="s">
        <v>5835</v>
      </c>
    </row>
    <row r="496" spans="1:3">
      <c r="B496" s="108" t="s">
        <v>5669</v>
      </c>
      <c r="C496" s="109" t="s">
        <v>5837</v>
      </c>
    </row>
    <row r="497" spans="1:3">
      <c r="B497" s="108" t="s">
        <v>5670</v>
      </c>
      <c r="C497" s="121">
        <v>58870</v>
      </c>
    </row>
    <row r="498" spans="1:3">
      <c r="B498" s="108" t="s">
        <v>5668</v>
      </c>
      <c r="C498" s="25" t="s">
        <v>5836</v>
      </c>
    </row>
    <row r="500" spans="1:3">
      <c r="A500" s="108" t="s">
        <v>5811</v>
      </c>
      <c r="B500" s="42" t="s">
        <v>5839</v>
      </c>
    </row>
    <row r="501" spans="1:3">
      <c r="B501" s="108" t="s">
        <v>5669</v>
      </c>
      <c r="C501" s="109" t="s">
        <v>5838</v>
      </c>
    </row>
    <row r="502" spans="1:3">
      <c r="B502" s="108" t="s">
        <v>5670</v>
      </c>
      <c r="C502" s="121">
        <v>44997</v>
      </c>
    </row>
    <row r="503" spans="1:3">
      <c r="B503" s="108" t="s">
        <v>5668</v>
      </c>
      <c r="C503" s="25" t="s">
        <v>5840</v>
      </c>
    </row>
    <row r="505" spans="1:3">
      <c r="A505" s="108" t="s">
        <v>5812</v>
      </c>
      <c r="B505" s="42" t="s">
        <v>5842</v>
      </c>
    </row>
    <row r="506" spans="1:3">
      <c r="B506" s="108" t="s">
        <v>5669</v>
      </c>
      <c r="C506" s="109" t="s">
        <v>5841</v>
      </c>
    </row>
    <row r="507" spans="1:3">
      <c r="B507" s="108" t="s">
        <v>5670</v>
      </c>
      <c r="C507" s="121">
        <v>37576</v>
      </c>
    </row>
    <row r="508" spans="1:3">
      <c r="B508" s="108" t="s">
        <v>5668</v>
      </c>
      <c r="C508" s="25" t="s">
        <v>5843</v>
      </c>
    </row>
    <row r="510" spans="1:3">
      <c r="A510" s="175" t="s">
        <v>6953</v>
      </c>
      <c r="B510" s="42" t="s">
        <v>6951</v>
      </c>
    </row>
    <row r="511" spans="1:3">
      <c r="B511" s="175" t="s">
        <v>5669</v>
      </c>
      <c r="C511" s="193" t="s">
        <v>6952</v>
      </c>
    </row>
    <row r="512" spans="1:3">
      <c r="B512" s="175" t="s">
        <v>5670</v>
      </c>
      <c r="C512" s="121">
        <v>36262</v>
      </c>
    </row>
    <row r="513" spans="1:3">
      <c r="B513" s="175" t="s">
        <v>5668</v>
      </c>
      <c r="C513" s="101" t="s">
        <v>6954</v>
      </c>
    </row>
    <row r="515" spans="1:3">
      <c r="A515" s="108" t="s">
        <v>5813</v>
      </c>
      <c r="B515" s="42" t="s">
        <v>5844</v>
      </c>
    </row>
    <row r="516" spans="1:3">
      <c r="B516" s="108" t="s">
        <v>5669</v>
      </c>
      <c r="C516" s="109" t="s">
        <v>5845</v>
      </c>
    </row>
    <row r="517" spans="1:3">
      <c r="B517" s="108" t="s">
        <v>5670</v>
      </c>
      <c r="C517" s="121">
        <v>30303</v>
      </c>
    </row>
    <row r="518" spans="1:3">
      <c r="B518" s="108" t="s">
        <v>5668</v>
      </c>
      <c r="C518" s="25" t="s">
        <v>5846</v>
      </c>
    </row>
    <row r="520" spans="1:3">
      <c r="A520" s="108" t="s">
        <v>5814</v>
      </c>
      <c r="B520" s="42" t="s">
        <v>5847</v>
      </c>
    </row>
    <row r="521" spans="1:3">
      <c r="B521" s="108" t="s">
        <v>5669</v>
      </c>
      <c r="C521" s="109" t="s">
        <v>5848</v>
      </c>
    </row>
    <row r="522" spans="1:3">
      <c r="B522" s="108" t="s">
        <v>5670</v>
      </c>
      <c r="C522" s="123">
        <v>25278</v>
      </c>
    </row>
    <row r="523" spans="1:3">
      <c r="B523" s="108" t="s">
        <v>5668</v>
      </c>
      <c r="C523" s="25" t="s">
        <v>5849</v>
      </c>
    </row>
    <row r="525" spans="1:3">
      <c r="A525" s="272" t="s">
        <v>9452</v>
      </c>
      <c r="B525" s="42" t="s">
        <v>8200</v>
      </c>
    </row>
    <row r="526" spans="1:3">
      <c r="B526" s="272" t="s">
        <v>5669</v>
      </c>
      <c r="C526" s="278" t="s">
        <v>9450</v>
      </c>
    </row>
    <row r="527" spans="1:3">
      <c r="B527" s="272" t="s">
        <v>5670</v>
      </c>
      <c r="C527" s="123">
        <v>25360</v>
      </c>
    </row>
    <row r="528" spans="1:3">
      <c r="B528" s="272" t="s">
        <v>5668</v>
      </c>
      <c r="C528" s="109" t="s">
        <v>9451</v>
      </c>
    </row>
    <row r="530" spans="1:3">
      <c r="A530" s="175" t="s">
        <v>5815</v>
      </c>
      <c r="B530" s="42" t="s">
        <v>6920</v>
      </c>
    </row>
    <row r="531" spans="1:3">
      <c r="B531" s="175" t="s">
        <v>5669</v>
      </c>
      <c r="C531" s="193" t="s">
        <v>6921</v>
      </c>
    </row>
    <row r="532" spans="1:3">
      <c r="B532" s="175" t="s">
        <v>5670</v>
      </c>
      <c r="C532" s="119">
        <v>11388</v>
      </c>
    </row>
    <row r="533" spans="1:3" ht="15">
      <c r="B533" s="175" t="s">
        <v>5668</v>
      </c>
      <c r="C533" s="151" t="s">
        <v>6922</v>
      </c>
    </row>
    <row r="535" spans="1:3">
      <c r="A535" s="108" t="s">
        <v>5815</v>
      </c>
      <c r="B535" s="42" t="s">
        <v>5852</v>
      </c>
    </row>
    <row r="536" spans="1:3">
      <c r="B536" s="108" t="s">
        <v>5669</v>
      </c>
      <c r="C536" s="109" t="s">
        <v>5851</v>
      </c>
    </row>
    <row r="537" spans="1:3">
      <c r="B537" s="108" t="s">
        <v>5670</v>
      </c>
      <c r="C537" s="116">
        <v>6423</v>
      </c>
    </row>
    <row r="538" spans="1:3">
      <c r="B538" s="108" t="s">
        <v>5668</v>
      </c>
      <c r="C538" s="25" t="s">
        <v>5853</v>
      </c>
    </row>
    <row r="540" spans="1:3">
      <c r="A540" s="108" t="s">
        <v>5871</v>
      </c>
      <c r="B540" s="42" t="s">
        <v>5872</v>
      </c>
    </row>
    <row r="541" spans="1:3">
      <c r="B541" s="108" t="s">
        <v>5669</v>
      </c>
      <c r="C541" s="109" t="s">
        <v>5874</v>
      </c>
    </row>
    <row r="542" spans="1:3">
      <c r="B542" s="108" t="s">
        <v>5670</v>
      </c>
      <c r="C542" s="116">
        <v>1202</v>
      </c>
    </row>
    <row r="543" spans="1:3">
      <c r="B543" s="108" t="s">
        <v>5668</v>
      </c>
      <c r="C543" s="101" t="s">
        <v>5873</v>
      </c>
    </row>
    <row r="545" spans="1:4">
      <c r="A545" s="108" t="s">
        <v>5816</v>
      </c>
      <c r="B545" s="42" t="s">
        <v>6168</v>
      </c>
    </row>
    <row r="546" spans="1:4">
      <c r="B546" s="108" t="s">
        <v>5669</v>
      </c>
      <c r="C546" s="109" t="s">
        <v>6170</v>
      </c>
    </row>
    <row r="547" spans="1:4">
      <c r="B547" s="108" t="s">
        <v>5670</v>
      </c>
      <c r="C547" s="136">
        <v>176062</v>
      </c>
    </row>
    <row r="548" spans="1:4">
      <c r="B548" s="108" t="s">
        <v>5668</v>
      </c>
      <c r="C548" s="101" t="s">
        <v>6169</v>
      </c>
    </row>
    <row r="550" spans="1:4">
      <c r="A550" s="108" t="s">
        <v>5817</v>
      </c>
      <c r="B550" s="42" t="s">
        <v>5850</v>
      </c>
    </row>
    <row r="551" spans="1:4">
      <c r="B551" s="108" t="s">
        <v>5669</v>
      </c>
      <c r="C551" s="109" t="s">
        <v>5466</v>
      </c>
    </row>
    <row r="552" spans="1:4">
      <c r="B552" s="108" t="s">
        <v>5670</v>
      </c>
      <c r="C552" s="121">
        <v>64876</v>
      </c>
    </row>
    <row r="553" spans="1:4">
      <c r="B553" s="108" t="s">
        <v>5668</v>
      </c>
      <c r="C553" s="25" t="s">
        <v>5660</v>
      </c>
    </row>
    <row r="554" spans="1:4">
      <c r="B554" s="108" t="s">
        <v>4202</v>
      </c>
      <c r="C554" s="109" t="s">
        <v>6042</v>
      </c>
    </row>
    <row r="555" spans="1:4">
      <c r="C555" s="109" t="s">
        <v>4190</v>
      </c>
    </row>
    <row r="556" spans="1:4">
      <c r="C556" s="109" t="s">
        <v>6043</v>
      </c>
    </row>
    <row r="557" spans="1:4">
      <c r="C557" s="109" t="s">
        <v>4189</v>
      </c>
    </row>
    <row r="558" spans="1:4">
      <c r="C558" s="109" t="s">
        <v>4188</v>
      </c>
    </row>
    <row r="559" spans="1:4">
      <c r="D559" s="108" t="s">
        <v>5661</v>
      </c>
    </row>
    <row r="560" spans="1:4">
      <c r="C560" s="109" t="s">
        <v>4187</v>
      </c>
    </row>
    <row r="561" spans="3:4">
      <c r="C561" s="109" t="s">
        <v>4186</v>
      </c>
    </row>
    <row r="562" spans="3:4">
      <c r="C562" s="109" t="s">
        <v>4185</v>
      </c>
    </row>
    <row r="563" spans="3:4">
      <c r="C563" s="109" t="s">
        <v>4184</v>
      </c>
    </row>
    <row r="564" spans="3:4">
      <c r="C564" s="109" t="s">
        <v>4183</v>
      </c>
    </row>
    <row r="565" spans="3:4">
      <c r="C565" s="109" t="s">
        <v>4182</v>
      </c>
    </row>
    <row r="566" spans="3:4">
      <c r="C566" s="109" t="s">
        <v>4181</v>
      </c>
    </row>
    <row r="568" spans="3:4">
      <c r="C568" s="109" t="s">
        <v>4180</v>
      </c>
    </row>
    <row r="569" spans="3:4">
      <c r="C569" s="109" t="s">
        <v>4179</v>
      </c>
    </row>
    <row r="570" spans="3:4">
      <c r="C570" s="198" t="s">
        <v>4178</v>
      </c>
    </row>
    <row r="571" spans="3:4">
      <c r="D571" s="108" t="s">
        <v>4177</v>
      </c>
    </row>
    <row r="572" spans="3:4">
      <c r="C572" s="109" t="s">
        <v>4176</v>
      </c>
    </row>
    <row r="573" spans="3:4">
      <c r="C573" s="109" t="s">
        <v>4175</v>
      </c>
    </row>
    <row r="574" spans="3:4">
      <c r="C574" s="109" t="s">
        <v>4174</v>
      </c>
    </row>
    <row r="575" spans="3:4">
      <c r="C575" s="109" t="s">
        <v>4173</v>
      </c>
    </row>
    <row r="576" spans="3:4">
      <c r="C576" s="109" t="s">
        <v>4172</v>
      </c>
    </row>
    <row r="578" spans="1:3">
      <c r="A578" s="108" t="s">
        <v>5818</v>
      </c>
      <c r="B578" s="42" t="s">
        <v>5885</v>
      </c>
    </row>
    <row r="579" spans="1:3">
      <c r="B579" s="108" t="s">
        <v>5669</v>
      </c>
      <c r="C579" s="109" t="s">
        <v>5886</v>
      </c>
    </row>
    <row r="580" spans="1:3">
      <c r="B580" s="108" t="s">
        <v>5670</v>
      </c>
      <c r="C580" s="124">
        <v>30303</v>
      </c>
    </row>
    <row r="581" spans="1:3">
      <c r="B581" s="108" t="s">
        <v>5887</v>
      </c>
      <c r="C581" s="101" t="s">
        <v>5888</v>
      </c>
    </row>
    <row r="582" spans="1:3">
      <c r="B582" s="108" t="s">
        <v>5889</v>
      </c>
      <c r="C582" s="101" t="s">
        <v>5846</v>
      </c>
    </row>
    <row r="583" spans="1:3">
      <c r="C583" s="101"/>
    </row>
    <row r="584" spans="1:3">
      <c r="A584" s="108" t="s">
        <v>5868</v>
      </c>
      <c r="B584" s="42" t="s">
        <v>5854</v>
      </c>
    </row>
    <row r="585" spans="1:3">
      <c r="B585" s="108" t="s">
        <v>5669</v>
      </c>
      <c r="C585" s="109" t="s">
        <v>5855</v>
      </c>
    </row>
    <row r="586" spans="1:3">
      <c r="B586" s="108" t="s">
        <v>5670</v>
      </c>
      <c r="C586" s="119">
        <v>19618</v>
      </c>
    </row>
    <row r="587" spans="1:3">
      <c r="B587" s="108" t="s">
        <v>5668</v>
      </c>
      <c r="C587" s="25" t="s">
        <v>5856</v>
      </c>
    </row>
    <row r="589" spans="1:3">
      <c r="A589" s="108" t="s">
        <v>5875</v>
      </c>
      <c r="B589" s="42" t="s">
        <v>5857</v>
      </c>
    </row>
    <row r="590" spans="1:3">
      <c r="B590" s="108" t="s">
        <v>5669</v>
      </c>
      <c r="C590" s="109" t="s">
        <v>5858</v>
      </c>
    </row>
    <row r="591" spans="1:3">
      <c r="B591" s="108" t="s">
        <v>5670</v>
      </c>
      <c r="C591" s="119">
        <v>15123</v>
      </c>
    </row>
    <row r="592" spans="1:3">
      <c r="B592" s="108" t="s">
        <v>5668</v>
      </c>
      <c r="C592" s="25" t="s">
        <v>5859</v>
      </c>
    </row>
    <row r="594" spans="1:7">
      <c r="A594" s="175" t="s">
        <v>5881</v>
      </c>
      <c r="B594" s="42" t="s">
        <v>6842</v>
      </c>
    </row>
    <row r="595" spans="1:7">
      <c r="A595" s="175"/>
      <c r="B595" s="175" t="s">
        <v>5669</v>
      </c>
      <c r="C595" s="193" t="s">
        <v>6843</v>
      </c>
      <c r="D595" s="175"/>
      <c r="E595" s="175"/>
      <c r="F595" s="175"/>
      <c r="G595" s="175"/>
    </row>
    <row r="596" spans="1:7">
      <c r="A596" s="175"/>
      <c r="B596" s="175" t="s">
        <v>5670</v>
      </c>
      <c r="C596" s="197">
        <v>3864</v>
      </c>
      <c r="D596" s="175"/>
      <c r="E596" s="175"/>
      <c r="F596" s="175"/>
      <c r="G596" s="175"/>
    </row>
    <row r="597" spans="1:7" ht="14">
      <c r="B597" s="175" t="s">
        <v>5668</v>
      </c>
      <c r="C597" s="144" t="s">
        <v>6844</v>
      </c>
      <c r="D597" s="175"/>
      <c r="E597" s="175"/>
      <c r="F597" s="175"/>
      <c r="G597" s="175"/>
    </row>
    <row r="599" spans="1:7">
      <c r="A599" s="175" t="s">
        <v>5890</v>
      </c>
      <c r="B599" s="42" t="s">
        <v>6916</v>
      </c>
    </row>
    <row r="600" spans="1:7">
      <c r="B600" s="175" t="s">
        <v>5669</v>
      </c>
      <c r="C600" s="193" t="s">
        <v>6917</v>
      </c>
    </row>
    <row r="601" spans="1:7">
      <c r="B601" s="175" t="s">
        <v>5670</v>
      </c>
      <c r="C601" s="197">
        <v>2903</v>
      </c>
    </row>
    <row r="602" spans="1:7">
      <c r="B602" s="175" t="s">
        <v>5668</v>
      </c>
      <c r="C602" s="101" t="s">
        <v>6918</v>
      </c>
    </row>
    <row r="604" spans="1:7">
      <c r="A604" s="175" t="s">
        <v>6171</v>
      </c>
      <c r="B604" s="42" t="s">
        <v>6874</v>
      </c>
    </row>
    <row r="605" spans="1:7">
      <c r="B605" s="175" t="s">
        <v>5669</v>
      </c>
      <c r="C605" s="193" t="s">
        <v>6875</v>
      </c>
    </row>
    <row r="606" spans="1:7">
      <c r="B606" s="175" t="s">
        <v>5670</v>
      </c>
      <c r="C606" s="197">
        <v>1436</v>
      </c>
    </row>
    <row r="607" spans="1:7">
      <c r="B607" s="175" t="s">
        <v>5668</v>
      </c>
      <c r="C607" s="101" t="s">
        <v>6876</v>
      </c>
    </row>
    <row r="609" spans="1:13">
      <c r="A609" s="175" t="s">
        <v>6845</v>
      </c>
      <c r="B609" s="42" t="s">
        <v>7669</v>
      </c>
    </row>
    <row r="610" spans="1:13">
      <c r="B610" s="108" t="s">
        <v>5669</v>
      </c>
      <c r="C610" s="109" t="s">
        <v>5870</v>
      </c>
    </row>
    <row r="611" spans="1:13">
      <c r="B611" s="108" t="s">
        <v>5670</v>
      </c>
      <c r="C611" s="122">
        <v>66</v>
      </c>
    </row>
    <row r="612" spans="1:13">
      <c r="B612" s="108" t="s">
        <v>5668</v>
      </c>
      <c r="C612" s="25" t="s">
        <v>5869</v>
      </c>
    </row>
    <row r="613" spans="1:13">
      <c r="C613" s="25"/>
    </row>
    <row r="614" spans="1:13">
      <c r="A614" s="175" t="s">
        <v>6877</v>
      </c>
      <c r="B614" s="42" t="s">
        <v>5876</v>
      </c>
      <c r="C614" s="25"/>
    </row>
    <row r="615" spans="1:13">
      <c r="B615" s="108" t="s">
        <v>5669</v>
      </c>
      <c r="C615" s="109" t="s">
        <v>5878</v>
      </c>
    </row>
    <row r="616" spans="1:13">
      <c r="B616" s="108" t="s">
        <v>5670</v>
      </c>
      <c r="C616" s="122">
        <v>14</v>
      </c>
    </row>
    <row r="617" spans="1:13">
      <c r="B617" s="108" t="s">
        <v>5668</v>
      </c>
      <c r="C617" s="25" t="s">
        <v>5877</v>
      </c>
    </row>
    <row r="618" spans="1:13">
      <c r="C618" s="25"/>
    </row>
    <row r="619" spans="1:13">
      <c r="A619" s="175" t="s">
        <v>6919</v>
      </c>
      <c r="B619" s="42" t="s">
        <v>6025</v>
      </c>
      <c r="C619" s="25"/>
      <c r="M619" s="229"/>
    </row>
    <row r="620" spans="1:13">
      <c r="B620" s="108" t="s">
        <v>5669</v>
      </c>
      <c r="C620" s="109" t="s">
        <v>5880</v>
      </c>
    </row>
    <row r="621" spans="1:13">
      <c r="B621" s="108" t="s">
        <v>5670</v>
      </c>
      <c r="C621" s="122">
        <v>5</v>
      </c>
    </row>
    <row r="622" spans="1:13">
      <c r="B622" s="108" t="s">
        <v>5668</v>
      </c>
      <c r="C622" s="25" t="s">
        <v>5879</v>
      </c>
    </row>
    <row r="623" spans="1:13">
      <c r="C623" s="25"/>
    </row>
    <row r="624" spans="1:13">
      <c r="B624" s="42" t="s">
        <v>6023</v>
      </c>
    </row>
    <row r="625" spans="1:6">
      <c r="B625" s="108" t="s">
        <v>5669</v>
      </c>
      <c r="C625" s="109" t="s">
        <v>6024</v>
      </c>
    </row>
    <row r="626" spans="1:6">
      <c r="B626" s="108" t="s">
        <v>5670</v>
      </c>
    </row>
    <row r="627" spans="1:6">
      <c r="B627" s="108" t="s">
        <v>5668</v>
      </c>
    </row>
    <row r="628" spans="1:6">
      <c r="F628" s="109"/>
    </row>
    <row r="629" spans="1:6">
      <c r="B629" s="42" t="s">
        <v>6045</v>
      </c>
      <c r="F629" s="109"/>
    </row>
    <row r="630" spans="1:6">
      <c r="B630" s="108" t="s">
        <v>5669</v>
      </c>
      <c r="C630" s="109" t="s">
        <v>6044</v>
      </c>
      <c r="F630" s="109"/>
    </row>
    <row r="631" spans="1:6">
      <c r="B631" s="108" t="s">
        <v>5670</v>
      </c>
      <c r="F631" s="109"/>
    </row>
    <row r="632" spans="1:6">
      <c r="B632" s="108" t="s">
        <v>5668</v>
      </c>
      <c r="F632" s="109"/>
    </row>
    <row r="634" spans="1:6">
      <c r="B634" s="42" t="s">
        <v>8210</v>
      </c>
    </row>
    <row r="635" spans="1:6">
      <c r="B635" s="272" t="s">
        <v>5669</v>
      </c>
    </row>
    <row r="636" spans="1:6">
      <c r="B636" s="272" t="s">
        <v>5670</v>
      </c>
    </row>
    <row r="637" spans="1:6">
      <c r="B637" s="272" t="s">
        <v>5668</v>
      </c>
    </row>
    <row r="639" spans="1:6">
      <c r="A639" s="108" t="s">
        <v>5664</v>
      </c>
      <c r="B639" s="42" t="s">
        <v>5671</v>
      </c>
    </row>
    <row r="640" spans="1:6">
      <c r="B640" s="108" t="s">
        <v>5669</v>
      </c>
      <c r="C640" s="109" t="s">
        <v>5469</v>
      </c>
    </row>
    <row r="641" spans="1:3">
      <c r="B641" s="108" t="s">
        <v>5670</v>
      </c>
      <c r="C641" s="124">
        <v>53562</v>
      </c>
    </row>
    <row r="642" spans="1:3">
      <c r="B642" s="108" t="s">
        <v>5668</v>
      </c>
      <c r="C642" s="101" t="s">
        <v>5645</v>
      </c>
    </row>
    <row r="643" spans="1:3">
      <c r="B643" s="108" t="s">
        <v>5668</v>
      </c>
      <c r="C643" s="101" t="s">
        <v>5926</v>
      </c>
    </row>
    <row r="644" spans="1:3">
      <c r="B644" s="108" t="s">
        <v>4202</v>
      </c>
      <c r="C644" s="193" t="s">
        <v>6923</v>
      </c>
    </row>
    <row r="645" spans="1:3">
      <c r="B645" s="25"/>
    </row>
    <row r="646" spans="1:3">
      <c r="A646" s="108" t="s">
        <v>5665</v>
      </c>
      <c r="B646" s="42" t="s">
        <v>5602</v>
      </c>
    </row>
    <row r="647" spans="1:3">
      <c r="B647" s="108" t="s">
        <v>5669</v>
      </c>
      <c r="C647" s="109" t="s">
        <v>5603</v>
      </c>
    </row>
    <row r="648" spans="1:3">
      <c r="B648" s="108" t="s">
        <v>5670</v>
      </c>
      <c r="C648" s="123">
        <v>26946</v>
      </c>
    </row>
    <row r="649" spans="1:3">
      <c r="B649" s="108" t="s">
        <v>5668</v>
      </c>
      <c r="C649" s="25" t="s">
        <v>5658</v>
      </c>
    </row>
    <row r="651" spans="1:3">
      <c r="A651" s="108" t="s">
        <v>5666</v>
      </c>
      <c r="B651" s="42" t="s">
        <v>5457</v>
      </c>
    </row>
    <row r="652" spans="1:3">
      <c r="B652" s="108" t="s">
        <v>5669</v>
      </c>
      <c r="C652" s="109" t="s">
        <v>5458</v>
      </c>
    </row>
    <row r="653" spans="1:3">
      <c r="B653" s="108" t="s">
        <v>5670</v>
      </c>
      <c r="C653" s="125">
        <v>16402</v>
      </c>
    </row>
    <row r="654" spans="1:3">
      <c r="B654" s="108" t="s">
        <v>5668</v>
      </c>
      <c r="C654" s="108"/>
    </row>
    <row r="656" spans="1:3">
      <c r="A656" s="108" t="s">
        <v>5667</v>
      </c>
      <c r="B656" s="42" t="s">
        <v>6893</v>
      </c>
    </row>
    <row r="657" spans="1:3">
      <c r="B657" s="175" t="s">
        <v>5669</v>
      </c>
      <c r="C657" s="193" t="s">
        <v>6894</v>
      </c>
    </row>
    <row r="658" spans="1:3">
      <c r="B658" s="175" t="s">
        <v>5670</v>
      </c>
      <c r="C658" s="116">
        <v>8476</v>
      </c>
    </row>
    <row r="659" spans="1:3">
      <c r="B659" s="108" t="s">
        <v>5668</v>
      </c>
      <c r="C659" s="25" t="s">
        <v>5659</v>
      </c>
    </row>
    <row r="660" spans="1:3">
      <c r="B660" s="25"/>
    </row>
    <row r="661" spans="1:3">
      <c r="A661" s="108" t="s">
        <v>5863</v>
      </c>
      <c r="B661" s="42" t="s">
        <v>6890</v>
      </c>
    </row>
    <row r="662" spans="1:3">
      <c r="B662" s="175" t="s">
        <v>5669</v>
      </c>
      <c r="C662" s="193" t="s">
        <v>6891</v>
      </c>
    </row>
    <row r="663" spans="1:3">
      <c r="B663" s="175" t="s">
        <v>5670</v>
      </c>
      <c r="C663" s="116">
        <v>7940</v>
      </c>
    </row>
    <row r="664" spans="1:3">
      <c r="B664" s="175" t="s">
        <v>5668</v>
      </c>
      <c r="C664" s="101" t="s">
        <v>6892</v>
      </c>
    </row>
    <row r="666" spans="1:3">
      <c r="A666" s="245" t="s">
        <v>7543</v>
      </c>
      <c r="B666" s="42" t="s">
        <v>7544</v>
      </c>
    </row>
    <row r="667" spans="1:3">
      <c r="B667" s="245" t="s">
        <v>5669</v>
      </c>
      <c r="C667" s="246" t="s">
        <v>7545</v>
      </c>
    </row>
    <row r="668" spans="1:3">
      <c r="B668" s="245" t="s">
        <v>5670</v>
      </c>
      <c r="C668" s="116">
        <v>5849</v>
      </c>
    </row>
    <row r="669" spans="1:3">
      <c r="B669" s="245" t="s">
        <v>5668</v>
      </c>
      <c r="C669" s="101" t="s">
        <v>7546</v>
      </c>
    </row>
    <row r="671" spans="1:3">
      <c r="A671" s="272" t="s">
        <v>9453</v>
      </c>
      <c r="B671" s="42" t="s">
        <v>9272</v>
      </c>
    </row>
    <row r="672" spans="1:3">
      <c r="A672" s="272"/>
      <c r="B672" s="272" t="s">
        <v>5669</v>
      </c>
      <c r="C672" s="278" t="s">
        <v>9455</v>
      </c>
    </row>
    <row r="673" spans="1:3">
      <c r="B673" s="272" t="s">
        <v>5670</v>
      </c>
      <c r="C673" s="116">
        <v>3562</v>
      </c>
    </row>
    <row r="674" spans="1:3">
      <c r="B674" s="272" t="s">
        <v>5668</v>
      </c>
      <c r="C674" s="101" t="s">
        <v>9454</v>
      </c>
    </row>
    <row r="676" spans="1:3">
      <c r="A676" s="175" t="s">
        <v>6895</v>
      </c>
      <c r="B676" s="42" t="s">
        <v>6887</v>
      </c>
    </row>
    <row r="677" spans="1:3">
      <c r="B677" s="175" t="s">
        <v>5669</v>
      </c>
      <c r="C677" s="193" t="s">
        <v>6888</v>
      </c>
    </row>
    <row r="678" spans="1:3">
      <c r="B678" s="175" t="s">
        <v>5670</v>
      </c>
      <c r="C678" s="116">
        <v>3290</v>
      </c>
    </row>
    <row r="679" spans="1:3" ht="15">
      <c r="B679" s="175" t="s">
        <v>5668</v>
      </c>
      <c r="C679" s="151" t="s">
        <v>6889</v>
      </c>
    </row>
    <row r="681" spans="1:3">
      <c r="A681" s="175" t="s">
        <v>6896</v>
      </c>
      <c r="B681" s="42" t="s">
        <v>6946</v>
      </c>
    </row>
    <row r="682" spans="1:3">
      <c r="B682" s="175" t="s">
        <v>5669</v>
      </c>
      <c r="C682" s="193" t="s">
        <v>6949</v>
      </c>
    </row>
    <row r="683" spans="1:3">
      <c r="B683" s="175" t="s">
        <v>5670</v>
      </c>
      <c r="C683" s="116">
        <v>1505</v>
      </c>
    </row>
    <row r="684" spans="1:3">
      <c r="B684" s="175" t="s">
        <v>5668</v>
      </c>
      <c r="C684" s="101" t="s">
        <v>6948</v>
      </c>
    </row>
    <row r="686" spans="1:3">
      <c r="A686" s="175" t="s">
        <v>6899</v>
      </c>
      <c r="B686" s="42" t="s">
        <v>6947</v>
      </c>
    </row>
    <row r="687" spans="1:3">
      <c r="B687" s="175" t="s">
        <v>5669</v>
      </c>
      <c r="C687" s="193" t="s">
        <v>6897</v>
      </c>
    </row>
    <row r="688" spans="1:3">
      <c r="B688" s="175" t="s">
        <v>5670</v>
      </c>
      <c r="C688" s="116">
        <v>639</v>
      </c>
    </row>
    <row r="689" spans="1:6">
      <c r="B689" s="175" t="s">
        <v>5668</v>
      </c>
      <c r="C689" s="101" t="s">
        <v>6898</v>
      </c>
    </row>
    <row r="691" spans="1:6">
      <c r="A691" s="175" t="s">
        <v>6939</v>
      </c>
      <c r="B691" s="42" t="s">
        <v>6941</v>
      </c>
      <c r="C691" s="193"/>
      <c r="D691" s="175"/>
      <c r="E691" s="175"/>
      <c r="F691" s="175"/>
    </row>
    <row r="692" spans="1:6">
      <c r="A692" s="175"/>
      <c r="B692" s="175" t="s">
        <v>5669</v>
      </c>
      <c r="C692" s="193" t="s">
        <v>6942</v>
      </c>
      <c r="D692" s="175"/>
      <c r="E692" s="175"/>
      <c r="F692" s="175"/>
    </row>
    <row r="693" spans="1:6">
      <c r="A693" s="175"/>
      <c r="B693" s="175" t="s">
        <v>5670</v>
      </c>
      <c r="C693" s="196">
        <v>599</v>
      </c>
      <c r="D693" s="175"/>
      <c r="E693" s="175"/>
      <c r="F693" s="175"/>
    </row>
    <row r="694" spans="1:6">
      <c r="A694" s="175"/>
      <c r="B694" s="175" t="s">
        <v>5668</v>
      </c>
      <c r="C694" s="101" t="s">
        <v>6940</v>
      </c>
      <c r="D694" s="175"/>
      <c r="E694" s="175"/>
      <c r="F694" s="175"/>
    </row>
    <row r="696" spans="1:6">
      <c r="A696" s="175" t="s">
        <v>6950</v>
      </c>
      <c r="B696" s="42" t="s">
        <v>6438</v>
      </c>
    </row>
    <row r="697" spans="1:6">
      <c r="B697" s="159" t="s">
        <v>5669</v>
      </c>
      <c r="C697" s="160" t="s">
        <v>6437</v>
      </c>
    </row>
    <row r="698" spans="1:6">
      <c r="B698" s="159" t="s">
        <v>5670</v>
      </c>
      <c r="C698" s="116">
        <v>469</v>
      </c>
    </row>
    <row r="699" spans="1:6" ht="15">
      <c r="B699" s="159" t="s">
        <v>5668</v>
      </c>
      <c r="C699" s="151" t="s">
        <v>6436</v>
      </c>
    </row>
    <row r="701" spans="1:6">
      <c r="A701" s="272" t="s">
        <v>8204</v>
      </c>
      <c r="B701" s="42" t="s">
        <v>8205</v>
      </c>
    </row>
    <row r="702" spans="1:6">
      <c r="B702" s="272" t="s">
        <v>5669</v>
      </c>
      <c r="C702" s="278" t="s">
        <v>8206</v>
      </c>
    </row>
    <row r="703" spans="1:6">
      <c r="B703" s="272" t="s">
        <v>5670</v>
      </c>
    </row>
    <row r="704" spans="1:6">
      <c r="B704" s="272" t="s">
        <v>5668</v>
      </c>
    </row>
    <row r="705" spans="1:3">
      <c r="B705" s="272"/>
    </row>
    <row r="706" spans="1:3">
      <c r="A706" s="272" t="s">
        <v>8224</v>
      </c>
      <c r="B706" s="42" t="s">
        <v>8225</v>
      </c>
    </row>
    <row r="707" spans="1:3">
      <c r="A707" s="272"/>
      <c r="B707" s="272" t="s">
        <v>5669</v>
      </c>
      <c r="C707" s="278" t="s">
        <v>8226</v>
      </c>
    </row>
    <row r="708" spans="1:3">
      <c r="B708" s="272" t="s">
        <v>5670</v>
      </c>
    </row>
    <row r="709" spans="1:3">
      <c r="B709" s="272" t="s">
        <v>5668</v>
      </c>
      <c r="C709" s="109" t="s">
        <v>8227</v>
      </c>
    </row>
    <row r="711" spans="1:3">
      <c r="A711" s="382" t="s">
        <v>9508</v>
      </c>
      <c r="B711" s="42" t="s">
        <v>9509</v>
      </c>
    </row>
    <row r="712" spans="1:3">
      <c r="B712" s="382" t="s">
        <v>5669</v>
      </c>
      <c r="C712" s="384" t="s">
        <v>9510</v>
      </c>
    </row>
    <row r="713" spans="1:3">
      <c r="B713" s="382" t="s">
        <v>5670</v>
      </c>
    </row>
    <row r="714" spans="1:3">
      <c r="B714" s="382" t="s">
        <v>5668</v>
      </c>
    </row>
    <row r="716" spans="1:3">
      <c r="A716" s="108" t="s">
        <v>5663</v>
      </c>
      <c r="B716" s="42" t="s">
        <v>6163</v>
      </c>
    </row>
    <row r="717" spans="1:3">
      <c r="B717" s="108" t="s">
        <v>5669</v>
      </c>
      <c r="C717" s="109" t="s">
        <v>6162</v>
      </c>
    </row>
    <row r="718" spans="1:3">
      <c r="B718" s="108" t="s">
        <v>5670</v>
      </c>
      <c r="C718" s="121">
        <v>83673</v>
      </c>
    </row>
    <row r="719" spans="1:3">
      <c r="B719" s="108" t="s">
        <v>5668</v>
      </c>
      <c r="C719" s="25" t="s">
        <v>5647</v>
      </c>
    </row>
    <row r="721" spans="1:9">
      <c r="A721" s="108" t="s">
        <v>6048</v>
      </c>
      <c r="B721" s="42" t="s">
        <v>6131</v>
      </c>
    </row>
    <row r="722" spans="1:9">
      <c r="B722" s="108" t="s">
        <v>5669</v>
      </c>
      <c r="C722" s="109" t="s">
        <v>6130</v>
      </c>
    </row>
    <row r="723" spans="1:9">
      <c r="B723" s="108" t="s">
        <v>5670</v>
      </c>
      <c r="C723" s="123">
        <v>22849</v>
      </c>
    </row>
    <row r="724" spans="1:9">
      <c r="B724" s="108" t="s">
        <v>5668</v>
      </c>
      <c r="C724" s="25" t="s">
        <v>5646</v>
      </c>
    </row>
    <row r="725" spans="1:9">
      <c r="B725" s="108" t="s">
        <v>5668</v>
      </c>
      <c r="C725" s="101" t="s">
        <v>6133</v>
      </c>
    </row>
    <row r="726" spans="1:9">
      <c r="B726" s="108" t="s">
        <v>6132</v>
      </c>
      <c r="C726" s="109" t="s">
        <v>4203</v>
      </c>
    </row>
    <row r="727" spans="1:9">
      <c r="B727" s="108" t="s">
        <v>4202</v>
      </c>
      <c r="C727" s="193" t="s">
        <v>6924</v>
      </c>
    </row>
    <row r="728" spans="1:9">
      <c r="B728" s="108" t="s">
        <v>6159</v>
      </c>
      <c r="C728" s="137">
        <v>45144</v>
      </c>
    </row>
    <row r="729" spans="1:9">
      <c r="A729" s="175"/>
      <c r="B729" s="175"/>
      <c r="C729" s="193" t="s">
        <v>4201</v>
      </c>
      <c r="D729" s="175"/>
      <c r="E729" s="175"/>
      <c r="F729" s="175"/>
      <c r="G729" s="175"/>
      <c r="H729" s="175"/>
      <c r="I729" s="175"/>
    </row>
    <row r="730" spans="1:9">
      <c r="A730" s="175"/>
      <c r="B730" s="175"/>
      <c r="C730" s="193" t="s">
        <v>4200</v>
      </c>
      <c r="D730" s="175"/>
      <c r="E730" s="175"/>
      <c r="F730" s="175"/>
      <c r="G730" s="175"/>
      <c r="H730" s="175"/>
      <c r="I730" s="175"/>
    </row>
    <row r="731" spans="1:9">
      <c r="A731" s="175"/>
      <c r="B731" s="175"/>
      <c r="C731" s="193" t="s">
        <v>4199</v>
      </c>
      <c r="D731" s="175"/>
      <c r="E731" s="175"/>
      <c r="F731" s="175"/>
      <c r="G731" s="175"/>
      <c r="H731" s="175"/>
      <c r="I731" s="175"/>
    </row>
    <row r="732" spans="1:9">
      <c r="A732" s="175"/>
      <c r="B732" s="175"/>
      <c r="C732" s="193" t="s">
        <v>4198</v>
      </c>
      <c r="D732" s="175"/>
      <c r="E732" s="175"/>
      <c r="F732" s="175"/>
      <c r="G732" s="175"/>
      <c r="H732" s="175"/>
      <c r="I732" s="175"/>
    </row>
    <row r="733" spans="1:9">
      <c r="A733" s="175"/>
      <c r="B733" s="175"/>
      <c r="C733" s="193" t="s">
        <v>4197</v>
      </c>
      <c r="D733" s="175"/>
      <c r="E733" s="175"/>
      <c r="F733" s="175"/>
      <c r="G733" s="175"/>
      <c r="H733" s="175"/>
      <c r="I733" s="175"/>
    </row>
    <row r="734" spans="1:9">
      <c r="A734" s="175"/>
      <c r="B734" s="175"/>
      <c r="C734" s="193" t="s">
        <v>4196</v>
      </c>
      <c r="D734" s="175"/>
      <c r="E734" s="175"/>
      <c r="F734" s="175"/>
      <c r="G734" s="175"/>
      <c r="H734" s="175"/>
      <c r="I734" s="175"/>
    </row>
    <row r="735" spans="1:9">
      <c r="A735" s="175"/>
      <c r="B735" s="175"/>
      <c r="C735" s="193" t="s">
        <v>4195</v>
      </c>
      <c r="D735" s="175"/>
      <c r="E735" s="175"/>
      <c r="F735" s="175"/>
      <c r="G735" s="175"/>
      <c r="H735" s="175"/>
      <c r="I735" s="175"/>
    </row>
    <row r="736" spans="1:9">
      <c r="A736" s="175"/>
      <c r="B736" s="175"/>
      <c r="C736" s="193" t="s">
        <v>4194</v>
      </c>
      <c r="D736" s="175"/>
      <c r="E736" s="175"/>
      <c r="F736" s="175"/>
      <c r="G736" s="175"/>
      <c r="H736" s="175"/>
      <c r="I736" s="175"/>
    </row>
    <row r="737" spans="1:9">
      <c r="A737" s="175"/>
      <c r="B737" s="175"/>
      <c r="C737" s="193" t="s">
        <v>4193</v>
      </c>
      <c r="D737" s="175"/>
      <c r="E737" s="175"/>
      <c r="F737" s="175"/>
      <c r="G737" s="175"/>
      <c r="H737" s="175"/>
      <c r="I737" s="175"/>
    </row>
    <row r="738" spans="1:9">
      <c r="A738" s="175"/>
      <c r="B738" s="175"/>
      <c r="C738" s="193" t="s">
        <v>4192</v>
      </c>
      <c r="D738" s="175"/>
      <c r="E738" s="175"/>
      <c r="F738" s="175"/>
      <c r="G738" s="175"/>
      <c r="H738" s="175"/>
      <c r="I738" s="175"/>
    </row>
    <row r="739" spans="1:9">
      <c r="A739" s="175"/>
      <c r="B739" s="175"/>
      <c r="C739" s="193" t="s">
        <v>4191</v>
      </c>
      <c r="D739" s="175"/>
      <c r="E739" s="175"/>
      <c r="F739" s="175"/>
      <c r="G739" s="175"/>
      <c r="H739" s="175"/>
      <c r="I739" s="175"/>
    </row>
    <row r="740" spans="1:9">
      <c r="A740" s="175"/>
      <c r="B740" s="175"/>
      <c r="C740" s="193"/>
      <c r="D740" s="175"/>
      <c r="E740" s="175"/>
      <c r="F740" s="175"/>
      <c r="G740" s="175"/>
      <c r="H740" s="175"/>
      <c r="I740" s="175"/>
    </row>
    <row r="741" spans="1:9">
      <c r="A741" s="382" t="s">
        <v>9560</v>
      </c>
      <c r="B741" s="42" t="s">
        <v>9557</v>
      </c>
    </row>
    <row r="742" spans="1:9">
      <c r="B742" s="382" t="s">
        <v>5669</v>
      </c>
      <c r="C742" s="384" t="s">
        <v>9559</v>
      </c>
    </row>
    <row r="743" spans="1:9">
      <c r="B743" s="382" t="s">
        <v>5670</v>
      </c>
      <c r="C743" s="123">
        <v>11920</v>
      </c>
    </row>
    <row r="744" spans="1:9" ht="15">
      <c r="B744" s="382" t="s">
        <v>5668</v>
      </c>
      <c r="C744" s="151" t="s">
        <v>9558</v>
      </c>
    </row>
    <row r="746" spans="1:9">
      <c r="A746" s="175" t="s">
        <v>6816</v>
      </c>
      <c r="B746" s="42" t="s">
        <v>6046</v>
      </c>
      <c r="C746" s="193"/>
      <c r="D746" s="193"/>
      <c r="E746" s="175"/>
      <c r="F746" s="175"/>
      <c r="G746" s="175"/>
      <c r="H746" s="175"/>
      <c r="I746" s="175"/>
    </row>
    <row r="747" spans="1:9">
      <c r="A747" s="175"/>
      <c r="B747" s="175" t="s">
        <v>5669</v>
      </c>
      <c r="C747" s="193" t="s">
        <v>6047</v>
      </c>
      <c r="D747" s="193"/>
      <c r="E747" s="175"/>
      <c r="F747" s="175"/>
      <c r="G747" s="175"/>
      <c r="H747" s="175"/>
      <c r="I747" s="175"/>
    </row>
    <row r="748" spans="1:9">
      <c r="A748" s="175"/>
      <c r="B748" s="175" t="s">
        <v>5670</v>
      </c>
      <c r="C748" s="197">
        <v>9412</v>
      </c>
      <c r="D748" s="193"/>
      <c r="E748" s="175"/>
      <c r="F748" s="175"/>
      <c r="G748" s="175"/>
      <c r="H748" s="175"/>
      <c r="I748" s="175"/>
    </row>
    <row r="749" spans="1:9">
      <c r="A749" s="175"/>
      <c r="B749" s="175" t="s">
        <v>5668</v>
      </c>
      <c r="C749" s="101" t="s">
        <v>6813</v>
      </c>
      <c r="D749" s="193"/>
      <c r="E749" s="175"/>
      <c r="F749" s="175"/>
      <c r="G749" s="175"/>
      <c r="H749" s="175"/>
      <c r="I749" s="175"/>
    </row>
    <row r="750" spans="1:9">
      <c r="A750" s="175"/>
      <c r="B750" s="175"/>
      <c r="C750" s="193"/>
      <c r="D750" s="193"/>
      <c r="E750" s="175"/>
      <c r="F750" s="175"/>
      <c r="G750" s="175"/>
      <c r="H750" s="175"/>
      <c r="I750" s="175"/>
    </row>
    <row r="751" spans="1:9">
      <c r="A751" s="272" t="s">
        <v>9460</v>
      </c>
      <c r="B751" s="42" t="s">
        <v>9461</v>
      </c>
      <c r="C751" s="193"/>
      <c r="D751" s="193"/>
      <c r="E751" s="175"/>
      <c r="F751" s="175"/>
      <c r="G751" s="175"/>
      <c r="H751" s="175"/>
      <c r="I751" s="175"/>
    </row>
    <row r="752" spans="1:9">
      <c r="A752" s="175"/>
      <c r="B752" s="272" t="s">
        <v>5669</v>
      </c>
      <c r="C752" s="278" t="s">
        <v>9463</v>
      </c>
      <c r="D752" s="193"/>
      <c r="E752" s="175"/>
      <c r="F752" s="175"/>
      <c r="G752" s="175"/>
      <c r="H752" s="175"/>
      <c r="I752" s="175"/>
    </row>
    <row r="753" spans="1:9">
      <c r="A753" s="175"/>
      <c r="B753" s="272" t="s">
        <v>5670</v>
      </c>
      <c r="C753" s="197">
        <v>6414</v>
      </c>
      <c r="D753" s="193"/>
      <c r="E753" s="175"/>
      <c r="F753" s="175"/>
      <c r="G753" s="175"/>
      <c r="H753" s="175"/>
      <c r="I753" s="175"/>
    </row>
    <row r="754" spans="1:9">
      <c r="A754" s="175"/>
      <c r="B754" s="272" t="s">
        <v>5668</v>
      </c>
      <c r="C754" s="101" t="s">
        <v>9462</v>
      </c>
      <c r="D754" s="193"/>
      <c r="E754" s="175"/>
      <c r="F754" s="175"/>
      <c r="G754" s="175"/>
      <c r="H754" s="175"/>
      <c r="I754" s="175"/>
    </row>
    <row r="755" spans="1:9">
      <c r="A755" s="175"/>
      <c r="B755" s="175"/>
      <c r="C755" s="193"/>
      <c r="D755" s="193"/>
      <c r="E755" s="175"/>
      <c r="F755" s="175"/>
      <c r="G755" s="175"/>
      <c r="H755" s="175"/>
      <c r="I755" s="175"/>
    </row>
    <row r="756" spans="1:9">
      <c r="A756" s="272" t="s">
        <v>9467</v>
      </c>
      <c r="B756" s="42" t="s">
        <v>9464</v>
      </c>
    </row>
    <row r="757" spans="1:9">
      <c r="B757" s="272" t="s">
        <v>5669</v>
      </c>
      <c r="C757" s="278" t="s">
        <v>9466</v>
      </c>
    </row>
    <row r="758" spans="1:9">
      <c r="B758" s="272" t="s">
        <v>5670</v>
      </c>
      <c r="C758" s="197">
        <v>2946</v>
      </c>
    </row>
    <row r="759" spans="1:9">
      <c r="B759" s="272" t="s">
        <v>5668</v>
      </c>
      <c r="C759" s="101" t="s">
        <v>9465</v>
      </c>
    </row>
    <row r="761" spans="1:9">
      <c r="A761" s="175" t="s">
        <v>6817</v>
      </c>
      <c r="B761" s="42" t="s">
        <v>6870</v>
      </c>
      <c r="C761" s="193"/>
      <c r="D761" s="193"/>
      <c r="E761" s="175"/>
      <c r="F761" s="175"/>
      <c r="G761" s="175"/>
      <c r="H761" s="175"/>
      <c r="I761" s="175"/>
    </row>
    <row r="762" spans="1:9">
      <c r="A762" s="175"/>
      <c r="B762" s="175" t="s">
        <v>5669</v>
      </c>
      <c r="C762" s="193" t="s">
        <v>6871</v>
      </c>
      <c r="D762" s="193"/>
      <c r="E762" s="175"/>
      <c r="F762" s="175"/>
      <c r="G762" s="175"/>
      <c r="H762" s="175"/>
      <c r="I762" s="175"/>
    </row>
    <row r="763" spans="1:9">
      <c r="A763" s="175"/>
      <c r="B763" s="175" t="s">
        <v>5670</v>
      </c>
      <c r="C763" s="197">
        <v>2251</v>
      </c>
      <c r="D763" s="193"/>
      <c r="E763" s="175"/>
      <c r="F763" s="175"/>
      <c r="G763" s="175"/>
      <c r="H763" s="175"/>
      <c r="I763" s="175"/>
    </row>
    <row r="764" spans="1:9">
      <c r="A764" s="175"/>
      <c r="B764" s="175" t="s">
        <v>5668</v>
      </c>
      <c r="C764" s="101" t="s">
        <v>6872</v>
      </c>
      <c r="D764" s="193"/>
      <c r="E764" s="175"/>
      <c r="F764" s="175"/>
      <c r="G764" s="175"/>
      <c r="H764" s="175"/>
      <c r="I764" s="175"/>
    </row>
    <row r="765" spans="1:9">
      <c r="A765" s="175"/>
      <c r="B765" s="175"/>
      <c r="C765" s="193"/>
      <c r="D765" s="193"/>
      <c r="E765" s="175"/>
      <c r="F765" s="175"/>
      <c r="G765" s="175"/>
      <c r="H765" s="175"/>
      <c r="I765" s="175"/>
    </row>
    <row r="766" spans="1:9">
      <c r="A766" s="175" t="s">
        <v>6818</v>
      </c>
      <c r="B766" s="42" t="s">
        <v>6850</v>
      </c>
    </row>
    <row r="767" spans="1:9">
      <c r="B767" s="175" t="s">
        <v>5669</v>
      </c>
      <c r="C767" s="193" t="s">
        <v>6851</v>
      </c>
    </row>
    <row r="768" spans="1:9">
      <c r="B768" s="175" t="s">
        <v>5670</v>
      </c>
      <c r="C768" s="197">
        <v>1503</v>
      </c>
    </row>
    <row r="769" spans="1:9">
      <c r="B769" s="175" t="s">
        <v>5668</v>
      </c>
      <c r="C769" s="101" t="s">
        <v>6852</v>
      </c>
    </row>
    <row r="771" spans="1:9">
      <c r="A771" s="175" t="s">
        <v>6819</v>
      </c>
      <c r="B771" s="42" t="s">
        <v>6912</v>
      </c>
    </row>
    <row r="772" spans="1:9">
      <c r="B772" s="175" t="s">
        <v>5669</v>
      </c>
      <c r="C772" s="193" t="s">
        <v>6913</v>
      </c>
    </row>
    <row r="773" spans="1:9">
      <c r="B773" s="175" t="s">
        <v>5670</v>
      </c>
      <c r="C773" s="197">
        <v>1369</v>
      </c>
    </row>
    <row r="774" spans="1:9">
      <c r="B774" s="175" t="s">
        <v>5668</v>
      </c>
      <c r="C774" s="101" t="s">
        <v>6914</v>
      </c>
    </row>
    <row r="776" spans="1:9">
      <c r="A776" s="175" t="s">
        <v>6853</v>
      </c>
      <c r="B776" s="42" t="s">
        <v>5579</v>
      </c>
      <c r="C776" s="193"/>
      <c r="D776" s="175"/>
      <c r="E776" s="175"/>
      <c r="F776" s="175"/>
      <c r="G776" s="175"/>
      <c r="H776" s="175"/>
      <c r="I776" s="175"/>
    </row>
    <row r="777" spans="1:9">
      <c r="A777" s="175"/>
      <c r="B777" s="175" t="s">
        <v>5669</v>
      </c>
      <c r="C777" s="193" t="s">
        <v>5580</v>
      </c>
      <c r="D777" s="175"/>
      <c r="E777" s="175"/>
      <c r="F777" s="175"/>
      <c r="G777" s="175"/>
      <c r="H777" s="175"/>
      <c r="I777" s="175"/>
    </row>
    <row r="778" spans="1:9">
      <c r="A778" s="175"/>
      <c r="B778" s="175" t="s">
        <v>5670</v>
      </c>
      <c r="C778" s="197">
        <v>1345</v>
      </c>
      <c r="D778" s="175"/>
      <c r="E778" s="175"/>
      <c r="F778" s="175"/>
      <c r="G778" s="175"/>
      <c r="H778" s="175"/>
      <c r="I778" s="175"/>
    </row>
    <row r="779" spans="1:9">
      <c r="A779" s="175"/>
      <c r="B779" s="175" t="s">
        <v>5668</v>
      </c>
      <c r="C779" s="25" t="s">
        <v>5657</v>
      </c>
      <c r="D779" s="193"/>
      <c r="E779" s="175"/>
      <c r="F779" s="175"/>
      <c r="G779" s="175"/>
      <c r="H779" s="175"/>
      <c r="I779" s="175"/>
    </row>
    <row r="780" spans="1:9">
      <c r="A780" s="175"/>
      <c r="B780" s="175" t="s">
        <v>4202</v>
      </c>
      <c r="C780" s="193"/>
      <c r="D780" s="193"/>
      <c r="E780" s="175"/>
      <c r="F780" s="175"/>
      <c r="G780" s="175"/>
      <c r="H780" s="175"/>
      <c r="I780" s="175"/>
    </row>
    <row r="781" spans="1:9">
      <c r="A781" s="175"/>
      <c r="B781" s="175"/>
      <c r="C781" s="193"/>
      <c r="D781" s="193"/>
      <c r="E781" s="175"/>
      <c r="F781" s="175"/>
      <c r="G781" s="175"/>
      <c r="H781" s="175"/>
      <c r="I781" s="175"/>
    </row>
    <row r="782" spans="1:9">
      <c r="A782" s="175" t="s">
        <v>6861</v>
      </c>
      <c r="B782" s="42" t="s">
        <v>6934</v>
      </c>
      <c r="C782" s="193"/>
      <c r="D782" s="193"/>
      <c r="E782" s="175"/>
      <c r="F782" s="175"/>
      <c r="G782" s="175"/>
      <c r="H782" s="175"/>
      <c r="I782" s="175"/>
    </row>
    <row r="783" spans="1:9">
      <c r="A783" s="175"/>
      <c r="B783" s="175" t="s">
        <v>5669</v>
      </c>
      <c r="C783" s="193" t="s">
        <v>6936</v>
      </c>
      <c r="D783" s="193"/>
      <c r="E783" s="175"/>
      <c r="F783" s="175"/>
      <c r="G783" s="175"/>
      <c r="H783" s="175"/>
      <c r="I783" s="175"/>
    </row>
    <row r="784" spans="1:9">
      <c r="A784" s="175"/>
      <c r="B784" s="175" t="s">
        <v>5670</v>
      </c>
      <c r="C784" s="197">
        <v>1115</v>
      </c>
      <c r="D784" s="193"/>
      <c r="E784" s="175"/>
      <c r="F784" s="175"/>
      <c r="G784" s="175"/>
      <c r="H784" s="175"/>
      <c r="I784" s="175"/>
    </row>
    <row r="785" spans="1:9">
      <c r="A785" s="175"/>
      <c r="B785" s="175" t="s">
        <v>5668</v>
      </c>
      <c r="C785" s="101" t="s">
        <v>6935</v>
      </c>
      <c r="D785" s="193"/>
      <c r="E785" s="175"/>
      <c r="F785" s="175"/>
      <c r="G785" s="175"/>
      <c r="H785" s="175"/>
      <c r="I785" s="175"/>
    </row>
    <row r="786" spans="1:9">
      <c r="A786" s="175"/>
      <c r="B786" s="175"/>
      <c r="C786" s="193"/>
      <c r="D786" s="193"/>
      <c r="E786" s="175"/>
      <c r="F786" s="175"/>
      <c r="G786" s="175"/>
      <c r="H786" s="175"/>
      <c r="I786" s="175"/>
    </row>
    <row r="787" spans="1:9">
      <c r="A787" s="175" t="s">
        <v>6958</v>
      </c>
      <c r="B787" s="42" t="s">
        <v>6955</v>
      </c>
      <c r="C787" s="193"/>
      <c r="D787" s="193"/>
      <c r="E787" s="175"/>
      <c r="F787" s="175"/>
      <c r="G787" s="175"/>
      <c r="H787" s="175"/>
      <c r="I787" s="175"/>
    </row>
    <row r="788" spans="1:9">
      <c r="A788" s="175"/>
      <c r="B788" s="175" t="s">
        <v>5669</v>
      </c>
      <c r="C788" s="193" t="s">
        <v>6957</v>
      </c>
      <c r="D788" s="193"/>
      <c r="E788" s="175"/>
      <c r="F788" s="175"/>
      <c r="G788" s="175"/>
      <c r="H788" s="175"/>
      <c r="I788" s="175"/>
    </row>
    <row r="789" spans="1:9">
      <c r="A789" s="175"/>
      <c r="B789" s="175" t="s">
        <v>5670</v>
      </c>
      <c r="C789" s="197">
        <v>750</v>
      </c>
      <c r="D789" s="193"/>
      <c r="E789" s="175"/>
      <c r="F789" s="175"/>
      <c r="G789" s="175"/>
      <c r="H789" s="175"/>
      <c r="I789" s="175"/>
    </row>
    <row r="790" spans="1:9">
      <c r="A790" s="175"/>
      <c r="B790" s="175" t="s">
        <v>5668</v>
      </c>
      <c r="C790" s="101" t="s">
        <v>6956</v>
      </c>
      <c r="D790" s="193"/>
      <c r="E790" s="175"/>
      <c r="F790" s="175"/>
      <c r="G790" s="175"/>
      <c r="H790" s="175"/>
      <c r="I790" s="175"/>
    </row>
    <row r="791" spans="1:9">
      <c r="A791" s="175"/>
      <c r="B791" s="175"/>
      <c r="C791" s="193"/>
      <c r="D791" s="193"/>
      <c r="E791" s="175"/>
      <c r="F791" s="175"/>
      <c r="G791" s="175"/>
      <c r="H791" s="175"/>
      <c r="I791" s="175"/>
    </row>
    <row r="792" spans="1:9">
      <c r="A792" s="175" t="s">
        <v>6873</v>
      </c>
      <c r="B792" s="42" t="s">
        <v>5401</v>
      </c>
      <c r="C792" s="193"/>
      <c r="D792" s="175"/>
      <c r="E792" s="175"/>
      <c r="F792" s="175"/>
      <c r="G792" s="175"/>
      <c r="H792" s="175"/>
      <c r="I792" s="175"/>
    </row>
    <row r="793" spans="1:9">
      <c r="A793" s="175"/>
      <c r="B793" s="175" t="s">
        <v>5669</v>
      </c>
      <c r="C793" s="193" t="s">
        <v>6028</v>
      </c>
      <c r="D793" s="175"/>
      <c r="E793" s="175"/>
      <c r="F793" s="175"/>
      <c r="G793" s="175"/>
      <c r="H793" s="175"/>
      <c r="I793" s="175"/>
    </row>
    <row r="794" spans="1:9">
      <c r="A794" s="175"/>
      <c r="B794" s="175" t="s">
        <v>5670</v>
      </c>
      <c r="C794" s="197">
        <v>710</v>
      </c>
      <c r="D794" s="175"/>
      <c r="E794" s="175"/>
      <c r="F794" s="175"/>
      <c r="G794" s="175"/>
      <c r="H794" s="175"/>
      <c r="I794" s="175"/>
    </row>
    <row r="795" spans="1:9">
      <c r="A795" s="175"/>
      <c r="B795" s="175" t="s">
        <v>5668</v>
      </c>
      <c r="C795" s="101" t="s">
        <v>6815</v>
      </c>
      <c r="D795" s="175"/>
      <c r="E795" s="175"/>
      <c r="F795" s="175"/>
      <c r="G795" s="175"/>
      <c r="H795" s="175"/>
      <c r="I795" s="175"/>
    </row>
    <row r="796" spans="1:9">
      <c r="A796" s="175"/>
      <c r="B796" s="175"/>
      <c r="C796" s="193"/>
      <c r="D796" s="175"/>
      <c r="E796" s="175"/>
      <c r="F796" s="175"/>
      <c r="G796" s="175"/>
      <c r="H796" s="175"/>
      <c r="I796" s="175"/>
    </row>
    <row r="797" spans="1:9">
      <c r="A797" s="175" t="s">
        <v>6907</v>
      </c>
      <c r="B797" s="42" t="s">
        <v>6859</v>
      </c>
      <c r="C797" s="193"/>
      <c r="D797" s="175"/>
      <c r="E797" s="175"/>
      <c r="F797" s="175"/>
      <c r="G797" s="175"/>
      <c r="H797" s="175"/>
      <c r="I797" s="175"/>
    </row>
    <row r="798" spans="1:9">
      <c r="A798" s="175"/>
      <c r="B798" s="175" t="s">
        <v>5669</v>
      </c>
      <c r="C798" s="193" t="s">
        <v>6860</v>
      </c>
      <c r="D798" s="175"/>
      <c r="E798" s="175"/>
      <c r="F798" s="175"/>
      <c r="G798" s="175"/>
      <c r="H798" s="175"/>
      <c r="I798" s="175"/>
    </row>
    <row r="799" spans="1:9">
      <c r="A799" s="175"/>
      <c r="B799" s="175" t="s">
        <v>5670</v>
      </c>
      <c r="C799" s="197">
        <v>427</v>
      </c>
      <c r="D799" s="175"/>
      <c r="E799" s="175"/>
      <c r="F799" s="175"/>
      <c r="G799" s="175"/>
      <c r="H799" s="175"/>
      <c r="I799" s="175"/>
    </row>
    <row r="800" spans="1:9">
      <c r="A800" s="175"/>
      <c r="B800" s="175" t="s">
        <v>5668</v>
      </c>
      <c r="C800" s="25" t="s">
        <v>6858</v>
      </c>
      <c r="D800" s="175"/>
      <c r="E800" s="175"/>
      <c r="F800" s="175"/>
      <c r="G800" s="175"/>
      <c r="H800" s="175"/>
      <c r="I800" s="175"/>
    </row>
    <row r="801" spans="1:9">
      <c r="A801" s="175"/>
      <c r="B801" s="175"/>
      <c r="C801" s="193"/>
      <c r="D801" s="175"/>
      <c r="E801" s="175"/>
      <c r="F801" s="175"/>
      <c r="G801" s="175"/>
      <c r="H801" s="175"/>
      <c r="I801" s="175"/>
    </row>
    <row r="802" spans="1:9">
      <c r="A802" s="175" t="s">
        <v>6911</v>
      </c>
      <c r="B802" s="42" t="s">
        <v>6904</v>
      </c>
      <c r="C802" s="193"/>
      <c r="D802" s="175"/>
      <c r="E802" s="175"/>
      <c r="F802" s="175"/>
      <c r="G802" s="175"/>
      <c r="H802" s="175"/>
      <c r="I802" s="175"/>
    </row>
    <row r="803" spans="1:9">
      <c r="A803" s="175"/>
      <c r="B803" s="175" t="s">
        <v>5669</v>
      </c>
      <c r="C803" s="193" t="s">
        <v>6906</v>
      </c>
      <c r="D803" s="175"/>
      <c r="E803" s="175"/>
      <c r="F803" s="175"/>
      <c r="G803" s="175"/>
      <c r="H803" s="175"/>
      <c r="I803" s="175"/>
    </row>
    <row r="804" spans="1:9">
      <c r="A804" s="175"/>
      <c r="B804" s="175" t="s">
        <v>5670</v>
      </c>
      <c r="C804" s="197">
        <v>214</v>
      </c>
      <c r="D804" s="175"/>
      <c r="E804" s="175"/>
      <c r="F804" s="175"/>
      <c r="G804" s="175"/>
      <c r="H804" s="175"/>
      <c r="I804" s="175"/>
    </row>
    <row r="805" spans="1:9" ht="15">
      <c r="A805" s="175"/>
      <c r="B805" s="175" t="s">
        <v>5668</v>
      </c>
      <c r="C805" s="151" t="s">
        <v>6905</v>
      </c>
      <c r="D805" s="175"/>
      <c r="E805" s="175"/>
      <c r="F805" s="175"/>
      <c r="G805" s="175"/>
      <c r="H805" s="175"/>
      <c r="I805" s="175"/>
    </row>
    <row r="806" spans="1:9">
      <c r="A806" s="175"/>
      <c r="B806" s="175"/>
      <c r="C806" s="193"/>
      <c r="D806" s="175"/>
      <c r="E806" s="175"/>
      <c r="F806" s="175"/>
      <c r="G806" s="175"/>
      <c r="H806" s="175"/>
      <c r="I806" s="175"/>
    </row>
    <row r="807" spans="1:9">
      <c r="A807" s="175" t="s">
        <v>6915</v>
      </c>
      <c r="B807" s="42" t="s">
        <v>6909</v>
      </c>
      <c r="C807" s="193"/>
      <c r="D807" s="175"/>
      <c r="E807" s="175"/>
      <c r="F807" s="175"/>
      <c r="G807" s="175"/>
      <c r="H807" s="175"/>
      <c r="I807" s="175"/>
    </row>
    <row r="808" spans="1:9">
      <c r="A808" s="175"/>
      <c r="B808" s="175" t="s">
        <v>5669</v>
      </c>
      <c r="C808" s="193" t="s">
        <v>6910</v>
      </c>
      <c r="D808" s="175"/>
      <c r="E808" s="175"/>
      <c r="F808" s="175"/>
      <c r="G808" s="175"/>
      <c r="H808" s="175"/>
      <c r="I808" s="175"/>
    </row>
    <row r="809" spans="1:9">
      <c r="A809" s="175"/>
      <c r="B809" s="175" t="s">
        <v>5670</v>
      </c>
      <c r="C809" s="197">
        <v>102</v>
      </c>
      <c r="D809" s="175"/>
      <c r="E809" s="175"/>
      <c r="F809" s="175"/>
      <c r="G809" s="175"/>
      <c r="H809" s="175"/>
      <c r="I809" s="175"/>
    </row>
    <row r="810" spans="1:9">
      <c r="A810" s="175"/>
      <c r="B810" s="175" t="s">
        <v>5668</v>
      </c>
      <c r="C810" s="101" t="s">
        <v>6908</v>
      </c>
      <c r="D810" s="175"/>
      <c r="E810" s="175"/>
      <c r="F810" s="175"/>
      <c r="G810" s="175"/>
      <c r="H810" s="175"/>
      <c r="I810" s="175"/>
    </row>
    <row r="811" spans="1:9">
      <c r="A811" s="175"/>
      <c r="B811" s="175"/>
      <c r="C811" s="193"/>
      <c r="D811" s="175"/>
      <c r="E811" s="175"/>
      <c r="F811" s="175"/>
      <c r="G811" s="175"/>
      <c r="H811" s="175"/>
      <c r="I811" s="175"/>
    </row>
    <row r="812" spans="1:9">
      <c r="A812" s="175" t="s">
        <v>6937</v>
      </c>
      <c r="B812" s="42" t="s">
        <v>6032</v>
      </c>
      <c r="C812" s="193"/>
      <c r="D812" s="175"/>
      <c r="E812" s="175"/>
      <c r="F812" s="175"/>
      <c r="G812" s="175"/>
      <c r="H812" s="175"/>
      <c r="I812" s="175"/>
    </row>
    <row r="813" spans="1:9">
      <c r="A813" s="175"/>
      <c r="B813" s="175" t="s">
        <v>5669</v>
      </c>
      <c r="C813" s="193" t="s">
        <v>6031</v>
      </c>
      <c r="D813" s="175"/>
      <c r="E813" s="175"/>
      <c r="F813" s="175"/>
      <c r="G813" s="175"/>
      <c r="H813" s="175"/>
      <c r="I813" s="175"/>
    </row>
    <row r="814" spans="1:9">
      <c r="A814" s="175"/>
      <c r="B814" s="175" t="s">
        <v>5670</v>
      </c>
      <c r="C814" s="197">
        <v>49</v>
      </c>
      <c r="D814" s="175"/>
      <c r="E814" s="175"/>
      <c r="F814" s="175"/>
      <c r="G814" s="175"/>
      <c r="H814" s="175"/>
      <c r="I814" s="175"/>
    </row>
    <row r="815" spans="1:9">
      <c r="A815" s="175"/>
      <c r="B815" s="175" t="s">
        <v>5668</v>
      </c>
      <c r="C815" s="101" t="s">
        <v>6814</v>
      </c>
      <c r="D815" s="175"/>
      <c r="E815" s="175"/>
      <c r="F815" s="175"/>
      <c r="G815" s="175"/>
      <c r="H815" s="175"/>
      <c r="I815" s="175"/>
    </row>
    <row r="817" spans="1:3">
      <c r="A817" s="245" t="s">
        <v>7673</v>
      </c>
      <c r="B817" s="42" t="s">
        <v>7670</v>
      </c>
    </row>
    <row r="818" spans="1:3">
      <c r="B818" s="245" t="s">
        <v>5669</v>
      </c>
      <c r="C818" s="246" t="s">
        <v>7671</v>
      </c>
    </row>
    <row r="819" spans="1:3">
      <c r="B819" s="245" t="s">
        <v>5670</v>
      </c>
      <c r="C819" s="197">
        <v>34</v>
      </c>
    </row>
    <row r="820" spans="1:3">
      <c r="B820" s="245" t="s">
        <v>5668</v>
      </c>
      <c r="C820" s="101" t="s">
        <v>7672</v>
      </c>
    </row>
    <row r="822" spans="1:3">
      <c r="A822" s="272" t="s">
        <v>8201</v>
      </c>
      <c r="B822" s="42" t="s">
        <v>8202</v>
      </c>
    </row>
    <row r="823" spans="1:3">
      <c r="B823" s="272" t="s">
        <v>5669</v>
      </c>
      <c r="C823" s="278" t="s">
        <v>8203</v>
      </c>
    </row>
    <row r="824" spans="1:3">
      <c r="B824" s="272" t="s">
        <v>5670</v>
      </c>
    </row>
    <row r="825" spans="1:3">
      <c r="B825" s="272" t="s">
        <v>5668</v>
      </c>
    </row>
    <row r="827" spans="1:3">
      <c r="A827" s="382" t="s">
        <v>9552</v>
      </c>
      <c r="B827" s="42" t="s">
        <v>9553</v>
      </c>
    </row>
    <row r="828" spans="1:3">
      <c r="B828" s="382" t="s">
        <v>5669</v>
      </c>
      <c r="C828" s="384" t="s">
        <v>9554</v>
      </c>
    </row>
    <row r="829" spans="1:3">
      <c r="B829" s="382" t="s">
        <v>5670</v>
      </c>
      <c r="C829" s="384" t="s">
        <v>9556</v>
      </c>
    </row>
    <row r="830" spans="1:3">
      <c r="B830" s="382" t="s">
        <v>5668</v>
      </c>
      <c r="C830" s="101" t="s">
        <v>9555</v>
      </c>
    </row>
    <row r="832" spans="1:3">
      <c r="A832" s="175" t="s">
        <v>6808</v>
      </c>
      <c r="B832" s="42" t="s">
        <v>6026</v>
      </c>
    </row>
    <row r="833" spans="2:3">
      <c r="B833" s="108" t="s">
        <v>5669</v>
      </c>
      <c r="C833" s="109" t="s">
        <v>6027</v>
      </c>
    </row>
    <row r="834" spans="2:3">
      <c r="B834" s="108" t="s">
        <v>5670</v>
      </c>
      <c r="C834" s="121">
        <v>74060</v>
      </c>
    </row>
    <row r="835" spans="2:3">
      <c r="B835" s="108" t="s">
        <v>5668</v>
      </c>
      <c r="C835" s="25" t="s">
        <v>5648</v>
      </c>
    </row>
    <row r="836" spans="2:3">
      <c r="B836" s="108" t="s">
        <v>4202</v>
      </c>
      <c r="C836" s="175" t="s">
        <v>6964</v>
      </c>
    </row>
    <row r="837" spans="2:3">
      <c r="C837" s="108" t="s">
        <v>5381</v>
      </c>
    </row>
    <row r="838" spans="2:3">
      <c r="C838" s="175" t="s">
        <v>5383</v>
      </c>
    </row>
    <row r="840" spans="2:3">
      <c r="C840" s="108" t="s">
        <v>5384</v>
      </c>
    </row>
    <row r="841" spans="2:3">
      <c r="C841" s="108" t="s">
        <v>5385</v>
      </c>
    </row>
    <row r="842" spans="2:3">
      <c r="C842" s="108" t="s">
        <v>5386</v>
      </c>
    </row>
    <row r="843" spans="2:3">
      <c r="C843" s="108" t="s">
        <v>5387</v>
      </c>
    </row>
    <row r="844" spans="2:3">
      <c r="C844" s="108" t="s">
        <v>5388</v>
      </c>
    </row>
    <row r="845" spans="2:3">
      <c r="C845" s="108" t="s">
        <v>5389</v>
      </c>
    </row>
    <row r="846" spans="2:3">
      <c r="C846" s="108" t="s">
        <v>5390</v>
      </c>
    </row>
    <row r="847" spans="2:3">
      <c r="C847" s="108" t="s">
        <v>5391</v>
      </c>
    </row>
    <row r="848" spans="2:3">
      <c r="C848" s="108" t="s">
        <v>5392</v>
      </c>
    </row>
    <row r="849" spans="1:3">
      <c r="C849" s="108" t="s">
        <v>5393</v>
      </c>
    </row>
    <row r="850" spans="1:3">
      <c r="C850" s="108" t="s">
        <v>5394</v>
      </c>
    </row>
    <row r="851" spans="1:3">
      <c r="C851" s="108" t="s">
        <v>5395</v>
      </c>
    </row>
    <row r="852" spans="1:3">
      <c r="C852" s="108" t="s">
        <v>5396</v>
      </c>
    </row>
    <row r="853" spans="1:3">
      <c r="C853" s="108" t="s">
        <v>5397</v>
      </c>
    </row>
    <row r="854" spans="1:3">
      <c r="C854" s="108" t="s">
        <v>5398</v>
      </c>
    </row>
    <row r="855" spans="1:3">
      <c r="C855" s="108" t="s">
        <v>5399</v>
      </c>
    </row>
    <row r="856" spans="1:3">
      <c r="C856" s="108" t="s">
        <v>5400</v>
      </c>
    </row>
    <row r="858" spans="1:3">
      <c r="A858" s="175" t="s">
        <v>6809</v>
      </c>
      <c r="B858" s="42" t="s">
        <v>5482</v>
      </c>
    </row>
    <row r="859" spans="1:3">
      <c r="B859" s="108" t="s">
        <v>5669</v>
      </c>
      <c r="C859" s="109" t="s">
        <v>5483</v>
      </c>
    </row>
    <row r="860" spans="1:3">
      <c r="B860" s="108" t="s">
        <v>5670</v>
      </c>
      <c r="C860" s="117">
        <v>62570</v>
      </c>
    </row>
    <row r="861" spans="1:3">
      <c r="B861" s="108" t="s">
        <v>5668</v>
      </c>
      <c r="C861" s="25" t="s">
        <v>6963</v>
      </c>
    </row>
    <row r="863" spans="1:3">
      <c r="A863" s="175" t="s">
        <v>6959</v>
      </c>
      <c r="B863" s="42" t="s">
        <v>6960</v>
      </c>
    </row>
    <row r="864" spans="1:3">
      <c r="B864" s="175" t="s">
        <v>5669</v>
      </c>
      <c r="C864" s="193" t="s">
        <v>6962</v>
      </c>
    </row>
    <row r="865" spans="1:3">
      <c r="B865" s="175" t="s">
        <v>5670</v>
      </c>
      <c r="C865" s="117">
        <v>13472</v>
      </c>
    </row>
    <row r="866" spans="1:3">
      <c r="B866" s="175" t="s">
        <v>5668</v>
      </c>
      <c r="C866" s="101" t="s">
        <v>6961</v>
      </c>
    </row>
    <row r="868" spans="1:3">
      <c r="A868" s="175" t="s">
        <v>6810</v>
      </c>
      <c r="B868" s="42" t="s">
        <v>5471</v>
      </c>
    </row>
    <row r="869" spans="1:3">
      <c r="B869" s="108" t="s">
        <v>5669</v>
      </c>
      <c r="C869" s="109" t="s">
        <v>5470</v>
      </c>
    </row>
    <row r="870" spans="1:3">
      <c r="B870" s="108" t="s">
        <v>5670</v>
      </c>
      <c r="C870" s="116">
        <v>5402</v>
      </c>
    </row>
    <row r="871" spans="1:3">
      <c r="B871" s="108" t="s">
        <v>5668</v>
      </c>
      <c r="C871" s="25" t="s">
        <v>6965</v>
      </c>
    </row>
    <row r="873" spans="1:3">
      <c r="A873" s="245" t="s">
        <v>7677</v>
      </c>
      <c r="B873" s="42" t="s">
        <v>7676</v>
      </c>
    </row>
    <row r="874" spans="1:3">
      <c r="B874" s="245" t="s">
        <v>5669</v>
      </c>
      <c r="C874" s="246" t="s">
        <v>7675</v>
      </c>
    </row>
    <row r="875" spans="1:3">
      <c r="B875" s="245" t="s">
        <v>5670</v>
      </c>
      <c r="C875" s="122">
        <v>4718</v>
      </c>
    </row>
    <row r="876" spans="1:3">
      <c r="B876" s="245" t="s">
        <v>5668</v>
      </c>
      <c r="C876" s="101" t="s">
        <v>7678</v>
      </c>
    </row>
    <row r="878" spans="1:3">
      <c r="A878" s="175" t="s">
        <v>6811</v>
      </c>
      <c r="B878" s="42" t="s">
        <v>6900</v>
      </c>
    </row>
    <row r="879" spans="1:3">
      <c r="B879" s="175" t="s">
        <v>5669</v>
      </c>
      <c r="C879" s="193" t="s">
        <v>6902</v>
      </c>
    </row>
    <row r="880" spans="1:3">
      <c r="B880" s="175" t="s">
        <v>5670</v>
      </c>
      <c r="C880" s="122">
        <v>3782</v>
      </c>
    </row>
    <row r="881" spans="1:3">
      <c r="B881" s="175" t="s">
        <v>5668</v>
      </c>
      <c r="C881" s="101" t="s">
        <v>6901</v>
      </c>
    </row>
    <row r="883" spans="1:3">
      <c r="A883" s="175" t="s">
        <v>6812</v>
      </c>
      <c r="B883" s="42" t="s">
        <v>6741</v>
      </c>
    </row>
    <row r="884" spans="1:3">
      <c r="B884" s="108" t="s">
        <v>5669</v>
      </c>
      <c r="C884" s="109" t="s">
        <v>5459</v>
      </c>
    </row>
    <row r="885" spans="1:3">
      <c r="B885" s="108" t="s">
        <v>5670</v>
      </c>
      <c r="C885" s="122">
        <v>3443</v>
      </c>
    </row>
    <row r="886" spans="1:3">
      <c r="B886" s="108" t="s">
        <v>5668</v>
      </c>
      <c r="C886" s="25" t="s">
        <v>6742</v>
      </c>
    </row>
    <row r="888" spans="1:3">
      <c r="A888" s="175" t="s">
        <v>6824</v>
      </c>
      <c r="B888" s="42" t="s">
        <v>6823</v>
      </c>
    </row>
    <row r="889" spans="1:3">
      <c r="B889" s="175" t="s">
        <v>5669</v>
      </c>
      <c r="C889" s="193" t="s">
        <v>6821</v>
      </c>
    </row>
    <row r="890" spans="1:3">
      <c r="B890" s="175" t="s">
        <v>5670</v>
      </c>
      <c r="C890" s="122">
        <v>1538</v>
      </c>
    </row>
    <row r="891" spans="1:3">
      <c r="B891" s="175" t="s">
        <v>5668</v>
      </c>
      <c r="C891" s="101" t="s">
        <v>6822</v>
      </c>
    </row>
    <row r="893" spans="1:3">
      <c r="A893" s="382" t="s">
        <v>9581</v>
      </c>
      <c r="B893" s="42" t="s">
        <v>9579</v>
      </c>
    </row>
    <row r="894" spans="1:3">
      <c r="B894" s="382" t="s">
        <v>5669</v>
      </c>
      <c r="C894" s="384" t="s">
        <v>9580</v>
      </c>
    </row>
    <row r="895" spans="1:3">
      <c r="B895" s="382" t="s">
        <v>5670</v>
      </c>
      <c r="C895" s="122">
        <v>1097</v>
      </c>
    </row>
    <row r="896" spans="1:3">
      <c r="B896" s="382" t="s">
        <v>5668</v>
      </c>
      <c r="C896" s="101" t="s">
        <v>9578</v>
      </c>
    </row>
    <row r="898" spans="1:3">
      <c r="A898" s="382" t="s">
        <v>9561</v>
      </c>
      <c r="B898" s="42" t="s">
        <v>9562</v>
      </c>
    </row>
    <row r="899" spans="1:3">
      <c r="B899" s="382" t="s">
        <v>5669</v>
      </c>
      <c r="C899" s="384" t="s">
        <v>9564</v>
      </c>
    </row>
    <row r="900" spans="1:3">
      <c r="B900" s="382" t="s">
        <v>5670</v>
      </c>
      <c r="C900" s="122">
        <v>646</v>
      </c>
    </row>
    <row r="901" spans="1:3">
      <c r="B901" s="382" t="s">
        <v>5668</v>
      </c>
      <c r="C901" s="109" t="s">
        <v>9563</v>
      </c>
    </row>
    <row r="903" spans="1:3">
      <c r="A903" s="175" t="s">
        <v>6828</v>
      </c>
      <c r="B903" s="42" t="s">
        <v>6932</v>
      </c>
    </row>
    <row r="904" spans="1:3">
      <c r="B904" s="175" t="s">
        <v>5669</v>
      </c>
      <c r="C904" s="193" t="s">
        <v>6931</v>
      </c>
    </row>
    <row r="905" spans="1:3">
      <c r="B905" s="175" t="s">
        <v>5670</v>
      </c>
      <c r="C905" s="122">
        <v>553</v>
      </c>
    </row>
    <row r="906" spans="1:3">
      <c r="B906" s="175" t="s">
        <v>5668</v>
      </c>
      <c r="C906" s="25" t="s">
        <v>6930</v>
      </c>
    </row>
    <row r="908" spans="1:3">
      <c r="A908" s="175" t="s">
        <v>6865</v>
      </c>
      <c r="B908" s="42" t="s">
        <v>6883</v>
      </c>
    </row>
    <row r="909" spans="1:3">
      <c r="B909" s="175" t="s">
        <v>5669</v>
      </c>
      <c r="C909" s="193" t="s">
        <v>6884</v>
      </c>
    </row>
    <row r="910" spans="1:3">
      <c r="B910" s="175" t="s">
        <v>5670</v>
      </c>
      <c r="C910" s="122">
        <v>550</v>
      </c>
    </row>
    <row r="911" spans="1:3" ht="15">
      <c r="B911" s="175" t="s">
        <v>5668</v>
      </c>
      <c r="C911" s="151" t="s">
        <v>6885</v>
      </c>
    </row>
    <row r="913" spans="1:3">
      <c r="A913" s="175" t="s">
        <v>6886</v>
      </c>
      <c r="B913" s="42" t="s">
        <v>6864</v>
      </c>
    </row>
    <row r="914" spans="1:3">
      <c r="B914" s="175" t="s">
        <v>5669</v>
      </c>
      <c r="C914" s="193" t="s">
        <v>6863</v>
      </c>
    </row>
    <row r="915" spans="1:3">
      <c r="B915" s="175" t="s">
        <v>5670</v>
      </c>
      <c r="C915" s="122">
        <v>409</v>
      </c>
    </row>
    <row r="916" spans="1:3">
      <c r="B916" s="175" t="s">
        <v>5668</v>
      </c>
      <c r="C916" s="25" t="s">
        <v>6862</v>
      </c>
    </row>
    <row r="918" spans="1:3">
      <c r="A918" s="272" t="s">
        <v>9456</v>
      </c>
      <c r="B918" s="42" t="s">
        <v>9457</v>
      </c>
    </row>
    <row r="919" spans="1:3">
      <c r="B919" s="272" t="s">
        <v>5669</v>
      </c>
      <c r="C919" s="278" t="s">
        <v>9458</v>
      </c>
    </row>
    <row r="920" spans="1:3">
      <c r="B920" s="272" t="s">
        <v>5670</v>
      </c>
      <c r="C920" s="122">
        <v>403</v>
      </c>
    </row>
    <row r="921" spans="1:3">
      <c r="B921" s="272" t="s">
        <v>5668</v>
      </c>
      <c r="C921" s="101" t="s">
        <v>9459</v>
      </c>
    </row>
    <row r="924" spans="1:3">
      <c r="A924" s="175" t="s">
        <v>6903</v>
      </c>
      <c r="B924" s="42" t="s">
        <v>6827</v>
      </c>
    </row>
    <row r="925" spans="1:3">
      <c r="B925" s="175" t="s">
        <v>5669</v>
      </c>
      <c r="C925" s="193" t="s">
        <v>6826</v>
      </c>
    </row>
    <row r="926" spans="1:3">
      <c r="B926" s="175" t="s">
        <v>5670</v>
      </c>
      <c r="C926" s="122">
        <v>339</v>
      </c>
    </row>
    <row r="927" spans="1:3" ht="15">
      <c r="B927" s="175" t="s">
        <v>5668</v>
      </c>
      <c r="C927" s="151" t="s">
        <v>6825</v>
      </c>
    </row>
    <row r="929" spans="1:3">
      <c r="A929" s="175" t="s">
        <v>6933</v>
      </c>
      <c r="B929" s="42" t="s">
        <v>6580</v>
      </c>
    </row>
    <row r="930" spans="1:3">
      <c r="B930" s="159" t="s">
        <v>5669</v>
      </c>
      <c r="C930" s="160" t="s">
        <v>6525</v>
      </c>
    </row>
    <row r="931" spans="1:3">
      <c r="B931" s="159" t="s">
        <v>5670</v>
      </c>
      <c r="C931" s="122">
        <v>241</v>
      </c>
    </row>
    <row r="932" spans="1:3">
      <c r="B932" s="159" t="s">
        <v>5668</v>
      </c>
      <c r="C932" s="101" t="s">
        <v>6581</v>
      </c>
    </row>
    <row r="934" spans="1:3">
      <c r="A934" s="272" t="s">
        <v>7677</v>
      </c>
      <c r="B934" s="42" t="s">
        <v>8207</v>
      </c>
    </row>
    <row r="935" spans="1:3">
      <c r="B935" s="272" t="s">
        <v>5669</v>
      </c>
      <c r="C935" s="278" t="s">
        <v>8208</v>
      </c>
    </row>
    <row r="936" spans="1:3">
      <c r="B936" s="272" t="s">
        <v>5670</v>
      </c>
    </row>
    <row r="937" spans="1:3">
      <c r="B937" s="272" t="s">
        <v>5668</v>
      </c>
      <c r="C937" s="109" t="s">
        <v>8209</v>
      </c>
    </row>
    <row r="939" spans="1:3">
      <c r="A939" s="272" t="s">
        <v>8940</v>
      </c>
      <c r="B939" s="42" t="s">
        <v>8941</v>
      </c>
    </row>
    <row r="940" spans="1:3">
      <c r="B940" s="272" t="s">
        <v>5669</v>
      </c>
      <c r="C940" s="278" t="s">
        <v>8943</v>
      </c>
    </row>
    <row r="941" spans="1:3">
      <c r="B941" s="272" t="s">
        <v>5670</v>
      </c>
    </row>
    <row r="942" spans="1:3">
      <c r="B942" s="272" t="s">
        <v>5668</v>
      </c>
      <c r="C942" s="109" t="s">
        <v>8942</v>
      </c>
    </row>
    <row r="944" spans="1:3">
      <c r="A944" s="382" t="s">
        <v>9490</v>
      </c>
      <c r="B944" s="42" t="s">
        <v>9493</v>
      </c>
    </row>
    <row r="945" spans="1:3">
      <c r="B945" s="382" t="s">
        <v>5669</v>
      </c>
      <c r="C945" s="384" t="s">
        <v>9491</v>
      </c>
    </row>
    <row r="946" spans="1:3">
      <c r="B946" s="382" t="s">
        <v>5670</v>
      </c>
    </row>
    <row r="947" spans="1:3">
      <c r="B947" s="382" t="s">
        <v>5668</v>
      </c>
      <c r="C947" s="101" t="s">
        <v>9492</v>
      </c>
    </row>
    <row r="949" spans="1:3">
      <c r="A949" s="382" t="s">
        <v>9565</v>
      </c>
      <c r="B949" s="42" t="s">
        <v>9566</v>
      </c>
    </row>
    <row r="950" spans="1:3">
      <c r="B950" s="382" t="s">
        <v>5669</v>
      </c>
      <c r="C950" s="384" t="s">
        <v>9568</v>
      </c>
    </row>
    <row r="951" spans="1:3">
      <c r="B951" s="382" t="s">
        <v>5670</v>
      </c>
      <c r="C951" s="122">
        <v>26</v>
      </c>
    </row>
    <row r="952" spans="1:3" ht="15">
      <c r="B952" s="382" t="s">
        <v>5668</v>
      </c>
      <c r="C952" s="151" t="s">
        <v>9567</v>
      </c>
    </row>
    <row r="954" spans="1:3">
      <c r="A954" s="382" t="s">
        <v>9575</v>
      </c>
      <c r="B954" s="42" t="s">
        <v>9576</v>
      </c>
    </row>
    <row r="955" spans="1:3">
      <c r="B955" s="382" t="s">
        <v>5669</v>
      </c>
      <c r="C955" s="384" t="s">
        <v>9577</v>
      </c>
    </row>
    <row r="956" spans="1:3">
      <c r="B956" s="382" t="s">
        <v>5670</v>
      </c>
    </row>
    <row r="957" spans="1:3">
      <c r="B957" s="382" t="s">
        <v>5668</v>
      </c>
    </row>
    <row r="958" spans="1:3">
      <c r="B958" s="382"/>
    </row>
    <row r="959" spans="1:3">
      <c r="A959" s="382" t="s">
        <v>9581</v>
      </c>
      <c r="B959" s="42" t="s">
        <v>9579</v>
      </c>
    </row>
    <row r="960" spans="1:3">
      <c r="B960" s="382" t="s">
        <v>5669</v>
      </c>
      <c r="C960" s="384" t="s">
        <v>9580</v>
      </c>
    </row>
    <row r="961" spans="1:3">
      <c r="B961" s="382" t="s">
        <v>5670</v>
      </c>
      <c r="C961" s="122">
        <v>1097</v>
      </c>
    </row>
    <row r="962" spans="1:3">
      <c r="B962" s="382" t="s">
        <v>5668</v>
      </c>
      <c r="C962" s="101" t="s">
        <v>9578</v>
      </c>
    </row>
    <row r="964" spans="1:3">
      <c r="A964" s="382" t="s">
        <v>9585</v>
      </c>
      <c r="B964" s="42" t="s">
        <v>9583</v>
      </c>
    </row>
    <row r="965" spans="1:3">
      <c r="B965" s="382" t="s">
        <v>5669</v>
      </c>
      <c r="C965" s="384" t="s">
        <v>9584</v>
      </c>
    </row>
    <row r="966" spans="1:3">
      <c r="B966" s="382" t="s">
        <v>5668</v>
      </c>
      <c r="C966" s="101" t="s">
        <v>9586</v>
      </c>
    </row>
    <row r="967" spans="1:3">
      <c r="B967" s="175"/>
    </row>
    <row r="968" spans="1:3">
      <c r="A968" s="175" t="s">
        <v>6745</v>
      </c>
      <c r="B968" s="42" t="s">
        <v>6583</v>
      </c>
    </row>
    <row r="969" spans="1:3">
      <c r="B969" s="159" t="s">
        <v>5669</v>
      </c>
      <c r="C969" s="160" t="s">
        <v>6586</v>
      </c>
    </row>
    <row r="970" spans="1:3">
      <c r="B970" s="159" t="s">
        <v>5670</v>
      </c>
      <c r="C970" s="117">
        <v>30753</v>
      </c>
    </row>
    <row r="971" spans="1:3">
      <c r="B971" s="159" t="s">
        <v>5668</v>
      </c>
      <c r="C971" s="25" t="s">
        <v>6582</v>
      </c>
    </row>
    <row r="973" spans="1:3">
      <c r="A973" s="272" t="s">
        <v>9437</v>
      </c>
      <c r="B973" s="42" t="s">
        <v>9438</v>
      </c>
    </row>
    <row r="974" spans="1:3">
      <c r="B974" s="272" t="s">
        <v>5669</v>
      </c>
      <c r="C974" s="278" t="s">
        <v>9444</v>
      </c>
    </row>
    <row r="975" spans="1:3">
      <c r="B975" s="272" t="s">
        <v>5670</v>
      </c>
      <c r="C975" s="196">
        <v>8902</v>
      </c>
    </row>
    <row r="976" spans="1:3">
      <c r="B976" s="272" t="s">
        <v>5668</v>
      </c>
      <c r="C976" s="101" t="s">
        <v>9439</v>
      </c>
    </row>
    <row r="977" spans="1:3">
      <c r="B977" s="272" t="s">
        <v>1150</v>
      </c>
      <c r="C977" s="278" t="s">
        <v>9445</v>
      </c>
    </row>
    <row r="978" spans="1:3">
      <c r="B978" s="272" t="s">
        <v>4202</v>
      </c>
      <c r="C978" s="384" t="s">
        <v>9582</v>
      </c>
    </row>
    <row r="979" spans="1:3">
      <c r="B979" s="272"/>
    </row>
    <row r="980" spans="1:3">
      <c r="A980" s="175" t="s">
        <v>6771</v>
      </c>
      <c r="B980" s="42" t="s">
        <v>5485</v>
      </c>
    </row>
    <row r="981" spans="1:3">
      <c r="B981" s="175" t="s">
        <v>5669</v>
      </c>
      <c r="C981" s="109" t="s">
        <v>5484</v>
      </c>
    </row>
    <row r="982" spans="1:3">
      <c r="B982" s="175" t="s">
        <v>5670</v>
      </c>
      <c r="C982" s="119">
        <v>14017</v>
      </c>
    </row>
    <row r="983" spans="1:3">
      <c r="B983" s="175" t="s">
        <v>5668</v>
      </c>
      <c r="C983" s="25" t="s">
        <v>6744</v>
      </c>
    </row>
    <row r="984" spans="1:3" s="175" customFormat="1"/>
    <row r="985" spans="1:3" s="175" customFormat="1">
      <c r="A985" s="175" t="s">
        <v>6772</v>
      </c>
      <c r="B985" s="42" t="s">
        <v>6477</v>
      </c>
      <c r="C985" s="193"/>
    </row>
    <row r="986" spans="1:3" s="175" customFormat="1">
      <c r="B986" s="175" t="s">
        <v>5669</v>
      </c>
      <c r="C986" s="193" t="s">
        <v>5500</v>
      </c>
    </row>
    <row r="987" spans="1:3" s="175" customFormat="1">
      <c r="B987" s="175" t="s">
        <v>5670</v>
      </c>
      <c r="C987" s="196">
        <v>9183</v>
      </c>
    </row>
    <row r="988" spans="1:3" s="175" customFormat="1" ht="14">
      <c r="B988" s="175" t="s">
        <v>5668</v>
      </c>
      <c r="C988" s="28" t="s">
        <v>6476</v>
      </c>
    </row>
    <row r="989" spans="1:3" s="175" customFormat="1">
      <c r="C989" s="193"/>
    </row>
    <row r="990" spans="1:3" s="175" customFormat="1">
      <c r="A990" s="175" t="s">
        <v>6773</v>
      </c>
      <c r="B990" s="42" t="s">
        <v>6504</v>
      </c>
      <c r="C990" s="193"/>
    </row>
    <row r="991" spans="1:3" s="175" customFormat="1">
      <c r="B991" s="175" t="s">
        <v>5669</v>
      </c>
      <c r="C991" s="193" t="s">
        <v>6491</v>
      </c>
    </row>
    <row r="992" spans="1:3" s="175" customFormat="1">
      <c r="B992" s="175" t="s">
        <v>5670</v>
      </c>
      <c r="C992" s="196">
        <v>8373</v>
      </c>
    </row>
    <row r="993" spans="1:3" s="175" customFormat="1" ht="14">
      <c r="B993" s="175" t="s">
        <v>5668</v>
      </c>
      <c r="C993" s="144" t="s">
        <v>6492</v>
      </c>
    </row>
    <row r="994" spans="1:3" s="175" customFormat="1" ht="14">
      <c r="C994" s="144"/>
    </row>
    <row r="995" spans="1:3" s="175" customFormat="1">
      <c r="A995" s="175" t="s">
        <v>6774</v>
      </c>
      <c r="B995" s="42" t="s">
        <v>6050</v>
      </c>
      <c r="C995" s="193"/>
    </row>
    <row r="996" spans="1:3" s="175" customFormat="1">
      <c r="B996" s="175" t="s">
        <v>5669</v>
      </c>
      <c r="C996" s="207" t="s">
        <v>6049</v>
      </c>
    </row>
    <row r="997" spans="1:3" s="175" customFormat="1">
      <c r="B997" s="175" t="s">
        <v>5670</v>
      </c>
      <c r="C997" s="197">
        <v>3259</v>
      </c>
    </row>
    <row r="998" spans="1:3" s="175" customFormat="1">
      <c r="B998" s="175" t="s">
        <v>5668</v>
      </c>
      <c r="C998" s="25" t="s">
        <v>6743</v>
      </c>
    </row>
    <row r="999" spans="1:3" s="175" customFormat="1">
      <c r="C999" s="193"/>
    </row>
    <row r="1000" spans="1:3" s="175" customFormat="1">
      <c r="A1000" s="175" t="s">
        <v>6775</v>
      </c>
      <c r="B1000" s="42" t="s">
        <v>6475</v>
      </c>
      <c r="C1000" s="193"/>
    </row>
    <row r="1001" spans="1:3" s="175" customFormat="1">
      <c r="B1001" s="175" t="s">
        <v>5669</v>
      </c>
      <c r="C1001" s="193" t="s">
        <v>6054</v>
      </c>
    </row>
    <row r="1002" spans="1:3" s="175" customFormat="1">
      <c r="B1002" s="175" t="s">
        <v>5670</v>
      </c>
      <c r="C1002" s="197">
        <v>1330</v>
      </c>
    </row>
    <row r="1003" spans="1:3" s="175" customFormat="1" ht="14">
      <c r="B1003" s="175" t="s">
        <v>5668</v>
      </c>
      <c r="C1003" s="144" t="s">
        <v>6474</v>
      </c>
    </row>
    <row r="1004" spans="1:3" s="175" customFormat="1" ht="14">
      <c r="C1004" s="144"/>
    </row>
    <row r="1005" spans="1:3">
      <c r="A1005" s="175" t="s">
        <v>6776</v>
      </c>
      <c r="B1005" s="42" t="s">
        <v>6478</v>
      </c>
    </row>
    <row r="1006" spans="1:3">
      <c r="B1006" s="108" t="s">
        <v>5669</v>
      </c>
      <c r="C1006" s="109" t="s">
        <v>5455</v>
      </c>
    </row>
    <row r="1007" spans="1:3">
      <c r="B1007" s="108" t="s">
        <v>5670</v>
      </c>
      <c r="C1007" s="122">
        <v>1302</v>
      </c>
    </row>
    <row r="1008" spans="1:3">
      <c r="B1008" s="108" t="s">
        <v>5668</v>
      </c>
      <c r="C1008" s="108"/>
    </row>
    <row r="1009" spans="1:3">
      <c r="B1009" s="108" t="s">
        <v>4202</v>
      </c>
      <c r="C1009" s="108" t="s">
        <v>6029</v>
      </c>
    </row>
    <row r="1010" spans="1:3">
      <c r="C1010" s="108" t="s">
        <v>5460</v>
      </c>
    </row>
    <row r="1011" spans="1:3">
      <c r="C1011" s="108" t="s">
        <v>5461</v>
      </c>
    </row>
    <row r="1012" spans="1:3">
      <c r="C1012" s="108" t="s">
        <v>5462</v>
      </c>
    </row>
    <row r="1013" spans="1:3">
      <c r="C1013" s="108" t="s">
        <v>5463</v>
      </c>
    </row>
    <row r="1014" spans="1:3">
      <c r="C1014" s="108"/>
    </row>
    <row r="1015" spans="1:3" s="175" customFormat="1">
      <c r="A1015" s="175" t="s">
        <v>6777</v>
      </c>
      <c r="B1015" s="42" t="s">
        <v>6505</v>
      </c>
      <c r="C1015" s="193"/>
    </row>
    <row r="1016" spans="1:3" s="175" customFormat="1">
      <c r="B1016" s="175" t="s">
        <v>5669</v>
      </c>
      <c r="C1016" s="193" t="s">
        <v>6028</v>
      </c>
    </row>
    <row r="1017" spans="1:3" s="175" customFormat="1">
      <c r="B1017" s="175" t="s">
        <v>5670</v>
      </c>
      <c r="C1017" s="197">
        <v>681</v>
      </c>
    </row>
    <row r="1018" spans="1:3" s="175" customFormat="1">
      <c r="B1018" s="175" t="s">
        <v>5668</v>
      </c>
      <c r="C1018" s="101" t="s">
        <v>6747</v>
      </c>
    </row>
    <row r="1019" spans="1:3" s="175" customFormat="1">
      <c r="C1019" s="193"/>
    </row>
    <row r="1020" spans="1:3" s="175" customFormat="1">
      <c r="A1020" s="175" t="s">
        <v>6778</v>
      </c>
      <c r="B1020" s="42" t="s">
        <v>6350</v>
      </c>
      <c r="C1020" s="193"/>
    </row>
    <row r="1021" spans="1:3" s="175" customFormat="1">
      <c r="B1021" s="175" t="s">
        <v>5669</v>
      </c>
      <c r="C1021" s="193" t="s">
        <v>6349</v>
      </c>
    </row>
    <row r="1022" spans="1:3">
      <c r="B1022" s="108" t="s">
        <v>5670</v>
      </c>
      <c r="C1022" s="197">
        <v>341</v>
      </c>
    </row>
    <row r="1023" spans="1:3" ht="15">
      <c r="B1023" s="108" t="s">
        <v>5668</v>
      </c>
      <c r="C1023" s="151" t="s">
        <v>6351</v>
      </c>
    </row>
    <row r="1025" spans="1:3">
      <c r="A1025" s="270" t="s">
        <v>8009</v>
      </c>
      <c r="B1025" s="42" t="s">
        <v>8010</v>
      </c>
    </row>
    <row r="1026" spans="1:3">
      <c r="A1026" s="270"/>
      <c r="B1026" s="270" t="s">
        <v>5669</v>
      </c>
      <c r="C1026" s="271" t="s">
        <v>8011</v>
      </c>
    </row>
    <row r="1027" spans="1:3">
      <c r="B1027" s="270" t="s">
        <v>5670</v>
      </c>
    </row>
    <row r="1028" spans="1:3">
      <c r="B1028" s="270" t="s">
        <v>5668</v>
      </c>
      <c r="C1028" s="109" t="s">
        <v>8012</v>
      </c>
    </row>
    <row r="1031" spans="1:3">
      <c r="A1031" s="245" t="s">
        <v>7657</v>
      </c>
      <c r="B1031" s="42" t="s">
        <v>7658</v>
      </c>
    </row>
    <row r="1032" spans="1:3">
      <c r="B1032" s="245" t="s">
        <v>5669</v>
      </c>
      <c r="C1032" s="246" t="s">
        <v>7659</v>
      </c>
    </row>
    <row r="1033" spans="1:3">
      <c r="B1033" s="245" t="s">
        <v>5670</v>
      </c>
      <c r="C1033" s="197">
        <v>4000</v>
      </c>
    </row>
    <row r="1034" spans="1:3">
      <c r="B1034" s="245" t="s">
        <v>5668</v>
      </c>
      <c r="C1034" s="25" t="s">
        <v>7660</v>
      </c>
    </row>
    <row r="1035" spans="1:3">
      <c r="B1035" s="245" t="s">
        <v>4202</v>
      </c>
      <c r="C1035" s="256" t="s">
        <v>7674</v>
      </c>
    </row>
    <row r="1037" spans="1:3">
      <c r="A1037" s="175" t="s">
        <v>6769</v>
      </c>
      <c r="B1037" s="42" t="s">
        <v>6471</v>
      </c>
    </row>
    <row r="1038" spans="1:3">
      <c r="B1038" s="159" t="s">
        <v>5669</v>
      </c>
      <c r="C1038" s="160" t="s">
        <v>6472</v>
      </c>
    </row>
    <row r="1039" spans="1:3">
      <c r="B1039" s="159" t="s">
        <v>5670</v>
      </c>
      <c r="C1039" s="197">
        <v>226</v>
      </c>
    </row>
    <row r="1040" spans="1:3" ht="15">
      <c r="B1040" s="159" t="s">
        <v>5668</v>
      </c>
      <c r="C1040" s="151" t="s">
        <v>6473</v>
      </c>
    </row>
    <row r="1042" spans="1:3">
      <c r="A1042" s="175" t="s">
        <v>6770</v>
      </c>
      <c r="B1042" s="42" t="s">
        <v>6479</v>
      </c>
      <c r="C1042" s="108"/>
    </row>
    <row r="1043" spans="1:3">
      <c r="B1043" s="159" t="s">
        <v>5669</v>
      </c>
      <c r="C1043" s="159" t="s">
        <v>6480</v>
      </c>
    </row>
    <row r="1044" spans="1:3">
      <c r="B1044" s="159" t="s">
        <v>5670</v>
      </c>
      <c r="C1044" s="197">
        <v>46</v>
      </c>
    </row>
    <row r="1045" spans="1:3" ht="15">
      <c r="B1045" s="159" t="s">
        <v>5668</v>
      </c>
      <c r="C1045" s="44" t="s">
        <v>6481</v>
      </c>
    </row>
    <row r="1047" spans="1:3">
      <c r="A1047" s="382" t="s">
        <v>9511</v>
      </c>
      <c r="B1047" s="42" t="s">
        <v>9512</v>
      </c>
    </row>
    <row r="1048" spans="1:3">
      <c r="B1048" s="382" t="s">
        <v>5669</v>
      </c>
      <c r="C1048" s="384" t="s">
        <v>9513</v>
      </c>
    </row>
    <row r="1049" spans="1:3">
      <c r="B1049" s="382" t="s">
        <v>5670</v>
      </c>
    </row>
    <row r="1050" spans="1:3">
      <c r="B1050" s="382" t="s">
        <v>5668</v>
      </c>
    </row>
    <row r="1052" spans="1:3">
      <c r="A1052" s="382" t="s">
        <v>9518</v>
      </c>
      <c r="B1052" s="42" t="s">
        <v>9520</v>
      </c>
    </row>
    <row r="1053" spans="1:3">
      <c r="A1053" s="382"/>
      <c r="B1053" s="382" t="s">
        <v>5669</v>
      </c>
      <c r="C1053" s="384" t="s">
        <v>9519</v>
      </c>
    </row>
    <row r="1054" spans="1:3">
      <c r="A1054" s="382"/>
      <c r="B1054" s="382" t="s">
        <v>5670</v>
      </c>
    </row>
    <row r="1055" spans="1:3">
      <c r="B1055" s="382" t="s">
        <v>5668</v>
      </c>
    </row>
    <row r="1057" spans="1:3">
      <c r="A1057" s="272" t="s">
        <v>8212</v>
      </c>
      <c r="B1057" s="42" t="s">
        <v>6467</v>
      </c>
    </row>
    <row r="1058" spans="1:3">
      <c r="B1058" s="159" t="s">
        <v>5735</v>
      </c>
      <c r="C1058" s="160" t="s">
        <v>4499</v>
      </c>
    </row>
    <row r="1059" spans="1:3">
      <c r="B1059" s="159" t="s">
        <v>5670</v>
      </c>
      <c r="C1059" s="324">
        <v>5145</v>
      </c>
    </row>
    <row r="1060" spans="1:3" ht="15">
      <c r="B1060" s="159" t="s">
        <v>5668</v>
      </c>
      <c r="C1060" s="44" t="s">
        <v>6468</v>
      </c>
    </row>
    <row r="1061" spans="1:3">
      <c r="C1061" s="246"/>
    </row>
    <row r="1062" spans="1:3">
      <c r="A1062" s="175" t="s">
        <v>6779</v>
      </c>
      <c r="B1062" s="42" t="s">
        <v>6470</v>
      </c>
      <c r="C1062" s="246"/>
    </row>
    <row r="1063" spans="1:3">
      <c r="B1063" s="159" t="s">
        <v>5669</v>
      </c>
      <c r="C1063" s="246" t="s">
        <v>5489</v>
      </c>
    </row>
    <row r="1064" spans="1:3">
      <c r="B1064" s="159" t="s">
        <v>5670</v>
      </c>
      <c r="C1064" s="255">
        <v>2033</v>
      </c>
    </row>
    <row r="1065" spans="1:3">
      <c r="B1065" s="159" t="s">
        <v>5668</v>
      </c>
      <c r="C1065" s="25" t="s">
        <v>6469</v>
      </c>
    </row>
    <row r="1066" spans="1:3">
      <c r="C1066" s="246"/>
    </row>
    <row r="1067" spans="1:3">
      <c r="A1067" s="175" t="s">
        <v>6780</v>
      </c>
      <c r="B1067" s="42" t="s">
        <v>6445</v>
      </c>
      <c r="C1067" s="246"/>
    </row>
    <row r="1068" spans="1:3">
      <c r="B1068" s="159" t="s">
        <v>5669</v>
      </c>
      <c r="C1068" s="246" t="s">
        <v>5576</v>
      </c>
    </row>
    <row r="1069" spans="1:3">
      <c r="B1069" s="159" t="s">
        <v>5670</v>
      </c>
      <c r="C1069" s="255">
        <v>806</v>
      </c>
    </row>
    <row r="1070" spans="1:3">
      <c r="B1070" s="160" t="s">
        <v>5668</v>
      </c>
      <c r="C1070" s="101" t="s">
        <v>6446</v>
      </c>
    </row>
    <row r="1071" spans="1:3">
      <c r="B1071" s="160"/>
      <c r="C1071" s="246"/>
    </row>
    <row r="1072" spans="1:3">
      <c r="A1072" s="245" t="s">
        <v>7653</v>
      </c>
      <c r="B1072" s="110" t="s">
        <v>7656</v>
      </c>
      <c r="C1072" s="246"/>
    </row>
    <row r="1073" spans="1:5">
      <c r="B1073" s="246" t="s">
        <v>5669</v>
      </c>
      <c r="C1073" s="246" t="s">
        <v>7655</v>
      </c>
    </row>
    <row r="1074" spans="1:5">
      <c r="B1074" s="246" t="s">
        <v>5670</v>
      </c>
      <c r="C1074" s="255">
        <v>300</v>
      </c>
    </row>
    <row r="1075" spans="1:5">
      <c r="B1075" s="246" t="s">
        <v>5668</v>
      </c>
      <c r="C1075" s="101" t="s">
        <v>7654</v>
      </c>
    </row>
    <row r="1076" spans="1:5">
      <c r="B1076" s="246" t="s">
        <v>4202</v>
      </c>
    </row>
    <row r="1077" spans="1:5">
      <c r="B1077" s="160"/>
      <c r="C1077" s="278"/>
      <c r="D1077" s="272"/>
      <c r="E1077" s="272"/>
    </row>
    <row r="1078" spans="1:5">
      <c r="A1078" s="245" t="s">
        <v>7665</v>
      </c>
      <c r="B1078" s="110" t="s">
        <v>7666</v>
      </c>
      <c r="C1078" s="278"/>
      <c r="D1078" s="272"/>
      <c r="E1078" s="272"/>
    </row>
    <row r="1079" spans="1:5">
      <c r="B1079" s="246" t="s">
        <v>5669</v>
      </c>
      <c r="C1079" s="278" t="s">
        <v>7667</v>
      </c>
      <c r="D1079" s="272"/>
      <c r="E1079" s="272"/>
    </row>
    <row r="1080" spans="1:5">
      <c r="B1080" s="246" t="s">
        <v>5670</v>
      </c>
      <c r="C1080" s="279">
        <v>113</v>
      </c>
      <c r="D1080" s="272"/>
      <c r="E1080" s="272"/>
    </row>
    <row r="1081" spans="1:5">
      <c r="B1081" s="246" t="s">
        <v>5668</v>
      </c>
      <c r="C1081" s="101" t="s">
        <v>7668</v>
      </c>
      <c r="D1081" s="272"/>
      <c r="E1081" s="272"/>
    </row>
    <row r="1082" spans="1:5">
      <c r="B1082" s="160"/>
      <c r="C1082" s="278"/>
      <c r="D1082" s="272"/>
      <c r="E1082" s="272"/>
    </row>
    <row r="1083" spans="1:5">
      <c r="A1083" s="175" t="s">
        <v>6781</v>
      </c>
      <c r="B1083" s="42" t="s">
        <v>6506</v>
      </c>
      <c r="C1083" s="278"/>
      <c r="D1083" s="272"/>
      <c r="E1083" s="272"/>
    </row>
    <row r="1084" spans="1:5">
      <c r="B1084" s="159" t="s">
        <v>5669</v>
      </c>
      <c r="C1084" s="278" t="s">
        <v>6507</v>
      </c>
      <c r="D1084" s="272"/>
      <c r="E1084" s="272"/>
    </row>
    <row r="1085" spans="1:5">
      <c r="B1085" s="159" t="s">
        <v>5670</v>
      </c>
      <c r="C1085" s="279">
        <v>54</v>
      </c>
      <c r="D1085" s="272"/>
      <c r="E1085" s="272"/>
    </row>
    <row r="1086" spans="1:5">
      <c r="B1086" s="159" t="s">
        <v>5668</v>
      </c>
      <c r="C1086" s="101" t="s">
        <v>6508</v>
      </c>
      <c r="D1086" s="272"/>
      <c r="E1086" s="272"/>
    </row>
    <row r="1087" spans="1:5">
      <c r="C1087" s="278"/>
      <c r="D1087" s="272"/>
      <c r="E1087" s="272"/>
    </row>
    <row r="1088" spans="1:5">
      <c r="A1088" s="175" t="s">
        <v>6782</v>
      </c>
      <c r="B1088" s="42" t="s">
        <v>6448</v>
      </c>
      <c r="C1088" s="278"/>
      <c r="D1088" s="272"/>
      <c r="E1088" s="272"/>
    </row>
    <row r="1089" spans="1:5">
      <c r="B1089" s="108" t="s">
        <v>5669</v>
      </c>
      <c r="C1089" s="278" t="s">
        <v>6343</v>
      </c>
      <c r="D1089" s="272"/>
      <c r="E1089" s="272"/>
    </row>
    <row r="1090" spans="1:5">
      <c r="B1090" s="108" t="s">
        <v>5670</v>
      </c>
      <c r="C1090" s="279">
        <v>44</v>
      </c>
      <c r="D1090" s="272"/>
      <c r="E1090" s="272"/>
    </row>
    <row r="1091" spans="1:5">
      <c r="B1091" s="108" t="s">
        <v>5668</v>
      </c>
      <c r="C1091" s="101" t="s">
        <v>6342</v>
      </c>
      <c r="D1091" s="272"/>
      <c r="E1091" s="272"/>
    </row>
    <row r="1092" spans="1:5">
      <c r="C1092" s="278"/>
      <c r="D1092" s="272"/>
      <c r="E1092" s="272"/>
    </row>
    <row r="1093" spans="1:5">
      <c r="A1093" s="175" t="s">
        <v>6783</v>
      </c>
      <c r="B1093" s="110" t="s">
        <v>6464</v>
      </c>
      <c r="C1093" s="278"/>
      <c r="D1093" s="272"/>
      <c r="E1093" s="272"/>
    </row>
    <row r="1094" spans="1:5">
      <c r="B1094" s="160" t="s">
        <v>5669</v>
      </c>
      <c r="C1094" s="278" t="s">
        <v>6465</v>
      </c>
      <c r="D1094" s="272"/>
      <c r="E1094" s="272"/>
    </row>
    <row r="1095" spans="1:5">
      <c r="B1095" s="160" t="s">
        <v>5670</v>
      </c>
      <c r="C1095" s="279">
        <v>8</v>
      </c>
      <c r="D1095" s="272"/>
      <c r="E1095" s="272"/>
    </row>
    <row r="1096" spans="1:5">
      <c r="B1096" s="160" t="s">
        <v>5668</v>
      </c>
      <c r="C1096" s="101" t="s">
        <v>6466</v>
      </c>
      <c r="D1096" s="272"/>
      <c r="E1096" s="272"/>
    </row>
    <row r="1097" spans="1:5">
      <c r="B1097" s="160"/>
      <c r="C1097" s="278"/>
      <c r="D1097" s="272"/>
      <c r="E1097" s="272"/>
    </row>
    <row r="1098" spans="1:5">
      <c r="A1098" s="272" t="s">
        <v>7653</v>
      </c>
      <c r="B1098" s="110" t="s">
        <v>8046</v>
      </c>
      <c r="C1098" s="278"/>
      <c r="D1098" s="272"/>
      <c r="E1098" s="272"/>
    </row>
    <row r="1099" spans="1:5">
      <c r="B1099" s="278" t="s">
        <v>5669</v>
      </c>
      <c r="C1099" s="278" t="s">
        <v>8047</v>
      </c>
      <c r="D1099" s="272"/>
      <c r="E1099" s="272"/>
    </row>
    <row r="1100" spans="1:5">
      <c r="B1100" s="278" t="s">
        <v>5670</v>
      </c>
      <c r="C1100" s="279">
        <v>451</v>
      </c>
    </row>
    <row r="1101" spans="1:5">
      <c r="B1101" s="278" t="s">
        <v>5668</v>
      </c>
      <c r="C1101" s="101" t="s">
        <v>8048</v>
      </c>
      <c r="D1101" s="272"/>
      <c r="E1101" s="272"/>
    </row>
    <row r="1102" spans="1:5">
      <c r="B1102" s="160"/>
      <c r="C1102" s="278"/>
      <c r="D1102" s="272"/>
      <c r="E1102" s="272"/>
    </row>
    <row r="1103" spans="1:5">
      <c r="A1103" s="272" t="s">
        <v>7665</v>
      </c>
      <c r="B1103" s="110" t="s">
        <v>8131</v>
      </c>
      <c r="C1103" s="278"/>
      <c r="D1103" s="272"/>
      <c r="E1103" s="272"/>
    </row>
    <row r="1104" spans="1:5">
      <c r="B1104" s="278" t="s">
        <v>5669</v>
      </c>
      <c r="C1104" s="278" t="s">
        <v>8132</v>
      </c>
      <c r="D1104" s="272"/>
      <c r="E1104" s="272"/>
    </row>
    <row r="1105" spans="1:5">
      <c r="B1105" s="278" t="s">
        <v>5670</v>
      </c>
      <c r="C1105" s="323">
        <v>3052</v>
      </c>
      <c r="D1105" s="272"/>
      <c r="E1105" s="272"/>
    </row>
    <row r="1106" spans="1:5">
      <c r="B1106" s="278" t="s">
        <v>5668</v>
      </c>
      <c r="C1106" s="278" t="s">
        <v>8211</v>
      </c>
      <c r="D1106" s="272"/>
      <c r="E1106" s="272"/>
    </row>
    <row r="1107" spans="1:5">
      <c r="B1107" s="160"/>
      <c r="C1107" s="278"/>
      <c r="D1107" s="272"/>
      <c r="E1107" s="272"/>
    </row>
    <row r="1108" spans="1:5">
      <c r="A1108" s="272" t="s">
        <v>8275</v>
      </c>
      <c r="B1108" s="110" t="s">
        <v>8277</v>
      </c>
      <c r="C1108" s="278"/>
      <c r="D1108" s="272"/>
      <c r="E1108" s="272"/>
    </row>
    <row r="1109" spans="1:5">
      <c r="B1109" s="278" t="s">
        <v>5669</v>
      </c>
      <c r="C1109" s="278" t="s">
        <v>8132</v>
      </c>
      <c r="D1109" s="272"/>
      <c r="E1109" s="272"/>
    </row>
    <row r="1110" spans="1:5">
      <c r="B1110" s="278" t="s">
        <v>5670</v>
      </c>
      <c r="C1110" s="278"/>
      <c r="D1110" s="272"/>
      <c r="E1110" s="272"/>
    </row>
    <row r="1111" spans="1:5">
      <c r="B1111" s="278" t="s">
        <v>5668</v>
      </c>
      <c r="C1111" s="278" t="s">
        <v>8276</v>
      </c>
      <c r="D1111" s="272"/>
      <c r="E1111" s="272"/>
    </row>
    <row r="1112" spans="1:5">
      <c r="B1112" s="160"/>
      <c r="C1112" s="278"/>
      <c r="D1112" s="272"/>
      <c r="E1112" s="272"/>
    </row>
    <row r="1113" spans="1:5">
      <c r="A1113" s="175" t="s">
        <v>6786</v>
      </c>
      <c r="B1113" s="42" t="s">
        <v>6511</v>
      </c>
      <c r="C1113" s="278"/>
      <c r="D1113" s="272"/>
      <c r="E1113" s="272"/>
    </row>
    <row r="1114" spans="1:5">
      <c r="B1114" s="159" t="s">
        <v>5669</v>
      </c>
      <c r="C1114" s="278" t="s">
        <v>6512</v>
      </c>
      <c r="D1114" s="272"/>
      <c r="E1114" s="272"/>
    </row>
    <row r="1115" spans="1:5">
      <c r="B1115" s="159" t="s">
        <v>5670</v>
      </c>
      <c r="C1115" s="279">
        <v>1812</v>
      </c>
      <c r="D1115" s="272"/>
      <c r="E1115" s="272"/>
    </row>
    <row r="1116" spans="1:5">
      <c r="B1116" s="159" t="s">
        <v>5668</v>
      </c>
      <c r="C1116" s="101" t="s">
        <v>6513</v>
      </c>
      <c r="D1116" s="272"/>
      <c r="E1116" s="272"/>
    </row>
    <row r="1117" spans="1:5">
      <c r="C1117" s="278"/>
      <c r="D1117" s="272"/>
      <c r="E1117" s="272"/>
    </row>
    <row r="1118" spans="1:5">
      <c r="A1118" s="175" t="s">
        <v>6787</v>
      </c>
      <c r="B1118" s="42" t="s">
        <v>6447</v>
      </c>
    </row>
    <row r="1119" spans="1:5">
      <c r="B1119" s="159" t="s">
        <v>5669</v>
      </c>
      <c r="C1119" s="160" t="s">
        <v>6444</v>
      </c>
    </row>
    <row r="1120" spans="1:5">
      <c r="B1120" s="159" t="s">
        <v>5670</v>
      </c>
      <c r="C1120" s="122">
        <v>1259</v>
      </c>
    </row>
    <row r="1121" spans="1:9">
      <c r="B1121" s="160" t="s">
        <v>5668</v>
      </c>
      <c r="C1121" s="101" t="s">
        <v>6784</v>
      </c>
    </row>
    <row r="1122" spans="1:9">
      <c r="B1122" s="160"/>
    </row>
    <row r="1123" spans="1:9">
      <c r="A1123" s="175" t="s">
        <v>6788</v>
      </c>
      <c r="B1123" s="110" t="s">
        <v>6439</v>
      </c>
      <c r="C1123" s="160"/>
      <c r="D1123" s="159"/>
      <c r="E1123" s="159"/>
      <c r="F1123" s="159"/>
      <c r="G1123" s="159"/>
      <c r="H1123" s="159"/>
      <c r="I1123" s="159"/>
    </row>
    <row r="1124" spans="1:9">
      <c r="A1124" s="159"/>
      <c r="B1124" s="160" t="s">
        <v>5669</v>
      </c>
      <c r="C1124" s="160" t="s">
        <v>6440</v>
      </c>
      <c r="D1124" s="159"/>
      <c r="E1124" s="159"/>
      <c r="F1124" s="159"/>
      <c r="G1124" s="159"/>
      <c r="H1124" s="159"/>
      <c r="I1124" s="159"/>
    </row>
    <row r="1125" spans="1:9">
      <c r="A1125" s="159"/>
      <c r="B1125" s="160" t="s">
        <v>5670</v>
      </c>
      <c r="C1125" s="122">
        <v>398</v>
      </c>
      <c r="D1125" s="159"/>
      <c r="E1125" s="159"/>
      <c r="F1125" s="159"/>
      <c r="G1125" s="159"/>
      <c r="H1125" s="159"/>
      <c r="I1125" s="159"/>
    </row>
    <row r="1126" spans="1:9" ht="14">
      <c r="A1126" s="159"/>
      <c r="B1126" s="160" t="s">
        <v>5668</v>
      </c>
      <c r="C1126" s="144" t="s">
        <v>6441</v>
      </c>
      <c r="D1126" s="159"/>
      <c r="E1126" s="159"/>
      <c r="F1126" s="159"/>
      <c r="G1126" s="159"/>
      <c r="H1126" s="159"/>
      <c r="I1126" s="159"/>
    </row>
    <row r="1127" spans="1:9" ht="14">
      <c r="A1127" s="159"/>
      <c r="B1127" s="160"/>
      <c r="C1127" s="144"/>
      <c r="D1127" s="159"/>
      <c r="E1127" s="159"/>
      <c r="F1127" s="159"/>
      <c r="G1127" s="159"/>
      <c r="H1127" s="159"/>
      <c r="I1127" s="159"/>
    </row>
    <row r="1128" spans="1:9">
      <c r="A1128" s="175" t="s">
        <v>6789</v>
      </c>
      <c r="B1128" s="110" t="s">
        <v>6785</v>
      </c>
      <c r="C1128" s="160"/>
      <c r="D1128" s="159"/>
      <c r="E1128" s="159"/>
      <c r="F1128" s="159"/>
      <c r="G1128" s="159"/>
      <c r="H1128" s="159"/>
      <c r="I1128" s="159"/>
    </row>
    <row r="1129" spans="1:9">
      <c r="A1129" s="159"/>
      <c r="B1129" s="160" t="s">
        <v>5669</v>
      </c>
      <c r="C1129" s="160" t="s">
        <v>6526</v>
      </c>
      <c r="D1129" s="159"/>
      <c r="E1129" s="159"/>
      <c r="F1129" s="159"/>
      <c r="G1129" s="159"/>
      <c r="H1129" s="159"/>
      <c r="I1129" s="159"/>
    </row>
    <row r="1130" spans="1:9">
      <c r="A1130" s="159"/>
      <c r="B1130" s="160" t="s">
        <v>5670</v>
      </c>
      <c r="C1130" s="122">
        <v>185</v>
      </c>
      <c r="D1130" s="159"/>
      <c r="E1130" s="159"/>
      <c r="F1130" s="159"/>
      <c r="G1130" s="159"/>
      <c r="H1130" s="159"/>
      <c r="I1130" s="159"/>
    </row>
    <row r="1131" spans="1:9" ht="15">
      <c r="A1131" s="159"/>
      <c r="B1131" s="160" t="s">
        <v>5668</v>
      </c>
      <c r="C1131" s="151" t="s">
        <v>6527</v>
      </c>
      <c r="D1131" s="159"/>
      <c r="E1131" s="159"/>
      <c r="F1131" s="159"/>
      <c r="G1131" s="159"/>
      <c r="H1131" s="159"/>
      <c r="I1131" s="159"/>
    </row>
    <row r="1132" spans="1:9">
      <c r="A1132" s="159"/>
      <c r="B1132" s="160"/>
      <c r="C1132" s="160"/>
      <c r="D1132" s="159"/>
      <c r="E1132" s="159"/>
      <c r="F1132" s="159"/>
      <c r="G1132" s="159"/>
      <c r="H1132" s="159"/>
      <c r="I1132" s="159"/>
    </row>
    <row r="1133" spans="1:9" ht="14">
      <c r="A1133" s="175" t="s">
        <v>6790</v>
      </c>
      <c r="B1133" s="110" t="s">
        <v>6490</v>
      </c>
      <c r="C1133" s="144"/>
      <c r="D1133" s="159"/>
      <c r="E1133" s="159"/>
      <c r="F1133" s="159"/>
      <c r="G1133" s="159"/>
      <c r="H1133" s="159"/>
      <c r="I1133" s="159"/>
    </row>
    <row r="1134" spans="1:9">
      <c r="A1134" s="159"/>
      <c r="B1134" s="160" t="s">
        <v>5669</v>
      </c>
      <c r="C1134" s="160" t="s">
        <v>6488</v>
      </c>
      <c r="D1134" s="159"/>
      <c r="E1134" s="159"/>
      <c r="F1134" s="159"/>
      <c r="G1134" s="159"/>
      <c r="H1134" s="159"/>
      <c r="I1134" s="159"/>
    </row>
    <row r="1135" spans="1:9">
      <c r="A1135" s="159"/>
      <c r="B1135" s="160" t="s">
        <v>5670</v>
      </c>
      <c r="C1135" s="122">
        <v>169</v>
      </c>
      <c r="D1135" s="159"/>
      <c r="E1135" s="159"/>
      <c r="F1135" s="159"/>
      <c r="G1135" s="159"/>
      <c r="H1135" s="159"/>
      <c r="I1135" s="159"/>
    </row>
    <row r="1136" spans="1:9" ht="14">
      <c r="A1136" s="159"/>
      <c r="B1136" s="160" t="s">
        <v>5668</v>
      </c>
      <c r="C1136" s="144" t="s">
        <v>6489</v>
      </c>
      <c r="D1136" s="159"/>
      <c r="E1136" s="159"/>
      <c r="F1136" s="159"/>
      <c r="G1136" s="159"/>
      <c r="H1136" s="159"/>
      <c r="I1136" s="159"/>
    </row>
    <row r="1137" spans="1:9">
      <c r="A1137" s="159"/>
      <c r="B1137" s="160"/>
      <c r="C1137" s="160"/>
      <c r="D1137" s="159"/>
      <c r="E1137" s="159"/>
      <c r="F1137" s="159"/>
      <c r="G1137" s="159"/>
      <c r="H1137" s="159"/>
      <c r="I1137" s="159"/>
    </row>
    <row r="1138" spans="1:9">
      <c r="A1138" s="175" t="s">
        <v>6791</v>
      </c>
      <c r="B1138" s="110" t="s">
        <v>6346</v>
      </c>
      <c r="C1138" s="160"/>
      <c r="D1138" s="159"/>
      <c r="E1138" s="159"/>
      <c r="F1138" s="159"/>
      <c r="G1138" s="159"/>
      <c r="H1138" s="159"/>
      <c r="I1138" s="159"/>
    </row>
    <row r="1139" spans="1:9">
      <c r="A1139" s="159"/>
      <c r="B1139" s="160" t="s">
        <v>5669</v>
      </c>
      <c r="C1139" s="160" t="s">
        <v>6345</v>
      </c>
      <c r="D1139" s="159"/>
      <c r="E1139" s="159"/>
      <c r="F1139" s="159"/>
      <c r="G1139" s="159"/>
      <c r="H1139" s="159"/>
      <c r="I1139" s="159"/>
    </row>
    <row r="1140" spans="1:9">
      <c r="A1140" s="159"/>
      <c r="B1140" s="160" t="s">
        <v>5670</v>
      </c>
      <c r="C1140" s="122">
        <v>123</v>
      </c>
      <c r="D1140" s="159"/>
      <c r="E1140" s="159"/>
      <c r="F1140" s="159"/>
      <c r="G1140" s="159"/>
      <c r="H1140" s="159"/>
      <c r="I1140" s="159"/>
    </row>
    <row r="1141" spans="1:9" ht="14">
      <c r="A1141" s="159"/>
      <c r="B1141" s="160" t="s">
        <v>5668</v>
      </c>
      <c r="C1141" s="144" t="s">
        <v>6344</v>
      </c>
      <c r="D1141" s="159"/>
      <c r="E1141" s="159"/>
      <c r="F1141" s="159"/>
      <c r="G1141" s="159"/>
      <c r="H1141" s="159"/>
      <c r="I1141" s="159"/>
    </row>
    <row r="1142" spans="1:9">
      <c r="A1142" s="159"/>
      <c r="B1142" s="160"/>
      <c r="C1142" s="160"/>
      <c r="D1142" s="159"/>
      <c r="E1142" s="159"/>
      <c r="F1142" s="159"/>
      <c r="G1142" s="159"/>
      <c r="H1142" s="159"/>
      <c r="I1142" s="159"/>
    </row>
    <row r="1143" spans="1:9">
      <c r="A1143" s="175" t="s">
        <v>6792</v>
      </c>
      <c r="B1143" s="42" t="s">
        <v>6578</v>
      </c>
      <c r="C1143" s="160"/>
      <c r="D1143" s="159"/>
      <c r="E1143" s="159"/>
      <c r="F1143" s="159"/>
      <c r="G1143" s="159"/>
      <c r="H1143" s="159"/>
    </row>
    <row r="1144" spans="1:9">
      <c r="B1144" s="159" t="s">
        <v>5669</v>
      </c>
      <c r="C1144" s="160" t="s">
        <v>6577</v>
      </c>
      <c r="D1144" s="159"/>
      <c r="E1144" s="159"/>
      <c r="F1144" s="159"/>
      <c r="G1144" s="159"/>
      <c r="H1144" s="159"/>
    </row>
    <row r="1145" spans="1:9">
      <c r="B1145" s="159" t="s">
        <v>5670</v>
      </c>
      <c r="C1145" s="122">
        <v>75</v>
      </c>
      <c r="D1145" s="159"/>
      <c r="E1145" s="159"/>
      <c r="F1145" s="159"/>
      <c r="G1145" s="159"/>
      <c r="H1145" s="159"/>
    </row>
    <row r="1146" spans="1:9">
      <c r="B1146" s="159" t="s">
        <v>5668</v>
      </c>
      <c r="C1146" s="101" t="s">
        <v>6576</v>
      </c>
      <c r="D1146" s="159"/>
      <c r="E1146" s="159"/>
      <c r="F1146" s="159"/>
      <c r="G1146" s="159"/>
      <c r="H1146" s="159"/>
    </row>
    <row r="1147" spans="1:9">
      <c r="B1147" s="109"/>
    </row>
    <row r="1148" spans="1:9">
      <c r="A1148" s="175" t="s">
        <v>6793</v>
      </c>
      <c r="B1148" s="42" t="s">
        <v>6463</v>
      </c>
    </row>
    <row r="1149" spans="1:9">
      <c r="B1149" s="108" t="s">
        <v>5669</v>
      </c>
      <c r="C1149" s="109" t="s">
        <v>4133</v>
      </c>
    </row>
    <row r="1150" spans="1:9">
      <c r="B1150" s="108" t="s">
        <v>5670</v>
      </c>
      <c r="C1150" s="122">
        <v>66</v>
      </c>
    </row>
    <row r="1151" spans="1:9">
      <c r="B1151" s="108" t="s">
        <v>5668</v>
      </c>
      <c r="C1151" s="105" t="s">
        <v>6012</v>
      </c>
    </row>
    <row r="1153" spans="1:9">
      <c r="A1153" s="175" t="s">
        <v>6794</v>
      </c>
      <c r="B1153" s="42" t="s">
        <v>6460</v>
      </c>
      <c r="C1153" s="160"/>
      <c r="D1153" s="159"/>
      <c r="E1153" s="159"/>
      <c r="F1153" s="159"/>
      <c r="G1153" s="159"/>
      <c r="H1153" s="159"/>
      <c r="I1153" s="159"/>
    </row>
    <row r="1154" spans="1:9">
      <c r="A1154" s="159"/>
      <c r="B1154" s="159" t="s">
        <v>5669</v>
      </c>
      <c r="C1154" s="160" t="s">
        <v>6459</v>
      </c>
      <c r="D1154" s="159"/>
      <c r="E1154" s="159"/>
      <c r="F1154" s="159"/>
      <c r="G1154" s="159"/>
      <c r="H1154" s="159"/>
      <c r="I1154" s="159"/>
    </row>
    <row r="1155" spans="1:9">
      <c r="A1155" s="159"/>
      <c r="B1155" s="159" t="s">
        <v>5670</v>
      </c>
      <c r="C1155" s="122">
        <v>29</v>
      </c>
      <c r="D1155" s="159"/>
      <c r="E1155" s="159"/>
      <c r="F1155" s="159"/>
      <c r="G1155" s="159"/>
      <c r="H1155" s="159"/>
      <c r="I1155" s="159"/>
    </row>
    <row r="1156" spans="1:9" ht="14">
      <c r="A1156" s="159"/>
      <c r="B1156" s="159" t="s">
        <v>5668</v>
      </c>
      <c r="C1156" s="144" t="s">
        <v>6461</v>
      </c>
      <c r="D1156" s="159"/>
      <c r="E1156" s="159"/>
      <c r="F1156" s="159"/>
      <c r="G1156" s="159"/>
      <c r="H1156" s="159"/>
      <c r="I1156" s="159"/>
    </row>
    <row r="1157" spans="1:9">
      <c r="A1157" s="159"/>
      <c r="B1157" s="159"/>
      <c r="C1157" s="160"/>
      <c r="D1157" s="159"/>
      <c r="E1157" s="159"/>
      <c r="F1157" s="159"/>
      <c r="G1157" s="159"/>
      <c r="H1157" s="159"/>
      <c r="I1157" s="159"/>
    </row>
    <row r="1158" spans="1:9">
      <c r="A1158" s="175" t="s">
        <v>6795</v>
      </c>
      <c r="B1158" s="110" t="s">
        <v>6442</v>
      </c>
    </row>
    <row r="1159" spans="1:9">
      <c r="B1159" s="109" t="s">
        <v>5669</v>
      </c>
      <c r="C1159" s="109" t="s">
        <v>6347</v>
      </c>
    </row>
    <row r="1160" spans="1:9">
      <c r="B1160" s="109" t="s">
        <v>5670</v>
      </c>
      <c r="C1160" s="122">
        <v>6</v>
      </c>
    </row>
    <row r="1161" spans="1:9" ht="15">
      <c r="B1161" s="109" t="s">
        <v>5668</v>
      </c>
      <c r="C1161" s="151" t="s">
        <v>6443</v>
      </c>
    </row>
    <row r="1162" spans="1:9">
      <c r="B1162" s="109"/>
    </row>
    <row r="1163" spans="1:9">
      <c r="A1163" s="270" t="s">
        <v>7948</v>
      </c>
      <c r="B1163" s="110" t="s">
        <v>7949</v>
      </c>
    </row>
    <row r="1164" spans="1:9">
      <c r="B1164" s="271" t="s">
        <v>5669</v>
      </c>
      <c r="C1164" s="271" t="s">
        <v>7950</v>
      </c>
    </row>
    <row r="1165" spans="1:9">
      <c r="B1165" s="271" t="s">
        <v>5670</v>
      </c>
      <c r="C1165" s="122">
        <v>58</v>
      </c>
    </row>
    <row r="1166" spans="1:9">
      <c r="B1166" s="271" t="s">
        <v>5668</v>
      </c>
      <c r="C1166" s="271" t="s">
        <v>7951</v>
      </c>
    </row>
    <row r="1167" spans="1:9">
      <c r="B1167" s="109"/>
    </row>
    <row r="1168" spans="1:9">
      <c r="A1168" s="272" t="s">
        <v>8935</v>
      </c>
      <c r="B1168" s="110" t="s">
        <v>8124</v>
      </c>
    </row>
    <row r="1169" spans="1:3">
      <c r="B1169" s="278" t="s">
        <v>5669</v>
      </c>
      <c r="C1169" s="278" t="s">
        <v>8123</v>
      </c>
    </row>
    <row r="1170" spans="1:3">
      <c r="B1170" s="278" t="s">
        <v>5670</v>
      </c>
    </row>
    <row r="1171" spans="1:3">
      <c r="B1171" s="278" t="s">
        <v>5668</v>
      </c>
      <c r="C1171" s="101" t="s">
        <v>8125</v>
      </c>
    </row>
    <row r="1172" spans="1:3">
      <c r="B1172" s="109"/>
    </row>
    <row r="1173" spans="1:3">
      <c r="A1173" s="272" t="s">
        <v>8936</v>
      </c>
      <c r="B1173" s="110" t="s">
        <v>8937</v>
      </c>
    </row>
    <row r="1174" spans="1:3">
      <c r="B1174" s="278" t="s">
        <v>5669</v>
      </c>
      <c r="C1174" s="278" t="s">
        <v>8938</v>
      </c>
    </row>
    <row r="1175" spans="1:3">
      <c r="B1175" s="278" t="s">
        <v>5670</v>
      </c>
    </row>
    <row r="1176" spans="1:3">
      <c r="B1176" s="278" t="s">
        <v>5668</v>
      </c>
      <c r="C1176" s="109" t="s">
        <v>8939</v>
      </c>
    </row>
    <row r="1177" spans="1:3">
      <c r="B1177" s="109"/>
    </row>
    <row r="1178" spans="1:3">
      <c r="A1178" s="382" t="s">
        <v>9499</v>
      </c>
      <c r="B1178" s="110" t="s">
        <v>9500</v>
      </c>
    </row>
    <row r="1179" spans="1:3">
      <c r="B1179" s="384" t="s">
        <v>5669</v>
      </c>
      <c r="C1179" s="384" t="s">
        <v>9501</v>
      </c>
    </row>
    <row r="1180" spans="1:3">
      <c r="B1180" s="384" t="s">
        <v>5670</v>
      </c>
    </row>
    <row r="1181" spans="1:3">
      <c r="B1181" s="384" t="s">
        <v>5668</v>
      </c>
      <c r="C1181" s="101" t="s">
        <v>9502</v>
      </c>
    </row>
    <row r="1182" spans="1:3">
      <c r="B1182" s="109"/>
    </row>
    <row r="1183" spans="1:3">
      <c r="A1183" s="382" t="s">
        <v>9515</v>
      </c>
      <c r="B1183" s="110" t="s">
        <v>9516</v>
      </c>
    </row>
    <row r="1184" spans="1:3">
      <c r="B1184" s="384" t="s">
        <v>5669</v>
      </c>
      <c r="C1184" s="384" t="s">
        <v>9517</v>
      </c>
    </row>
    <row r="1185" spans="1:9">
      <c r="B1185" s="384" t="s">
        <v>5670</v>
      </c>
      <c r="C1185" s="384"/>
    </row>
    <row r="1186" spans="1:9">
      <c r="B1186" s="384" t="s">
        <v>5668</v>
      </c>
      <c r="C1186" s="384"/>
    </row>
    <row r="1187" spans="1:9">
      <c r="B1187" s="109"/>
    </row>
    <row r="1188" spans="1:9">
      <c r="A1188" s="382" t="s">
        <v>9531</v>
      </c>
      <c r="B1188" s="110" t="s">
        <v>9532</v>
      </c>
    </row>
    <row r="1189" spans="1:9">
      <c r="B1189" s="384" t="s">
        <v>5669</v>
      </c>
      <c r="C1189" s="384" t="s">
        <v>9533</v>
      </c>
    </row>
    <row r="1190" spans="1:9">
      <c r="A1190" s="382"/>
      <c r="B1190" s="384" t="s">
        <v>5670</v>
      </c>
    </row>
    <row r="1191" spans="1:9">
      <c r="B1191" s="384" t="s">
        <v>5668</v>
      </c>
      <c r="C1191" s="101" t="s">
        <v>9534</v>
      </c>
    </row>
    <row r="1192" spans="1:9">
      <c r="B1192" s="109"/>
    </row>
    <row r="1193" spans="1:9">
      <c r="B1193" s="110" t="s">
        <v>9822</v>
      </c>
    </row>
    <row r="1194" spans="1:9">
      <c r="B1194" s="406" t="s">
        <v>5669</v>
      </c>
      <c r="C1194" s="406" t="s">
        <v>9823</v>
      </c>
    </row>
    <row r="1195" spans="1:9">
      <c r="B1195" s="406" t="s">
        <v>5670</v>
      </c>
    </row>
    <row r="1196" spans="1:9" ht="15">
      <c r="B1196" s="406" t="s">
        <v>5668</v>
      </c>
      <c r="C1196" s="151" t="s">
        <v>9824</v>
      </c>
    </row>
    <row r="1197" spans="1:9">
      <c r="B1197" s="109"/>
    </row>
    <row r="1198" spans="1:9">
      <c r="A1198" s="175" t="s">
        <v>6797</v>
      </c>
      <c r="B1198" s="110" t="s">
        <v>6519</v>
      </c>
      <c r="C1198" s="160"/>
      <c r="D1198" s="159"/>
      <c r="E1198" s="159"/>
      <c r="F1198" s="159"/>
      <c r="G1198" s="159"/>
      <c r="H1198" s="159"/>
      <c r="I1198" s="159"/>
    </row>
    <row r="1199" spans="1:9">
      <c r="A1199" s="159"/>
      <c r="B1199" s="160" t="s">
        <v>5669</v>
      </c>
      <c r="C1199" s="160" t="s">
        <v>6521</v>
      </c>
      <c r="D1199" s="159"/>
      <c r="E1199" s="159"/>
      <c r="F1199" s="159"/>
      <c r="G1199" s="159"/>
      <c r="H1199" s="159"/>
      <c r="I1199" s="159"/>
    </row>
    <row r="1200" spans="1:9">
      <c r="A1200" s="159"/>
      <c r="B1200" s="160" t="s">
        <v>5670</v>
      </c>
      <c r="C1200" s="122">
        <v>878</v>
      </c>
      <c r="D1200" s="159"/>
      <c r="E1200" s="159"/>
      <c r="F1200" s="159"/>
      <c r="G1200" s="159"/>
      <c r="H1200" s="159"/>
      <c r="I1200" s="159"/>
    </row>
    <row r="1201" spans="1:9">
      <c r="A1201" s="159"/>
      <c r="B1201" s="160" t="s">
        <v>5668</v>
      </c>
      <c r="C1201" s="101" t="s">
        <v>6520</v>
      </c>
      <c r="D1201" s="159"/>
      <c r="E1201" s="159"/>
      <c r="F1201" s="159"/>
      <c r="G1201" s="159"/>
      <c r="H1201" s="159"/>
      <c r="I1201" s="159"/>
    </row>
    <row r="1202" spans="1:9">
      <c r="A1202" s="159"/>
      <c r="B1202" s="160"/>
      <c r="C1202" s="160"/>
      <c r="D1202" s="159"/>
      <c r="E1202" s="159"/>
      <c r="F1202" s="159"/>
      <c r="G1202" s="159"/>
      <c r="H1202" s="159"/>
      <c r="I1202" s="159"/>
    </row>
    <row r="1203" spans="1:9">
      <c r="A1203" s="382" t="s">
        <v>9542</v>
      </c>
      <c r="B1203" s="42" t="s">
        <v>9541</v>
      </c>
    </row>
    <row r="1204" spans="1:9">
      <c r="B1204" s="382" t="s">
        <v>5669</v>
      </c>
      <c r="C1204" s="384" t="s">
        <v>9544</v>
      </c>
    </row>
    <row r="1205" spans="1:9">
      <c r="B1205" s="382" t="s">
        <v>5670</v>
      </c>
      <c r="C1205" s="164">
        <v>614</v>
      </c>
    </row>
    <row r="1206" spans="1:9">
      <c r="B1206" s="382" t="s">
        <v>5668</v>
      </c>
      <c r="C1206" s="101" t="s">
        <v>9543</v>
      </c>
    </row>
    <row r="1208" spans="1:9">
      <c r="A1208" s="175" t="s">
        <v>6798</v>
      </c>
      <c r="B1208" s="42" t="s">
        <v>6426</v>
      </c>
      <c r="C1208" s="160"/>
      <c r="D1208" s="159"/>
      <c r="E1208" s="159"/>
      <c r="F1208" s="159"/>
      <c r="G1208" s="159"/>
      <c r="H1208" s="159"/>
      <c r="I1208" s="159"/>
    </row>
    <row r="1209" spans="1:9">
      <c r="A1209" s="159"/>
      <c r="B1209" s="159" t="s">
        <v>5669</v>
      </c>
      <c r="C1209" s="160" t="s">
        <v>6052</v>
      </c>
      <c r="D1209" s="159"/>
      <c r="E1209" s="159"/>
      <c r="F1209" s="159"/>
      <c r="G1209" s="159"/>
      <c r="H1209" s="159"/>
      <c r="I1209" s="159"/>
    </row>
    <row r="1210" spans="1:9">
      <c r="A1210" s="159"/>
      <c r="B1210" s="159" t="s">
        <v>5670</v>
      </c>
      <c r="C1210" s="122">
        <v>501</v>
      </c>
      <c r="D1210" s="159"/>
      <c r="E1210" s="159"/>
      <c r="F1210" s="159"/>
      <c r="G1210" s="159"/>
      <c r="H1210" s="159"/>
      <c r="I1210" s="159"/>
    </row>
    <row r="1211" spans="1:9" ht="14">
      <c r="A1211" s="159"/>
      <c r="B1211" s="159" t="s">
        <v>5668</v>
      </c>
      <c r="C1211" s="144" t="s">
        <v>6425</v>
      </c>
      <c r="D1211" s="159"/>
      <c r="E1211" s="159"/>
      <c r="F1211" s="159"/>
      <c r="G1211" s="159"/>
      <c r="H1211" s="159"/>
      <c r="I1211" s="159"/>
    </row>
    <row r="1212" spans="1:9" ht="14">
      <c r="A1212" s="159"/>
      <c r="B1212" s="159"/>
      <c r="C1212" s="144"/>
      <c r="D1212" s="159"/>
      <c r="E1212" s="159"/>
      <c r="F1212" s="159"/>
      <c r="G1212" s="159"/>
      <c r="H1212" s="159"/>
      <c r="I1212" s="159"/>
    </row>
    <row r="1213" spans="1:9">
      <c r="A1213" s="159"/>
      <c r="B1213" s="110" t="s">
        <v>6518</v>
      </c>
      <c r="C1213" s="160"/>
      <c r="D1213" s="159"/>
      <c r="E1213" s="159"/>
      <c r="F1213" s="159"/>
      <c r="G1213" s="159"/>
      <c r="H1213" s="159"/>
      <c r="I1213" s="159"/>
    </row>
    <row r="1214" spans="1:9">
      <c r="A1214" s="159"/>
      <c r="B1214" s="160" t="s">
        <v>5669</v>
      </c>
      <c r="C1214" s="160" t="s">
        <v>6493</v>
      </c>
      <c r="D1214" s="159"/>
      <c r="E1214" s="159"/>
      <c r="F1214" s="159"/>
      <c r="G1214" s="159"/>
      <c r="H1214" s="159"/>
      <c r="I1214" s="159"/>
    </row>
    <row r="1215" spans="1:9">
      <c r="A1215" s="159"/>
      <c r="B1215" s="160" t="s">
        <v>5670</v>
      </c>
      <c r="C1215" s="122">
        <v>75</v>
      </c>
      <c r="D1215" s="159"/>
      <c r="E1215" s="159"/>
      <c r="F1215" s="159"/>
      <c r="G1215" s="159"/>
      <c r="H1215" s="159"/>
      <c r="I1215" s="159"/>
    </row>
    <row r="1216" spans="1:9" ht="15">
      <c r="A1216" s="159"/>
      <c r="B1216" s="160" t="s">
        <v>5668</v>
      </c>
      <c r="C1216" s="151" t="s">
        <v>6494</v>
      </c>
      <c r="D1216" s="159"/>
      <c r="E1216" s="159"/>
      <c r="F1216" s="159"/>
      <c r="G1216" s="159"/>
      <c r="H1216" s="159"/>
      <c r="I1216" s="159"/>
    </row>
    <row r="1217" spans="1:9">
      <c r="A1217" s="159"/>
      <c r="B1217" s="160"/>
      <c r="C1217" s="160"/>
      <c r="D1217" s="159"/>
      <c r="E1217" s="159"/>
      <c r="F1217" s="159"/>
      <c r="G1217" s="159"/>
      <c r="H1217" s="159"/>
      <c r="I1217" s="159"/>
    </row>
    <row r="1218" spans="1:9">
      <c r="A1218" s="159"/>
      <c r="B1218" s="42" t="s">
        <v>6353</v>
      </c>
      <c r="C1218" s="160"/>
      <c r="D1218" s="159"/>
      <c r="E1218" s="159"/>
      <c r="F1218" s="159"/>
      <c r="G1218" s="159"/>
      <c r="H1218" s="159"/>
      <c r="I1218" s="159"/>
    </row>
    <row r="1219" spans="1:9">
      <c r="A1219" s="159"/>
      <c r="B1219" s="159" t="s">
        <v>5669</v>
      </c>
      <c r="C1219" s="160" t="s">
        <v>6332</v>
      </c>
      <c r="D1219" s="159"/>
      <c r="E1219" s="159"/>
      <c r="F1219" s="159"/>
      <c r="G1219" s="159"/>
      <c r="H1219" s="159"/>
      <c r="I1219" s="159"/>
    </row>
    <row r="1220" spans="1:9">
      <c r="A1220" s="159"/>
      <c r="B1220" s="159" t="s">
        <v>5670</v>
      </c>
      <c r="C1220" s="197" t="s">
        <v>1</v>
      </c>
      <c r="D1220" s="159"/>
      <c r="E1220" s="159"/>
      <c r="F1220" s="159"/>
      <c r="G1220" s="159"/>
      <c r="H1220" s="159"/>
      <c r="I1220" s="159"/>
    </row>
    <row r="1221" spans="1:9" ht="14">
      <c r="A1221" s="159"/>
      <c r="B1221" s="159" t="s">
        <v>5668</v>
      </c>
      <c r="C1221" s="144" t="s">
        <v>6352</v>
      </c>
      <c r="D1221" s="159"/>
      <c r="E1221" s="159"/>
      <c r="F1221" s="159"/>
      <c r="G1221" s="159"/>
      <c r="H1221" s="159"/>
      <c r="I1221" s="159"/>
    </row>
    <row r="1222" spans="1:9">
      <c r="A1222" s="159"/>
      <c r="B1222" s="159"/>
      <c r="C1222" s="160"/>
      <c r="D1222" s="159"/>
      <c r="E1222" s="159"/>
      <c r="F1222" s="159"/>
      <c r="G1222" s="159"/>
      <c r="H1222" s="159"/>
      <c r="I1222" s="159"/>
    </row>
    <row r="1223" spans="1:9">
      <c r="A1223" s="382" t="s">
        <v>9539</v>
      </c>
      <c r="B1223" s="42" t="s">
        <v>6509</v>
      </c>
      <c r="C1223" s="160"/>
      <c r="D1223" s="159"/>
      <c r="E1223" s="159"/>
      <c r="F1223" s="159"/>
      <c r="G1223" s="159"/>
      <c r="H1223" s="159"/>
      <c r="I1223" s="159"/>
    </row>
    <row r="1224" spans="1:9">
      <c r="A1224" s="159"/>
      <c r="B1224" s="159" t="s">
        <v>5669</v>
      </c>
      <c r="C1224" s="160" t="s">
        <v>0</v>
      </c>
      <c r="D1224" s="159"/>
      <c r="E1224" s="159"/>
      <c r="F1224" s="159"/>
      <c r="G1224" s="159"/>
      <c r="H1224" s="159"/>
      <c r="I1224" s="159"/>
    </row>
    <row r="1225" spans="1:9">
      <c r="A1225" s="159"/>
      <c r="B1225" s="159" t="s">
        <v>5670</v>
      </c>
      <c r="C1225" s="197" t="s">
        <v>1</v>
      </c>
      <c r="D1225" s="159"/>
      <c r="E1225" s="159"/>
      <c r="F1225" s="159"/>
      <c r="G1225" s="159"/>
      <c r="H1225" s="159"/>
      <c r="I1225" s="159"/>
    </row>
    <row r="1226" spans="1:9" ht="15">
      <c r="A1226" s="159"/>
      <c r="B1226" s="159" t="s">
        <v>5668</v>
      </c>
      <c r="C1226" s="151" t="s">
        <v>6510</v>
      </c>
      <c r="D1226" s="160"/>
      <c r="E1226" s="159"/>
      <c r="F1226" s="159"/>
      <c r="G1226" s="159"/>
      <c r="H1226" s="159"/>
      <c r="I1226" s="159"/>
    </row>
    <row r="1227" spans="1:9">
      <c r="A1227" s="159"/>
      <c r="B1227" s="159"/>
      <c r="C1227" s="160"/>
      <c r="D1227" s="159"/>
      <c r="E1227" s="159"/>
      <c r="F1227" s="159"/>
      <c r="G1227" s="159"/>
      <c r="H1227" s="159"/>
      <c r="I1227" s="159"/>
    </row>
    <row r="1228" spans="1:9">
      <c r="A1228" s="159"/>
      <c r="B1228" s="42" t="s">
        <v>6531</v>
      </c>
      <c r="C1228" s="160"/>
      <c r="D1228" s="159"/>
      <c r="E1228" s="159"/>
      <c r="F1228" s="159"/>
      <c r="G1228" s="159"/>
      <c r="H1228" s="159"/>
      <c r="I1228" s="159"/>
    </row>
    <row r="1229" spans="1:9">
      <c r="A1229" s="159"/>
      <c r="B1229" s="159" t="s">
        <v>5669</v>
      </c>
      <c r="C1229" s="160" t="s">
        <v>6532</v>
      </c>
      <c r="D1229" s="159"/>
      <c r="E1229" s="159"/>
      <c r="F1229" s="159"/>
      <c r="G1229" s="159"/>
      <c r="H1229" s="159"/>
      <c r="I1229" s="159"/>
    </row>
    <row r="1230" spans="1:9">
      <c r="A1230" s="159"/>
      <c r="B1230" s="159" t="s">
        <v>5670</v>
      </c>
      <c r="C1230" s="122">
        <v>29</v>
      </c>
      <c r="D1230" s="159"/>
      <c r="E1230" s="159"/>
      <c r="F1230" s="159"/>
      <c r="G1230" s="159"/>
      <c r="H1230" s="159"/>
      <c r="I1230" s="159"/>
    </row>
    <row r="1231" spans="1:9" ht="15">
      <c r="A1231" s="159"/>
      <c r="B1231" s="159" t="s">
        <v>5668</v>
      </c>
      <c r="C1231" s="151" t="s">
        <v>6533</v>
      </c>
      <c r="D1231" s="159"/>
      <c r="E1231" s="159"/>
      <c r="F1231" s="159"/>
      <c r="G1231" s="159"/>
      <c r="H1231" s="159"/>
      <c r="I1231" s="159"/>
    </row>
    <row r="1232" spans="1:9">
      <c r="A1232" s="159"/>
      <c r="B1232" s="159"/>
      <c r="C1232" s="160"/>
      <c r="D1232" s="159"/>
      <c r="E1232" s="159"/>
      <c r="F1232" s="159"/>
      <c r="G1232" s="159"/>
      <c r="H1232" s="159"/>
      <c r="I1232" s="159"/>
    </row>
    <row r="1233" spans="1:9">
      <c r="B1233" s="110" t="s">
        <v>6516</v>
      </c>
    </row>
    <row r="1234" spans="1:9">
      <c r="B1234" s="160" t="s">
        <v>5669</v>
      </c>
      <c r="C1234" s="160" t="s">
        <v>6514</v>
      </c>
    </row>
    <row r="1235" spans="1:9">
      <c r="B1235" s="160" t="s">
        <v>5670</v>
      </c>
      <c r="C1235" s="122">
        <v>93</v>
      </c>
    </row>
    <row r="1236" spans="1:9" ht="15">
      <c r="B1236" s="160" t="s">
        <v>5668</v>
      </c>
      <c r="C1236" s="151" t="s">
        <v>6515</v>
      </c>
    </row>
    <row r="1237" spans="1:9">
      <c r="A1237" s="159"/>
      <c r="B1237" s="159"/>
      <c r="C1237" s="160"/>
      <c r="D1237" s="159"/>
      <c r="E1237" s="159"/>
      <c r="F1237" s="159"/>
      <c r="G1237" s="159"/>
      <c r="H1237" s="159"/>
      <c r="I1237" s="159"/>
    </row>
    <row r="1238" spans="1:9">
      <c r="A1238" s="159"/>
      <c r="B1238" s="42" t="s">
        <v>6482</v>
      </c>
      <c r="C1238" s="160"/>
      <c r="D1238" s="159"/>
      <c r="E1238" s="159"/>
      <c r="F1238" s="159"/>
      <c r="G1238" s="159"/>
      <c r="H1238" s="159"/>
      <c r="I1238" s="159"/>
    </row>
    <row r="1239" spans="1:9">
      <c r="A1239" s="159"/>
      <c r="B1239" s="159" t="s">
        <v>5669</v>
      </c>
      <c r="C1239" s="160" t="s">
        <v>6484</v>
      </c>
      <c r="D1239" s="159"/>
      <c r="E1239" s="159"/>
      <c r="F1239" s="159"/>
      <c r="G1239" s="159"/>
      <c r="H1239" s="159"/>
      <c r="I1239" s="159"/>
    </row>
    <row r="1240" spans="1:9">
      <c r="A1240" s="159"/>
      <c r="B1240" s="159" t="s">
        <v>5670</v>
      </c>
      <c r="C1240" s="122">
        <v>35</v>
      </c>
      <c r="D1240" s="159"/>
      <c r="E1240" s="159"/>
      <c r="F1240" s="159"/>
      <c r="G1240" s="159"/>
      <c r="H1240" s="159"/>
      <c r="I1240" s="159"/>
    </row>
    <row r="1241" spans="1:9" ht="14">
      <c r="A1241" s="159"/>
      <c r="B1241" s="159" t="s">
        <v>5668</v>
      </c>
      <c r="C1241" s="144" t="s">
        <v>6485</v>
      </c>
      <c r="D1241" s="159"/>
      <c r="E1241" s="159"/>
      <c r="F1241" s="159"/>
      <c r="G1241" s="159"/>
      <c r="H1241" s="159"/>
      <c r="I1241" s="159"/>
    </row>
    <row r="1242" spans="1:9">
      <c r="A1242" s="159"/>
      <c r="B1242" s="159"/>
      <c r="C1242" s="160"/>
      <c r="D1242" s="159"/>
      <c r="E1242" s="159"/>
      <c r="F1242" s="159"/>
      <c r="G1242" s="159"/>
      <c r="H1242" s="159"/>
      <c r="I1242" s="159"/>
    </row>
    <row r="1243" spans="1:9">
      <c r="A1243" s="159"/>
      <c r="B1243" s="42" t="s">
        <v>6528</v>
      </c>
      <c r="C1243" s="160"/>
      <c r="D1243" s="159"/>
      <c r="E1243" s="159"/>
      <c r="F1243" s="159"/>
      <c r="G1243" s="159"/>
      <c r="H1243" s="159"/>
      <c r="I1243" s="159"/>
    </row>
    <row r="1244" spans="1:9">
      <c r="A1244" s="159"/>
      <c r="B1244" s="159" t="s">
        <v>5669</v>
      </c>
      <c r="C1244" s="160" t="s">
        <v>6530</v>
      </c>
      <c r="D1244" s="159"/>
      <c r="E1244" s="159"/>
      <c r="F1244" s="159"/>
      <c r="G1244" s="159"/>
      <c r="H1244" s="159"/>
      <c r="I1244" s="159"/>
    </row>
    <row r="1245" spans="1:9">
      <c r="A1245" s="159"/>
      <c r="B1245" s="159" t="s">
        <v>5670</v>
      </c>
      <c r="C1245" s="122">
        <v>20</v>
      </c>
      <c r="D1245" s="159"/>
      <c r="E1245" s="159"/>
      <c r="F1245" s="159"/>
      <c r="G1245" s="159"/>
      <c r="H1245" s="159"/>
      <c r="I1245" s="159"/>
    </row>
    <row r="1246" spans="1:9" ht="15">
      <c r="A1246" s="159"/>
      <c r="B1246" s="159" t="s">
        <v>5668</v>
      </c>
      <c r="C1246" s="151" t="s">
        <v>6529</v>
      </c>
      <c r="D1246" s="159"/>
      <c r="E1246" s="159"/>
      <c r="F1246" s="159"/>
      <c r="G1246" s="159"/>
      <c r="H1246" s="159"/>
      <c r="I1246" s="159"/>
    </row>
    <row r="1247" spans="1:9">
      <c r="A1247" s="159"/>
      <c r="B1247" s="159"/>
      <c r="C1247" s="160"/>
      <c r="D1247" s="159"/>
      <c r="E1247" s="159"/>
      <c r="F1247" s="159"/>
      <c r="G1247" s="159"/>
      <c r="H1247" s="159"/>
      <c r="I1247" s="159"/>
    </row>
    <row r="1248" spans="1:9">
      <c r="A1248" s="159"/>
      <c r="B1248" s="42" t="s">
        <v>6483</v>
      </c>
      <c r="C1248" s="160"/>
      <c r="D1248" s="159"/>
      <c r="E1248" s="159"/>
      <c r="F1248" s="159"/>
      <c r="G1248" s="159"/>
      <c r="H1248" s="159"/>
      <c r="I1248" s="159"/>
    </row>
    <row r="1249" spans="1:9">
      <c r="A1249" s="159"/>
      <c r="B1249" s="159" t="s">
        <v>5669</v>
      </c>
      <c r="C1249" s="160" t="s">
        <v>6420</v>
      </c>
      <c r="D1249" s="159"/>
      <c r="E1249" s="159"/>
      <c r="F1249" s="159"/>
      <c r="G1249" s="159"/>
      <c r="H1249" s="159"/>
      <c r="I1249" s="159"/>
    </row>
    <row r="1250" spans="1:9">
      <c r="A1250" s="159"/>
      <c r="B1250" s="159" t="s">
        <v>5670</v>
      </c>
      <c r="C1250" s="122">
        <v>2</v>
      </c>
      <c r="D1250" s="159"/>
      <c r="E1250" s="159"/>
      <c r="F1250" s="159"/>
      <c r="G1250" s="159"/>
      <c r="H1250" s="159"/>
      <c r="I1250" s="159"/>
    </row>
    <row r="1251" spans="1:9" ht="14">
      <c r="A1251" s="159"/>
      <c r="B1251" s="159" t="s">
        <v>5668</v>
      </c>
      <c r="C1251" s="144" t="s">
        <v>6428</v>
      </c>
      <c r="D1251" s="159"/>
      <c r="E1251" s="159"/>
      <c r="F1251" s="159"/>
      <c r="G1251" s="159"/>
      <c r="H1251" s="159"/>
      <c r="I1251" s="159"/>
    </row>
    <row r="1252" spans="1:9">
      <c r="A1252" s="159"/>
      <c r="B1252" s="159"/>
      <c r="C1252" s="160"/>
      <c r="D1252" s="159"/>
      <c r="E1252" s="159"/>
      <c r="F1252" s="159"/>
      <c r="G1252" s="159"/>
      <c r="H1252" s="159"/>
      <c r="I1252" s="159"/>
    </row>
    <row r="1253" spans="1:9">
      <c r="A1253" s="159"/>
      <c r="B1253" s="42" t="s">
        <v>6429</v>
      </c>
      <c r="C1253" s="160"/>
      <c r="D1253" s="159"/>
      <c r="E1253" s="159"/>
      <c r="F1253" s="159"/>
      <c r="G1253" s="159"/>
      <c r="H1253" s="159"/>
      <c r="I1253" s="159"/>
    </row>
    <row r="1254" spans="1:9">
      <c r="A1254" s="159"/>
      <c r="B1254" s="159" t="s">
        <v>5669</v>
      </c>
      <c r="C1254" s="160" t="s">
        <v>6420</v>
      </c>
      <c r="D1254" s="159"/>
      <c r="E1254" s="159"/>
      <c r="F1254" s="159"/>
      <c r="G1254" s="159"/>
      <c r="H1254" s="159"/>
      <c r="I1254" s="159"/>
    </row>
    <row r="1255" spans="1:9">
      <c r="A1255" s="159"/>
      <c r="B1255" s="159" t="s">
        <v>5670</v>
      </c>
      <c r="C1255" s="122">
        <v>1</v>
      </c>
      <c r="D1255" s="159"/>
      <c r="E1255" s="159"/>
      <c r="F1255" s="159"/>
      <c r="G1255" s="159"/>
      <c r="H1255" s="159"/>
      <c r="I1255" s="159"/>
    </row>
    <row r="1256" spans="1:9" ht="14">
      <c r="A1256" s="159"/>
      <c r="B1256" s="159" t="s">
        <v>5668</v>
      </c>
      <c r="C1256" s="144" t="s">
        <v>6430</v>
      </c>
      <c r="D1256" s="159"/>
      <c r="E1256" s="159"/>
      <c r="F1256" s="159"/>
      <c r="G1256" s="159"/>
      <c r="H1256" s="159"/>
      <c r="I1256" s="159"/>
    </row>
    <row r="1257" spans="1:9">
      <c r="A1257" s="159"/>
      <c r="B1257" s="159"/>
      <c r="C1257" s="160"/>
      <c r="D1257" s="159"/>
      <c r="E1257" s="159"/>
      <c r="F1257" s="159"/>
      <c r="G1257" s="159"/>
      <c r="H1257" s="159"/>
      <c r="I1257" s="159"/>
    </row>
    <row r="1258" spans="1:9">
      <c r="A1258" s="159"/>
      <c r="B1258" s="110" t="s">
        <v>6800</v>
      </c>
      <c r="C1258" s="160"/>
      <c r="D1258" s="159"/>
      <c r="E1258" s="159"/>
      <c r="F1258" s="159"/>
      <c r="G1258" s="159"/>
      <c r="H1258" s="159"/>
      <c r="I1258" s="159"/>
    </row>
    <row r="1259" spans="1:9">
      <c r="A1259" s="159"/>
      <c r="B1259" s="160" t="s">
        <v>5669</v>
      </c>
      <c r="C1259" s="160" t="s">
        <v>6334</v>
      </c>
      <c r="D1259" s="159"/>
      <c r="E1259" s="159"/>
      <c r="F1259" s="159"/>
      <c r="G1259" s="159"/>
      <c r="H1259" s="159"/>
      <c r="I1259" s="159"/>
    </row>
    <row r="1260" spans="1:9">
      <c r="A1260" s="159"/>
      <c r="B1260" s="160" t="s">
        <v>5670</v>
      </c>
      <c r="C1260" s="122">
        <v>5</v>
      </c>
      <c r="D1260" s="159"/>
      <c r="E1260" s="159"/>
      <c r="F1260" s="159"/>
      <c r="G1260" s="159"/>
      <c r="H1260" s="159"/>
      <c r="I1260" s="159"/>
    </row>
    <row r="1261" spans="1:9">
      <c r="A1261" s="159"/>
      <c r="B1261" s="160" t="s">
        <v>5668</v>
      </c>
      <c r="C1261" s="101" t="s">
        <v>6338</v>
      </c>
      <c r="D1261" s="159"/>
      <c r="E1261" s="159"/>
      <c r="F1261" s="159"/>
      <c r="G1261" s="159"/>
      <c r="H1261" s="159"/>
      <c r="I1261" s="159"/>
    </row>
    <row r="1262" spans="1:9">
      <c r="A1262" s="159"/>
      <c r="B1262" s="160"/>
      <c r="C1262" s="101"/>
      <c r="D1262" s="159"/>
      <c r="E1262" s="159"/>
      <c r="F1262" s="159"/>
      <c r="G1262" s="159"/>
      <c r="H1262" s="159"/>
      <c r="I1262" s="159"/>
    </row>
    <row r="1263" spans="1:9">
      <c r="A1263" s="159"/>
      <c r="B1263" s="110" t="s">
        <v>6801</v>
      </c>
      <c r="C1263" s="101"/>
      <c r="D1263" s="159"/>
      <c r="E1263" s="159"/>
      <c r="F1263" s="159"/>
      <c r="G1263" s="159"/>
      <c r="H1263" s="159"/>
      <c r="I1263" s="159"/>
    </row>
    <row r="1264" spans="1:9">
      <c r="A1264" s="159"/>
      <c r="B1264" s="193" t="s">
        <v>5669</v>
      </c>
      <c r="C1264" s="193" t="s">
        <v>6526</v>
      </c>
      <c r="D1264" s="159"/>
      <c r="E1264" s="159"/>
      <c r="F1264" s="159"/>
      <c r="G1264" s="159"/>
      <c r="H1264" s="159"/>
      <c r="I1264" s="159"/>
    </row>
    <row r="1265" spans="1:9">
      <c r="A1265" s="159"/>
      <c r="B1265" s="193" t="s">
        <v>5670</v>
      </c>
      <c r="C1265" s="101"/>
      <c r="D1265" s="159"/>
      <c r="E1265" s="159"/>
      <c r="F1265" s="159"/>
      <c r="G1265" s="159"/>
      <c r="H1265" s="159"/>
      <c r="I1265" s="159"/>
    </row>
    <row r="1266" spans="1:9" ht="15">
      <c r="A1266" s="159"/>
      <c r="B1266" s="193" t="s">
        <v>5668</v>
      </c>
      <c r="C1266" s="151" t="s">
        <v>6802</v>
      </c>
      <c r="D1266" s="159"/>
      <c r="E1266" s="159"/>
      <c r="F1266" s="159"/>
      <c r="G1266" s="159"/>
      <c r="H1266" s="159"/>
      <c r="I1266" s="159"/>
    </row>
    <row r="1267" spans="1:9">
      <c r="A1267" s="159"/>
      <c r="B1267" s="160"/>
      <c r="C1267" s="160"/>
      <c r="D1267" s="159"/>
      <c r="E1267" s="159"/>
      <c r="F1267" s="159"/>
      <c r="G1267" s="159"/>
      <c r="H1267" s="159"/>
      <c r="I1267" s="159"/>
    </row>
    <row r="1268" spans="1:9">
      <c r="A1268" s="159" t="s">
        <v>6339</v>
      </c>
      <c r="B1268" s="110" t="s">
        <v>6335</v>
      </c>
      <c r="C1268" s="160"/>
      <c r="D1268" s="159"/>
      <c r="E1268" s="159"/>
      <c r="F1268" s="159"/>
      <c r="G1268" s="159"/>
      <c r="H1268" s="159"/>
      <c r="I1268" s="159"/>
    </row>
    <row r="1269" spans="1:9">
      <c r="A1269" s="159"/>
      <c r="B1269" s="160" t="s">
        <v>5669</v>
      </c>
      <c r="C1269" s="160" t="s">
        <v>6336</v>
      </c>
      <c r="D1269" s="159"/>
      <c r="E1269" s="159"/>
      <c r="F1269" s="159"/>
      <c r="G1269" s="159"/>
      <c r="H1269" s="159"/>
      <c r="I1269" s="159"/>
    </row>
    <row r="1270" spans="1:9">
      <c r="A1270" s="159"/>
      <c r="B1270" s="160" t="s">
        <v>5670</v>
      </c>
      <c r="C1270" s="122">
        <v>84</v>
      </c>
      <c r="D1270" s="159"/>
      <c r="E1270" s="159"/>
      <c r="F1270" s="159"/>
      <c r="G1270" s="159"/>
      <c r="H1270" s="159"/>
      <c r="I1270" s="159"/>
    </row>
    <row r="1271" spans="1:9">
      <c r="A1271" s="159"/>
      <c r="B1271" s="160" t="s">
        <v>5668</v>
      </c>
      <c r="C1271" s="101" t="s">
        <v>6337</v>
      </c>
      <c r="D1271" s="159"/>
      <c r="E1271" s="159"/>
      <c r="F1271" s="159"/>
      <c r="G1271" s="159"/>
      <c r="H1271" s="159"/>
      <c r="I1271" s="159"/>
    </row>
    <row r="1272" spans="1:9">
      <c r="A1272" s="159"/>
      <c r="B1272" s="160"/>
      <c r="C1272" s="160"/>
      <c r="D1272" s="159"/>
      <c r="E1272" s="159"/>
      <c r="F1272" s="159"/>
      <c r="G1272" s="159"/>
      <c r="H1272" s="159"/>
      <c r="I1272" s="159"/>
    </row>
    <row r="1273" spans="1:9">
      <c r="A1273" s="159"/>
      <c r="B1273" s="42" t="s">
        <v>6799</v>
      </c>
      <c r="C1273" s="160"/>
      <c r="D1273" s="159"/>
      <c r="E1273" s="159"/>
      <c r="F1273" s="159"/>
      <c r="G1273" s="159"/>
      <c r="H1273" s="159"/>
      <c r="I1273" s="159"/>
    </row>
    <row r="1274" spans="1:9">
      <c r="A1274" s="159"/>
      <c r="B1274" s="159" t="s">
        <v>5669</v>
      </c>
      <c r="C1274" s="160" t="s">
        <v>6053</v>
      </c>
      <c r="D1274" s="159"/>
      <c r="E1274" s="159"/>
      <c r="F1274" s="159"/>
      <c r="G1274" s="159"/>
      <c r="H1274" s="159"/>
      <c r="I1274" s="159"/>
    </row>
    <row r="1275" spans="1:9">
      <c r="A1275" s="159"/>
      <c r="B1275" s="159" t="s">
        <v>5670</v>
      </c>
      <c r="C1275" s="122">
        <v>53</v>
      </c>
      <c r="D1275" s="159"/>
      <c r="E1275" s="159"/>
      <c r="F1275" s="159"/>
      <c r="G1275" s="159"/>
      <c r="H1275" s="159"/>
      <c r="I1275" s="159"/>
    </row>
    <row r="1276" spans="1:9">
      <c r="A1276" s="159"/>
      <c r="B1276" s="159" t="s">
        <v>5668</v>
      </c>
      <c r="C1276" s="101" t="s">
        <v>6424</v>
      </c>
      <c r="D1276" s="159"/>
      <c r="E1276" s="159"/>
      <c r="F1276" s="159"/>
      <c r="G1276" s="159"/>
      <c r="H1276" s="159"/>
      <c r="I1276" s="159"/>
    </row>
    <row r="1277" spans="1:9">
      <c r="A1277" s="159"/>
      <c r="B1277" s="159"/>
      <c r="C1277" s="101"/>
      <c r="D1277" s="159"/>
      <c r="E1277" s="159"/>
      <c r="F1277" s="159"/>
      <c r="G1277" s="159"/>
      <c r="H1277" s="159"/>
      <c r="I1277" s="159"/>
    </row>
    <row r="1278" spans="1:9" ht="14">
      <c r="A1278" s="159"/>
      <c r="B1278" s="42" t="s">
        <v>6537</v>
      </c>
      <c r="C1278" s="144"/>
      <c r="D1278" s="159"/>
      <c r="E1278" s="159"/>
      <c r="F1278" s="159"/>
      <c r="G1278" s="159"/>
      <c r="H1278" s="159"/>
      <c r="I1278" s="159"/>
    </row>
    <row r="1279" spans="1:9">
      <c r="A1279" s="159"/>
      <c r="B1279" s="159" t="s">
        <v>5669</v>
      </c>
      <c r="C1279" s="159" t="s">
        <v>6561</v>
      </c>
      <c r="D1279" s="159"/>
      <c r="E1279" s="159"/>
      <c r="F1279" s="159"/>
      <c r="G1279" s="159"/>
      <c r="H1279" s="159"/>
      <c r="I1279" s="159"/>
    </row>
    <row r="1280" spans="1:9">
      <c r="A1280" s="159"/>
      <c r="B1280" s="159" t="s">
        <v>5670</v>
      </c>
      <c r="C1280" s="164">
        <v>35</v>
      </c>
      <c r="D1280" s="159"/>
      <c r="E1280" s="159"/>
      <c r="F1280" s="159"/>
      <c r="G1280" s="159"/>
      <c r="H1280" s="159"/>
      <c r="I1280" s="159"/>
    </row>
    <row r="1281" spans="1:9">
      <c r="A1281" s="159"/>
      <c r="B1281" s="159" t="s">
        <v>5668</v>
      </c>
      <c r="C1281" s="101" t="s">
        <v>6538</v>
      </c>
      <c r="D1281" s="159"/>
      <c r="E1281" s="159"/>
      <c r="F1281" s="159"/>
      <c r="G1281" s="159"/>
      <c r="H1281" s="159"/>
      <c r="I1281" s="159"/>
    </row>
    <row r="1282" spans="1:9">
      <c r="A1282" s="159"/>
      <c r="B1282" s="159" t="s">
        <v>4202</v>
      </c>
      <c r="C1282" s="159" t="s">
        <v>6579</v>
      </c>
      <c r="D1282" s="159"/>
      <c r="E1282" s="159"/>
      <c r="F1282" s="159"/>
      <c r="G1282" s="159"/>
      <c r="H1282" s="159"/>
      <c r="I1282" s="159"/>
    </row>
    <row r="1283" spans="1:9">
      <c r="C1283" s="160"/>
      <c r="D1283" s="159"/>
      <c r="E1283" s="159"/>
      <c r="F1283" s="159"/>
    </row>
    <row r="1284" spans="1:9">
      <c r="B1284" s="42" t="s">
        <v>6454</v>
      </c>
      <c r="C1284" s="160"/>
      <c r="D1284" s="159"/>
      <c r="E1284" s="159"/>
      <c r="F1284" s="159"/>
    </row>
    <row r="1285" spans="1:9">
      <c r="B1285" s="159" t="s">
        <v>5669</v>
      </c>
      <c r="C1285" s="160" t="s">
        <v>6455</v>
      </c>
      <c r="D1285" s="159"/>
      <c r="E1285" s="159"/>
      <c r="F1285" s="159"/>
    </row>
    <row r="1286" spans="1:9">
      <c r="B1286" s="159" t="s">
        <v>5670</v>
      </c>
      <c r="C1286" s="164">
        <v>12</v>
      </c>
      <c r="D1286" s="159"/>
      <c r="E1286" s="159"/>
      <c r="F1286" s="159"/>
    </row>
    <row r="1287" spans="1:9">
      <c r="B1287" s="159" t="s">
        <v>5668</v>
      </c>
      <c r="C1287" s="160" t="s">
        <v>6456</v>
      </c>
      <c r="D1287" s="159"/>
      <c r="E1287" s="159"/>
      <c r="F1287" s="159"/>
    </row>
    <row r="1288" spans="1:9">
      <c r="C1288" s="160"/>
      <c r="D1288" s="159"/>
      <c r="E1288" s="159"/>
      <c r="F1288" s="159"/>
    </row>
    <row r="1289" spans="1:9">
      <c r="B1289" s="42" t="s">
        <v>6449</v>
      </c>
      <c r="C1289" s="160"/>
      <c r="D1289" s="159"/>
      <c r="E1289" s="159"/>
      <c r="F1289" s="159"/>
    </row>
    <row r="1290" spans="1:9">
      <c r="B1290" s="159" t="s">
        <v>5669</v>
      </c>
      <c r="C1290" s="160" t="s">
        <v>6450</v>
      </c>
      <c r="D1290" s="159"/>
      <c r="E1290" s="159"/>
      <c r="F1290" s="159"/>
    </row>
    <row r="1291" spans="1:9">
      <c r="B1291" s="159" t="s">
        <v>5670</v>
      </c>
      <c r="C1291" s="164">
        <v>6</v>
      </c>
      <c r="D1291" s="159"/>
      <c r="E1291" s="159"/>
      <c r="F1291" s="159"/>
    </row>
    <row r="1292" spans="1:9">
      <c r="B1292" s="159" t="s">
        <v>5668</v>
      </c>
      <c r="C1292" s="109" t="s">
        <v>6451</v>
      </c>
    </row>
    <row r="1294" spans="1:9">
      <c r="B1294" s="110" t="s">
        <v>6500</v>
      </c>
      <c r="C1294" s="160"/>
      <c r="D1294" s="159"/>
      <c r="E1294" s="159"/>
      <c r="F1294" s="159"/>
    </row>
    <row r="1295" spans="1:9">
      <c r="B1295" s="160" t="s">
        <v>5669</v>
      </c>
      <c r="C1295" s="160" t="s">
        <v>6499</v>
      </c>
      <c r="D1295" s="159"/>
      <c r="E1295" s="159"/>
      <c r="F1295" s="159"/>
    </row>
    <row r="1296" spans="1:9">
      <c r="B1296" s="159" t="s">
        <v>5670</v>
      </c>
      <c r="C1296" s="197" t="s">
        <v>1</v>
      </c>
      <c r="D1296" s="159"/>
      <c r="E1296" s="159"/>
      <c r="F1296" s="159"/>
    </row>
    <row r="1297" spans="2:6" ht="14">
      <c r="B1297" s="159" t="s">
        <v>5668</v>
      </c>
      <c r="C1297" s="144" t="s">
        <v>6341</v>
      </c>
      <c r="D1297" s="159"/>
      <c r="E1297" s="159"/>
      <c r="F1297" s="159"/>
    </row>
    <row r="1298" spans="2:6">
      <c r="B1298" s="159"/>
      <c r="C1298" s="160"/>
      <c r="D1298" s="159"/>
      <c r="E1298" s="159"/>
      <c r="F1298" s="159"/>
    </row>
    <row r="1299" spans="2:6">
      <c r="B1299" s="42" t="s">
        <v>6522</v>
      </c>
    </row>
    <row r="1300" spans="2:6">
      <c r="B1300" s="159" t="s">
        <v>5669</v>
      </c>
      <c r="C1300" s="160" t="s">
        <v>6523</v>
      </c>
    </row>
    <row r="1301" spans="2:6">
      <c r="B1301" s="159" t="s">
        <v>5670</v>
      </c>
      <c r="C1301" s="122">
        <v>17</v>
      </c>
    </row>
    <row r="1302" spans="2:6" ht="15">
      <c r="B1302" s="159" t="s">
        <v>5668</v>
      </c>
      <c r="C1302" s="151" t="s">
        <v>6524</v>
      </c>
    </row>
    <row r="1304" spans="2:6">
      <c r="B1304" s="42" t="s">
        <v>6423</v>
      </c>
    </row>
    <row r="1305" spans="2:6">
      <c r="B1305" s="159" t="s">
        <v>5669</v>
      </c>
      <c r="C1305" s="160" t="s">
        <v>6421</v>
      </c>
    </row>
    <row r="1306" spans="2:6">
      <c r="B1306" s="159" t="s">
        <v>5670</v>
      </c>
      <c r="C1306" s="122">
        <v>0</v>
      </c>
    </row>
    <row r="1307" spans="2:6" ht="15">
      <c r="B1307" s="159" t="s">
        <v>5668</v>
      </c>
      <c r="C1307" s="44" t="s">
        <v>6422</v>
      </c>
    </row>
    <row r="1309" spans="2:6">
      <c r="B1309" s="42" t="s">
        <v>6796</v>
      </c>
    </row>
    <row r="1310" spans="2:6">
      <c r="B1310" s="108" t="s">
        <v>5669</v>
      </c>
      <c r="C1310" s="109" t="s">
        <v>6051</v>
      </c>
    </row>
    <row r="1311" spans="2:6">
      <c r="B1311" s="108" t="s">
        <v>5670</v>
      </c>
      <c r="C1311" s="122">
        <v>1</v>
      </c>
    </row>
    <row r="1312" spans="2:6" ht="15">
      <c r="B1312" s="108" t="s">
        <v>5668</v>
      </c>
      <c r="C1312" s="151" t="s">
        <v>6427</v>
      </c>
    </row>
    <row r="1314" spans="2:4">
      <c r="B1314" s="42" t="s">
        <v>6432</v>
      </c>
      <c r="C1314" s="160"/>
      <c r="D1314" s="159"/>
    </row>
    <row r="1315" spans="2:4">
      <c r="B1315" s="159" t="s">
        <v>5669</v>
      </c>
      <c r="C1315" s="160" t="s">
        <v>6420</v>
      </c>
      <c r="D1315" s="159"/>
    </row>
    <row r="1316" spans="2:4">
      <c r="B1316" s="159" t="s">
        <v>5670</v>
      </c>
      <c r="C1316" s="122">
        <v>0</v>
      </c>
      <c r="D1316" s="159"/>
    </row>
    <row r="1317" spans="2:4" ht="14">
      <c r="B1317" s="159" t="s">
        <v>5668</v>
      </c>
      <c r="C1317" s="144" t="s">
        <v>6419</v>
      </c>
      <c r="D1317" s="159"/>
    </row>
    <row r="1319" spans="2:4">
      <c r="B1319" s="42" t="s">
        <v>6431</v>
      </c>
    </row>
    <row r="1320" spans="2:4">
      <c r="B1320" s="159" t="s">
        <v>5669</v>
      </c>
      <c r="C1320" s="160" t="s">
        <v>6433</v>
      </c>
    </row>
    <row r="1321" spans="2:4">
      <c r="B1321" s="159" t="s">
        <v>5670</v>
      </c>
      <c r="C1321" s="197" t="s">
        <v>1</v>
      </c>
    </row>
    <row r="1322" spans="2:4" ht="15">
      <c r="B1322" s="159" t="s">
        <v>5668</v>
      </c>
      <c r="C1322" s="151" t="s">
        <v>6434</v>
      </c>
    </row>
    <row r="1324" spans="2:4">
      <c r="B1324" s="42" t="s">
        <v>6534</v>
      </c>
    </row>
    <row r="1325" spans="2:4">
      <c r="B1325" s="159" t="s">
        <v>5669</v>
      </c>
      <c r="C1325" s="160" t="s">
        <v>6535</v>
      </c>
    </row>
    <row r="1326" spans="2:4">
      <c r="B1326" s="159" t="s">
        <v>5670</v>
      </c>
      <c r="C1326" s="122">
        <v>30</v>
      </c>
    </row>
    <row r="1327" spans="2:4" ht="15">
      <c r="B1327" s="159" t="s">
        <v>5668</v>
      </c>
      <c r="C1327" s="151" t="s">
        <v>6536</v>
      </c>
    </row>
    <row r="1329" spans="1:6">
      <c r="A1329" s="382" t="s">
        <v>9540</v>
      </c>
      <c r="B1329" s="42" t="s">
        <v>9536</v>
      </c>
    </row>
    <row r="1330" spans="1:6">
      <c r="B1330" s="382" t="s">
        <v>5669</v>
      </c>
      <c r="C1330" s="384" t="s">
        <v>9537</v>
      </c>
    </row>
    <row r="1331" spans="1:6">
      <c r="B1331" s="382" t="s">
        <v>5670</v>
      </c>
    </row>
    <row r="1332" spans="1:6">
      <c r="B1332" s="382" t="s">
        <v>5668</v>
      </c>
      <c r="C1332" s="101" t="s">
        <v>9538</v>
      </c>
    </row>
    <row r="1334" spans="1:6">
      <c r="B1334" s="42" t="s">
        <v>7640</v>
      </c>
    </row>
    <row r="1335" spans="1:6">
      <c r="B1335" s="245" t="s">
        <v>5669</v>
      </c>
      <c r="C1335" s="246" t="s">
        <v>7641</v>
      </c>
    </row>
    <row r="1336" spans="1:6">
      <c r="B1336" s="245" t="s">
        <v>5670</v>
      </c>
      <c r="C1336" s="122">
        <v>2</v>
      </c>
    </row>
    <row r="1337" spans="1:6">
      <c r="B1337" s="245" t="s">
        <v>5668</v>
      </c>
      <c r="C1337" s="101" t="s">
        <v>7642</v>
      </c>
    </row>
    <row r="1339" spans="1:6">
      <c r="B1339" s="42" t="s">
        <v>6495</v>
      </c>
      <c r="C1339" s="160"/>
      <c r="D1339" s="159"/>
      <c r="E1339" s="159"/>
      <c r="F1339" s="159"/>
    </row>
    <row r="1340" spans="1:6">
      <c r="B1340" s="159" t="s">
        <v>5669</v>
      </c>
      <c r="C1340" s="160" t="s">
        <v>6497</v>
      </c>
      <c r="D1340" s="159"/>
      <c r="E1340" s="159"/>
      <c r="F1340" s="159"/>
    </row>
    <row r="1341" spans="1:6">
      <c r="B1341" s="159" t="s">
        <v>5670</v>
      </c>
      <c r="C1341" s="122">
        <v>11</v>
      </c>
      <c r="D1341" s="159"/>
      <c r="E1341" s="159"/>
      <c r="F1341" s="159"/>
    </row>
    <row r="1342" spans="1:6">
      <c r="B1342" s="159" t="s">
        <v>5668</v>
      </c>
      <c r="C1342" s="101" t="s">
        <v>6498</v>
      </c>
      <c r="D1342" s="159"/>
      <c r="E1342" s="159"/>
      <c r="F1342" s="159"/>
    </row>
    <row r="1343" spans="1:6">
      <c r="B1343" s="159"/>
      <c r="C1343" s="160"/>
      <c r="D1343" s="159"/>
      <c r="E1343" s="159"/>
      <c r="F1343" s="159"/>
    </row>
    <row r="1344" spans="1:6">
      <c r="A1344" s="108" t="s">
        <v>6340</v>
      </c>
      <c r="B1344" s="42" t="s">
        <v>6496</v>
      </c>
      <c r="C1344" s="160"/>
      <c r="D1344" s="159"/>
      <c r="E1344" s="159"/>
      <c r="F1344" s="159"/>
    </row>
    <row r="1345" spans="2:6">
      <c r="B1345" s="159" t="s">
        <v>5669</v>
      </c>
      <c r="C1345" s="160" t="s">
        <v>6332</v>
      </c>
      <c r="D1345" s="159"/>
      <c r="E1345" s="159"/>
      <c r="F1345" s="159"/>
    </row>
    <row r="1346" spans="2:6">
      <c r="B1346" s="159" t="s">
        <v>5670</v>
      </c>
      <c r="C1346" s="122">
        <v>3</v>
      </c>
      <c r="D1346" s="159"/>
      <c r="E1346" s="159"/>
      <c r="F1346" s="159"/>
    </row>
    <row r="1347" spans="2:6">
      <c r="B1347" s="159" t="s">
        <v>5668</v>
      </c>
      <c r="C1347" s="101" t="s">
        <v>6333</v>
      </c>
      <c r="D1347" s="159"/>
      <c r="E1347" s="159"/>
      <c r="F1347" s="159"/>
    </row>
    <row r="1348" spans="2:6">
      <c r="B1348" s="159" t="s">
        <v>4202</v>
      </c>
      <c r="C1348" s="160" t="s">
        <v>6348</v>
      </c>
      <c r="D1348" s="159"/>
      <c r="E1348" s="159"/>
      <c r="F1348" s="159"/>
    </row>
    <row r="1349" spans="2:6">
      <c r="B1349" s="159" t="s">
        <v>6159</v>
      </c>
      <c r="C1349" s="163">
        <v>45149</v>
      </c>
      <c r="D1349" s="159"/>
      <c r="E1349" s="159"/>
      <c r="F1349" s="159"/>
    </row>
    <row r="1350" spans="2:6">
      <c r="B1350" s="159"/>
      <c r="C1350" s="160"/>
      <c r="D1350" s="159"/>
      <c r="E1350" s="159"/>
      <c r="F1350" s="159"/>
    </row>
    <row r="1351" spans="2:6">
      <c r="B1351" s="42" t="s">
        <v>6501</v>
      </c>
      <c r="C1351" s="160"/>
      <c r="D1351" s="159"/>
      <c r="E1351" s="159"/>
      <c r="F1351" s="159"/>
    </row>
    <row r="1352" spans="2:6">
      <c r="B1352" s="159" t="s">
        <v>5669</v>
      </c>
      <c r="C1352" s="160" t="s">
        <v>6503</v>
      </c>
      <c r="D1352" s="159"/>
      <c r="E1352" s="159"/>
      <c r="F1352" s="159"/>
    </row>
    <row r="1353" spans="2:6">
      <c r="B1353" s="159" t="s">
        <v>5670</v>
      </c>
      <c r="C1353" s="122">
        <v>0</v>
      </c>
      <c r="D1353" s="159"/>
      <c r="E1353" s="159"/>
      <c r="F1353" s="159"/>
    </row>
    <row r="1354" spans="2:6">
      <c r="B1354" s="159" t="s">
        <v>5668</v>
      </c>
      <c r="C1354" s="101" t="s">
        <v>6502</v>
      </c>
      <c r="D1354" s="159"/>
      <c r="E1354" s="159"/>
      <c r="F1354" s="159"/>
    </row>
    <row r="1355" spans="2:6">
      <c r="B1355" s="159"/>
      <c r="C1355" s="160"/>
      <c r="D1355" s="159"/>
      <c r="E1355" s="159"/>
      <c r="F1355" s="159"/>
    </row>
    <row r="1356" spans="2:6">
      <c r="B1356" s="42" t="s">
        <v>9816</v>
      </c>
      <c r="C1356" s="160"/>
      <c r="D1356" s="159"/>
      <c r="E1356" s="159"/>
      <c r="F1356" s="159"/>
    </row>
    <row r="1357" spans="2:6">
      <c r="B1357" s="394" t="s">
        <v>5669</v>
      </c>
      <c r="C1357" s="406" t="s">
        <v>9817</v>
      </c>
      <c r="D1357" s="159"/>
      <c r="E1357" s="159"/>
      <c r="F1357" s="159"/>
    </row>
    <row r="1358" spans="2:6">
      <c r="B1358" s="394" t="s">
        <v>5670</v>
      </c>
      <c r="C1358" s="160"/>
      <c r="D1358" s="159"/>
      <c r="E1358" s="159"/>
      <c r="F1358" s="159"/>
    </row>
    <row r="1359" spans="2:6" ht="15">
      <c r="B1359" s="394" t="s">
        <v>5668</v>
      </c>
      <c r="C1359" s="151" t="s">
        <v>9818</v>
      </c>
      <c r="D1359" s="159"/>
      <c r="E1359" s="159"/>
      <c r="F1359" s="159"/>
    </row>
    <row r="1360" spans="2:6">
      <c r="B1360" s="159"/>
      <c r="C1360" s="160"/>
      <c r="D1360" s="159"/>
      <c r="E1360" s="159"/>
      <c r="F1360" s="159"/>
    </row>
    <row r="1361" spans="1:6">
      <c r="B1361" s="42" t="s">
        <v>9535</v>
      </c>
    </row>
    <row r="1362" spans="1:6">
      <c r="B1362" s="245" t="s">
        <v>5669</v>
      </c>
      <c r="C1362" s="246" t="s">
        <v>7568</v>
      </c>
    </row>
    <row r="1363" spans="1:6">
      <c r="B1363" s="245" t="s">
        <v>5670</v>
      </c>
    </row>
    <row r="1364" spans="1:6">
      <c r="B1364" s="245" t="s">
        <v>5668</v>
      </c>
      <c r="C1364" s="101" t="s">
        <v>7569</v>
      </c>
    </row>
    <row r="1366" spans="1:6">
      <c r="A1366" s="382" t="s">
        <v>9530</v>
      </c>
      <c r="B1366" s="42" t="s">
        <v>9527</v>
      </c>
      <c r="C1366" s="160"/>
      <c r="D1366" s="159"/>
      <c r="E1366" s="159"/>
      <c r="F1366" s="159"/>
    </row>
    <row r="1367" spans="1:6">
      <c r="B1367" s="382" t="s">
        <v>5669</v>
      </c>
      <c r="C1367" s="384" t="s">
        <v>9528</v>
      </c>
      <c r="D1367" s="159"/>
      <c r="E1367" s="159"/>
      <c r="F1367" s="159"/>
    </row>
    <row r="1368" spans="1:6">
      <c r="B1368" s="382" t="s">
        <v>5670</v>
      </c>
      <c r="C1368" s="160"/>
      <c r="D1368" s="159"/>
      <c r="E1368" s="159"/>
      <c r="F1368" s="159"/>
    </row>
    <row r="1369" spans="1:6">
      <c r="B1369" s="382" t="s">
        <v>5668</v>
      </c>
      <c r="C1369" s="160" t="s">
        <v>9529</v>
      </c>
      <c r="D1369" s="159"/>
      <c r="E1369" s="159"/>
      <c r="F1369" s="159"/>
    </row>
    <row r="1370" spans="1:6">
      <c r="B1370" s="159"/>
      <c r="C1370" s="160"/>
      <c r="D1370" s="159"/>
      <c r="E1370" s="159"/>
      <c r="F1370" s="159"/>
    </row>
    <row r="1371" spans="1:6">
      <c r="B1371" s="42" t="s">
        <v>9526</v>
      </c>
    </row>
    <row r="1372" spans="1:6">
      <c r="B1372" s="272" t="s">
        <v>5669</v>
      </c>
      <c r="C1372" s="278" t="s">
        <v>8126</v>
      </c>
    </row>
    <row r="1373" spans="1:6">
      <c r="B1373" s="272" t="s">
        <v>5670</v>
      </c>
    </row>
    <row r="1374" spans="1:6">
      <c r="B1374" s="272" t="s">
        <v>5668</v>
      </c>
      <c r="C1374" s="101" t="s">
        <v>8127</v>
      </c>
    </row>
    <row r="1376" spans="1:6">
      <c r="B1376" s="42" t="s">
        <v>9525</v>
      </c>
      <c r="C1376" s="160"/>
      <c r="D1376" s="159"/>
      <c r="E1376" s="159"/>
      <c r="F1376" s="159"/>
    </row>
    <row r="1377" spans="1:6">
      <c r="B1377" s="270" t="s">
        <v>5669</v>
      </c>
      <c r="C1377" s="271" t="s">
        <v>7975</v>
      </c>
      <c r="D1377" s="159"/>
      <c r="E1377" s="159"/>
      <c r="F1377" s="159"/>
    </row>
    <row r="1378" spans="1:6">
      <c r="B1378" s="270" t="s">
        <v>5670</v>
      </c>
      <c r="C1378" s="122">
        <v>0</v>
      </c>
      <c r="D1378" s="159"/>
      <c r="E1378" s="159"/>
      <c r="F1378" s="159"/>
    </row>
    <row r="1379" spans="1:6">
      <c r="B1379" s="270" t="s">
        <v>5668</v>
      </c>
      <c r="C1379" s="101" t="s">
        <v>7976</v>
      </c>
      <c r="D1379" s="159"/>
      <c r="E1379" s="159"/>
      <c r="F1379" s="159"/>
    </row>
    <row r="1380" spans="1:6">
      <c r="B1380" s="270" t="s">
        <v>4202</v>
      </c>
      <c r="C1380" s="271" t="s">
        <v>5664</v>
      </c>
      <c r="D1380" s="159"/>
      <c r="E1380" s="159"/>
      <c r="F1380" s="159"/>
    </row>
    <row r="1382" spans="1:6">
      <c r="B1382" s="42" t="s">
        <v>9524</v>
      </c>
    </row>
    <row r="1383" spans="1:6">
      <c r="B1383" s="272" t="s">
        <v>5669</v>
      </c>
      <c r="C1383" s="384" t="s">
        <v>9522</v>
      </c>
    </row>
    <row r="1384" spans="1:6">
      <c r="B1384" s="272" t="s">
        <v>5670</v>
      </c>
    </row>
    <row r="1385" spans="1:6">
      <c r="B1385" s="272" t="s">
        <v>5668</v>
      </c>
      <c r="C1385" s="101" t="s">
        <v>9523</v>
      </c>
    </row>
    <row r="1386" spans="1:6">
      <c r="B1386" s="382" t="s">
        <v>4202</v>
      </c>
    </row>
    <row r="1387" spans="1:6">
      <c r="B1387" s="382"/>
    </row>
    <row r="1388" spans="1:6">
      <c r="A1388" s="380"/>
      <c r="B1388" s="42" t="s">
        <v>9436</v>
      </c>
    </row>
    <row r="1389" spans="1:6">
      <c r="B1389" s="272" t="s">
        <v>5669</v>
      </c>
      <c r="C1389" s="384" t="s">
        <v>9514</v>
      </c>
    </row>
    <row r="1390" spans="1:6">
      <c r="B1390" s="272" t="s">
        <v>5670</v>
      </c>
    </row>
    <row r="1391" spans="1:6">
      <c r="B1391" s="272" t="s">
        <v>5668</v>
      </c>
      <c r="C1391" s="101" t="s">
        <v>9435</v>
      </c>
    </row>
    <row r="1392" spans="1:6">
      <c r="B1392" s="382" t="s">
        <v>4202</v>
      </c>
      <c r="C1392" s="384" t="s">
        <v>9521</v>
      </c>
    </row>
    <row r="1394" spans="2:3">
      <c r="B1394" s="42" t="s">
        <v>9494</v>
      </c>
    </row>
    <row r="1395" spans="2:3">
      <c r="B1395" s="382" t="s">
        <v>5669</v>
      </c>
      <c r="C1395" s="384" t="s">
        <v>9496</v>
      </c>
    </row>
    <row r="1396" spans="2:3">
      <c r="B1396" s="382" t="s">
        <v>5670</v>
      </c>
    </row>
    <row r="1397" spans="2:3">
      <c r="B1397" s="382" t="s">
        <v>5668</v>
      </c>
      <c r="C1397" s="101" t="s">
        <v>9495</v>
      </c>
    </row>
    <row r="1398" spans="2:3">
      <c r="B1398" s="382" t="s">
        <v>4202</v>
      </c>
      <c r="C1398" s="384" t="s">
        <v>9545</v>
      </c>
    </row>
    <row r="1400" spans="2:3">
      <c r="B1400" s="42" t="s">
        <v>9819</v>
      </c>
    </row>
    <row r="1401" spans="2:3">
      <c r="B1401" s="394" t="s">
        <v>5669</v>
      </c>
      <c r="C1401" s="406" t="s">
        <v>9820</v>
      </c>
    </row>
    <row r="1402" spans="2:3">
      <c r="B1402" s="394" t="s">
        <v>5670</v>
      </c>
      <c r="C1402" s="408"/>
    </row>
    <row r="1403" spans="2:3">
      <c r="B1403" s="394" t="s">
        <v>5668</v>
      </c>
      <c r="C1403" s="101" t="s">
        <v>9821</v>
      </c>
    </row>
    <row r="1404" spans="2:3">
      <c r="C1404" s="408"/>
    </row>
    <row r="1405" spans="2:3">
      <c r="C1405" s="408"/>
    </row>
    <row r="1406" spans="2:3">
      <c r="B1406" s="42" t="s">
        <v>9813</v>
      </c>
      <c r="C1406" s="408"/>
    </row>
    <row r="1407" spans="2:3">
      <c r="B1407" s="394" t="s">
        <v>5669</v>
      </c>
      <c r="C1407" s="408" t="s">
        <v>9814</v>
      </c>
    </row>
    <row r="1408" spans="2:3">
      <c r="B1408" s="394" t="s">
        <v>5670</v>
      </c>
      <c r="C1408" s="408"/>
    </row>
    <row r="1409" spans="2:3">
      <c r="B1409" s="394" t="s">
        <v>5668</v>
      </c>
      <c r="C1409" s="408"/>
    </row>
    <row r="1410" spans="2:3">
      <c r="B1410" s="394" t="s">
        <v>4202</v>
      </c>
      <c r="C1410" s="408"/>
    </row>
    <row r="1411" spans="2:3">
      <c r="C1411" s="408"/>
    </row>
    <row r="1412" spans="2:3">
      <c r="B1412" s="42" t="s">
        <v>9825</v>
      </c>
    </row>
    <row r="1413" spans="2:3">
      <c r="B1413" s="394" t="s">
        <v>5669</v>
      </c>
      <c r="C1413" s="406" t="s">
        <v>9827</v>
      </c>
    </row>
    <row r="1414" spans="2:3">
      <c r="B1414" s="394" t="s">
        <v>5670</v>
      </c>
      <c r="C1414" s="408"/>
    </row>
    <row r="1415" spans="2:3">
      <c r="B1415" s="394" t="s">
        <v>5668</v>
      </c>
      <c r="C1415" s="101" t="s">
        <v>9826</v>
      </c>
    </row>
    <row r="1416" spans="2:3">
      <c r="C1416" s="408"/>
    </row>
    <row r="1417" spans="2:3">
      <c r="B1417" s="42" t="s">
        <v>9830</v>
      </c>
      <c r="C1417" s="408"/>
    </row>
    <row r="1418" spans="2:3">
      <c r="B1418" s="407" t="s">
        <v>5669</v>
      </c>
      <c r="C1418" s="408" t="s">
        <v>9831</v>
      </c>
    </row>
    <row r="1419" spans="2:3">
      <c r="B1419" s="407" t="s">
        <v>5670</v>
      </c>
      <c r="C1419" s="408"/>
    </row>
    <row r="1420" spans="2:3">
      <c r="B1420" s="407" t="s">
        <v>5668</v>
      </c>
      <c r="C1420" s="408" t="s">
        <v>9832</v>
      </c>
    </row>
    <row r="1421" spans="2:3">
      <c r="C1421" s="408"/>
    </row>
  </sheetData>
  <hyperlinks>
    <hyperlink ref="A1" location="Main!A1" display="Main" xr:uid="{E842F38B-5DE4-E24B-BEAF-BDFBEBBEE4FE}"/>
    <hyperlink ref="C642" r:id="rId1" xr:uid="{B75F404B-6235-EC4F-B4CB-47F1D95CDD95}"/>
    <hyperlink ref="C724" r:id="rId2" xr:uid="{A96765DE-1CA0-FF43-9E3D-E6F3583423F1}"/>
    <hyperlink ref="C835" r:id="rId3" xr:uid="{97D9EB99-5E8D-0147-A720-B7B4A2CB8FB7}"/>
    <hyperlink ref="C779" r:id="rId4" xr:uid="{8160E1DD-EAC7-A94A-B1CD-CF0E6DD5FDC0}"/>
    <hyperlink ref="C553"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50" r:id="rId24" xr:uid="{64D9C310-A77D-D64B-A936-ABBD8230951C}"/>
    <hyperlink ref="C255" r:id="rId25" xr:uid="{97DA62D7-453B-5749-A28E-982D47ECABD6}"/>
    <hyperlink ref="C265" r:id="rId26" xr:uid="{A3106F92-9575-6749-B74E-46E6FB6EAFBB}"/>
    <hyperlink ref="C276" r:id="rId27" xr:uid="{9B4D9D80-1ABC-A546-923D-41B609CDA3F9}"/>
    <hyperlink ref="C302" r:id="rId28" xr:uid="{CA873526-34CA-E541-86CE-1B6475ADA85D}"/>
    <hyperlink ref="C307" r:id="rId29" xr:uid="{624C364F-59C4-744F-BD02-99D301C468A2}"/>
    <hyperlink ref="C312" r:id="rId30" xr:uid="{441A96A4-8C43-D049-A0AD-16158FFFE185}"/>
    <hyperlink ref="C332" r:id="rId31" xr:uid="{490DA465-0DCD-4E4B-94F5-631E9ADE0F3D}"/>
    <hyperlink ref="C347" r:id="rId32" xr:uid="{DB323438-D249-5A49-B731-2378BC9FA88E}"/>
    <hyperlink ref="C377" r:id="rId33" xr:uid="{74118A2A-EDC6-B74D-9779-622F05AD974E}"/>
    <hyperlink ref="C382" r:id="rId34" xr:uid="{C0754A95-0EDA-3F47-9998-BD644EA24E7E}"/>
    <hyperlink ref="C387" r:id="rId35" xr:uid="{234E3B29-1FB2-D145-B370-86FA4B7C7E10}"/>
    <hyperlink ref="C397" r:id="rId36" xr:uid="{107BD621-960A-004C-9E7C-DB7C80EF2543}"/>
    <hyperlink ref="C441" r:id="rId37" xr:uid="{F64A3319-9323-194C-911B-8AFDE0437185}"/>
    <hyperlink ref="C453" r:id="rId38" xr:uid="{64E00EB1-1578-554B-8D05-504C6536257A}"/>
    <hyperlink ref="C468" r:id="rId39" xr:uid="{151CB9DC-88A2-E84B-8E47-E5887DD69482}"/>
    <hyperlink ref="C473" r:id="rId40" xr:uid="{145A48B6-0C94-0C4D-9CB3-17002EF9F7C2}"/>
    <hyperlink ref="C478" r:id="rId41" xr:uid="{F9BD52B9-2FF8-4A4A-836F-A2F9EC890C8C}"/>
    <hyperlink ref="C483" r:id="rId42" xr:uid="{4AC01902-6873-8341-892F-A9F03DAC0CE1}"/>
    <hyperlink ref="C488" r:id="rId43" xr:uid="{CE408303-9F2B-BC4E-954E-D4E27A248A4C}"/>
    <hyperlink ref="C498" r:id="rId44" xr:uid="{B4B82F8B-77CB-EC49-9449-AF7D11C7D77A}"/>
    <hyperlink ref="C503" r:id="rId45" xr:uid="{6238C12B-3D0F-A247-A429-1BD98C1C999E}"/>
    <hyperlink ref="C508" r:id="rId46" xr:uid="{E8CF55BE-13BD-9448-8666-B8C5BF4315AD}"/>
    <hyperlink ref="C518" r:id="rId47" xr:uid="{07C2808B-0F71-4446-A5E7-3606CBAF8A60}"/>
    <hyperlink ref="C523" r:id="rId48" xr:uid="{87B97A29-9C24-B54B-B795-B305FC927103}"/>
    <hyperlink ref="C538" r:id="rId49" xr:uid="{E62E0618-EF10-C94C-9C18-0B341434295F}"/>
    <hyperlink ref="C587" r:id="rId50" xr:uid="{B9A8F326-BE8F-7348-B604-61F073E9C465}"/>
    <hyperlink ref="C592" r:id="rId51" xr:uid="{FABCD6E5-E5ED-F34E-B936-6F8623DD6A44}"/>
    <hyperlink ref="C649" r:id="rId52" xr:uid="{67BB5F40-92B8-7D45-8557-B58D5BA61AE8}"/>
    <hyperlink ref="C659" r:id="rId53" xr:uid="{55CA27B6-10BD-A043-A850-26A299DE8E0D}"/>
    <hyperlink ref="C463" r:id="rId54" xr:uid="{D12565CB-7450-9445-B520-EA7B0BF91F55}"/>
    <hyperlink ref="C612" r:id="rId55" xr:uid="{917EA985-93AC-0B48-898D-D402E3914EC2}"/>
    <hyperlink ref="C543" r:id="rId56" xr:uid="{4FD52FAC-536C-7F48-B970-915B92D1F5C1}"/>
    <hyperlink ref="C617" r:id="rId57" xr:uid="{4526F574-931F-6140-9B5C-6BBC4A8B81BB}"/>
    <hyperlink ref="C622" r:id="rId58" xr:uid="{A6430DA0-F65C-484F-88F8-BF763E4D1F91}"/>
    <hyperlink ref="C367" r:id="rId59" xr:uid="{3723AF2D-6B65-1E49-BC66-2B4923DFCD40}"/>
    <hyperlink ref="C581" r:id="rId60" xr:uid="{536FB5F1-D47B-ED49-862E-0121BBD8B45F}"/>
    <hyperlink ref="C582" r:id="rId61" xr:uid="{DA687346-3813-0B4E-A1D3-C2B3CFAB989F}"/>
    <hyperlink ref="C643" r:id="rId62" xr:uid="{1A13592D-1DA4-A646-A6FC-0B096797BBCD}"/>
    <hyperlink ref="C178" r:id="rId63" xr:uid="{291AB511-09AF-A644-B835-BE4CCBBC1715}"/>
    <hyperlink ref="C198" r:id="rId64" xr:uid="{DEA3FBE9-E6D4-2647-806E-CF3FB75D17AD}"/>
    <hyperlink ref="C1151" r:id="rId65" xr:uid="{E00505D5-F40E-4DBD-AB73-7F6F159AA4ED}"/>
    <hyperlink ref="C31" r:id="rId66" xr:uid="{89F08FFE-DE20-4AF2-A218-7743BED737C2}"/>
    <hyperlink ref="C77" r:id="rId67" xr:uid="{CA671E33-CF5A-4115-A427-35A362FCCD24}"/>
    <hyperlink ref="C327" r:id="rId68" xr:uid="{7024F25A-C120-43B5-ACA3-7F263295CF0C}"/>
    <hyperlink ref="C442" r:id="rId69" xr:uid="{EA8AC199-90F7-42FB-89BF-4DE6127D41D4}"/>
    <hyperlink ref="C443" r:id="rId70" xr:uid="{65AB148F-63E1-4735-8071-D70EAD1DA258}"/>
    <hyperlink ref="C260" r:id="rId71" xr:uid="{5A3C4F96-1629-48E0-9131-1BC5086704AF}"/>
    <hyperlink ref="C725" r:id="rId72" xr:uid="{6811CAE8-3DC0-491E-930C-2FBFC6DC667E}"/>
    <hyperlink ref="C431" r:id="rId73" xr:uid="{11488EAE-F7CE-4AEE-AA70-68A286350988}"/>
    <hyperlink ref="C458" r:id="rId74" xr:uid="{05604071-EB76-484B-A569-38D4F6A39C67}"/>
    <hyperlink ref="C342" r:id="rId75" xr:uid="{32FA19B3-4BD1-4921-891C-BFBEF07E18A5}"/>
    <hyperlink ref="C281" r:id="rId76" xr:uid="{ADADCFB8-1208-9744-962C-82C8A9A7377A}"/>
    <hyperlink ref="C282" r:id="rId77" xr:uid="{CBC4AD32-B586-1F4F-86F9-6A31D20D8381}"/>
    <hyperlink ref="C134" r:id="rId78" xr:uid="{639ED53F-F913-EC4D-9DB7-770CF9661CC0}"/>
    <hyperlink ref="C719" r:id="rId79" xr:uid="{223C24C1-8518-EE48-AC6A-288F7E1B83E0}"/>
    <hyperlink ref="C322" r:id="rId80" xr:uid="{DE7EC465-D657-4E41-A5CC-93D0BCA95324}"/>
    <hyperlink ref="C548" r:id="rId81" xr:uid="{ED366585-3A3D-7346-A65E-A9B3D02834A8}"/>
    <hyperlink ref="C448" r:id="rId82" xr:uid="{18654478-0D0C-8842-BE0E-437CBF8AFD77}"/>
    <hyperlink ref="C357" r:id="rId83" xr:uid="{CD1244A2-804C-B944-A1B0-0C69F62D6108}"/>
    <hyperlink ref="C411" r:id="rId84" xr:uid="{F1B57C5A-C8A9-A04F-AE55-4D347484E7EB}"/>
    <hyperlink ref="C426" r:id="rId85" xr:uid="{1F2FE78E-63B6-7C4E-BB5C-4EAB4AF77990}"/>
    <hyperlink ref="C208" r:id="rId86" xr:uid="{82C06C91-90FF-9F41-9336-936407792C93}"/>
    <hyperlink ref="C287" r:id="rId87" xr:uid="{DD1F29DF-462A-A742-BF7D-15BEAAB17914}"/>
    <hyperlink ref="C392" r:id="rId88" xr:uid="{C5BFB832-F8B6-BB43-9A0A-A8F8B5A11382}"/>
    <hyperlink ref="C352" r:id="rId89" xr:uid="{53AD7263-0A0D-054E-8CC6-76D5FEE38853}"/>
    <hyperlink ref="C124" r:id="rId90" xr:uid="{5E8CF3C7-A434-D442-B2AB-4A08239FE60F}"/>
    <hyperlink ref="C1347" r:id="rId91" xr:uid="{FD3A88B9-DCDA-DE46-823F-1C8C4FA63047}"/>
    <hyperlink ref="C1271" r:id="rId92" xr:uid="{6B8CE6ED-0CF5-274B-9202-E5DE0FDDF19F}"/>
    <hyperlink ref="C1261" r:id="rId93" xr:uid="{D4229FD7-D012-F445-BEAE-0E9830BBAE3C}"/>
    <hyperlink ref="C1297" r:id="rId94" xr:uid="{848943F4-B5B0-254B-8526-9B8024478CD4}"/>
    <hyperlink ref="C1091" r:id="rId95" xr:uid="{8364F52D-63E0-5D4D-AC64-F23BDC88A271}"/>
    <hyperlink ref="C1141" r:id="rId96" xr:uid="{F4579EE8-FBB1-994E-9CE0-694DA8BA1467}"/>
    <hyperlink ref="C1023" r:id="rId97" xr:uid="{A8315BA0-DA63-0447-A866-D629B6FF396D}"/>
    <hyperlink ref="C1221"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317" r:id="rId99" xr:uid="{459C5803-8A3E-0248-9040-073A526ADCB5}"/>
    <hyperlink ref="C1307" r:id="rId100" xr:uid="{6DBE0C48-C83E-3247-A142-2AD22FC2B571}"/>
    <hyperlink ref="C1276" r:id="rId101" xr:uid="{6346ED4F-C020-8F4F-9240-42870E4CC312}"/>
    <hyperlink ref="C1211" r:id="rId102" xr:uid="{B8CBDEC6-78EF-CC40-A230-504D56DF37EF}"/>
    <hyperlink ref="C1312" r:id="rId103" xr:uid="{D44B7B09-1E9E-F943-A454-FB76278C19A1}"/>
    <hyperlink ref="C1251" r:id="rId104" xr:uid="{3437F2CA-3229-3A41-A172-155769FA8B9B}"/>
    <hyperlink ref="C1256" r:id="rId105" xr:uid="{A07B1319-1110-104C-B6AC-BEB3D9CFB59B}"/>
    <hyperlink ref="C1322" r:id="rId106" xr:uid="{FBE0AFCB-98D4-F244-BF2A-52D26821FDA2}"/>
    <hyperlink ref="C699" r:id="rId107" xr:uid="{C1AB0838-840B-EB49-897B-672317863763}"/>
    <hyperlink ref="C1126" r:id="rId108" xr:uid="{5AC661D7-40AC-CD4A-B2CA-66D593B08369}"/>
    <hyperlink ref="C1161" r:id="rId109" xr:uid="{0F31D9BA-EBE8-764B-89B2-D7795DBE12B5}"/>
    <hyperlink ref="C1070" r:id="rId110" xr:uid="{A28D4F07-2086-8740-9EA9-F36012461027}"/>
    <hyperlink ref="C1156" r:id="rId111" xr:uid="{1BB8A6E5-880E-FC40-82F9-96418351263C}"/>
    <hyperlink ref="C1096" r:id="rId112" xr:uid="{4710B20A-B72D-014B-9C36-A29AAB374F99}"/>
    <hyperlink ref="C1060" r:id="rId113" xr:uid="{398C5A1B-5016-F841-96C3-A007F235A204}"/>
    <hyperlink ref="C1065" r:id="rId114" xr:uid="{D5EA6BA0-00E2-CA46-84B0-1BA2676A5577}"/>
    <hyperlink ref="C1040" r:id="rId115" xr:uid="{24B38ADB-2F1D-6041-8EFD-171C81721B89}"/>
    <hyperlink ref="C1003" r:id="rId116" xr:uid="{C48F5C24-6186-4B44-87F5-44704A9A47F8}"/>
    <hyperlink ref="C988" r:id="rId117" xr:uid="{ED91056C-FC46-8F4D-A37F-F4D146E21FB6}"/>
    <hyperlink ref="C1045" r:id="rId118" xr:uid="{E45377B3-F7CC-954F-ABBA-56BA64B5F00A}"/>
    <hyperlink ref="C1241" r:id="rId119" xr:uid="{4D488C27-ABC3-5C43-98D9-F258CEE285DD}"/>
    <hyperlink ref="C1136" r:id="rId120" xr:uid="{B49ECAEC-1371-4C44-842A-883BA8FD979B}"/>
    <hyperlink ref="C993" r:id="rId121" xr:uid="{B70D436A-91F9-7F4C-9FB5-97B56F762046}"/>
    <hyperlink ref="C1216" r:id="rId122" xr:uid="{3EA52B20-EB32-1F44-85BF-7ACA5503940A}"/>
    <hyperlink ref="C1342" r:id="rId123" xr:uid="{2BC94F57-CB8B-394C-81A2-FD1F5C5BB1ED}"/>
    <hyperlink ref="C1354" r:id="rId124" xr:uid="{94BD3665-0A67-9E47-9AB0-0105F746D88B}"/>
    <hyperlink ref="C1086" r:id="rId125" xr:uid="{687CDDCB-B9C2-244D-9919-61B2AF29A13C}"/>
    <hyperlink ref="C1226" r:id="rId126" xr:uid="{30B2DE27-E41B-C940-AE01-A926134BB4EE}"/>
    <hyperlink ref="C1116" r:id="rId127" xr:uid="{1CA3892F-EF26-8740-B4B4-62E365669BBE}"/>
    <hyperlink ref="C1236" r:id="rId128" xr:uid="{C117FE5E-2A01-2444-8D1F-35D90924DE9E}"/>
    <hyperlink ref="C1201" r:id="rId129" xr:uid="{F77B7F2B-2C51-944C-813A-B2DA6A20792E}"/>
    <hyperlink ref="C1302" r:id="rId130" xr:uid="{11C1F7AD-4FDB-744A-ABA8-B018C8906111}"/>
    <hyperlink ref="C932" r:id="rId131" xr:uid="{B15520CA-4185-CB4C-89B8-4D949917A183}"/>
    <hyperlink ref="C1131" r:id="rId132" xr:uid="{EA406DEA-E0ED-074A-91CB-C1203C307DFA}"/>
    <hyperlink ref="C1246" r:id="rId133" xr:uid="{E3A88A94-4F47-7E4E-ADA4-27E6BD39FD0A}"/>
    <hyperlink ref="C1231" r:id="rId134" xr:uid="{B3D732C6-5B85-9A41-9F8B-B7AAF3FDD9C6}"/>
    <hyperlink ref="C1327" r:id="rId135" xr:uid="{78DE8049-9434-2F4D-97B4-16015EC9530F}"/>
    <hyperlink ref="C1281"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146" r:id="rId141" xr:uid="{24BFF3F9-2387-524E-AB0E-5F470D6365C3}"/>
    <hyperlink ref="C971" r:id="rId142" xr:uid="{042FE013-CF2B-CE42-ABB4-15B99A6B9363}"/>
    <hyperlink ref="C886" r:id="rId143" xr:uid="{C1684F16-449C-1147-AFE0-A1C265DBB091}"/>
    <hyperlink ref="C998" r:id="rId144" xr:uid="{ED20EC49-23B8-7040-935C-3014A2B81E14}"/>
    <hyperlink ref="C983" r:id="rId145" xr:uid="{10CA8F4D-9ECF-A744-BECA-1685B1AB99D9}"/>
    <hyperlink ref="C1018" r:id="rId146" xr:uid="{4FC9E964-2E34-034F-A061-186E0686B89A}"/>
    <hyperlink ref="C1121" r:id="rId147" xr:uid="{58D2BF0D-7D35-0347-BA2F-F21DD26EF245}"/>
    <hyperlink ref="C1266" r:id="rId148" xr:uid="{A78F8154-E694-864F-80F7-8D6BEEECFF97}"/>
    <hyperlink ref="C749" r:id="rId149" xr:uid="{5DDCEA16-A553-6A43-87F3-5FC5F066C47D}"/>
    <hyperlink ref="C815" r:id="rId150" xr:uid="{6A0FADF9-9BD2-164D-94BA-365B731ADE49}"/>
    <hyperlink ref="C795" r:id="rId151" xr:uid="{978BA8F3-1444-3E4B-BE00-AE74D0D5582A}"/>
    <hyperlink ref="C891" r:id="rId152" xr:uid="{49888EEA-3B1A-0140-96C5-690251E6C5E0}"/>
    <hyperlink ref="C927" r:id="rId153" xr:uid="{4B7DC938-89CA-D24A-99A6-F056355AC28C}"/>
    <hyperlink ref="C292" r:id="rId154" xr:uid="{A6AB49EC-C853-8E43-AC83-13264131B9E6}"/>
    <hyperlink ref="C372" r:id="rId155" xr:uid="{0DA2D259-E8B9-1642-A6B7-BEDC6A3524D9}"/>
    <hyperlink ref="C317" r:id="rId156" xr:uid="{FF72C67F-6A07-6B4D-8F20-100981002352}"/>
    <hyperlink ref="C597" r:id="rId157" xr:uid="{B2708534-5303-0A41-B0B5-F1BF8F0A62C6}"/>
    <hyperlink ref="C218" r:id="rId158" xr:uid="{2592557F-D039-DF4A-973E-07004F899910}"/>
    <hyperlink ref="C769" r:id="rId159" xr:uid="{D7095D0E-BAD1-7845-8886-384C59ADE628}"/>
    <hyperlink ref="C493" r:id="rId160" xr:uid="{C104D5D3-358A-A346-B2CE-F0DC4B3C0C37}"/>
    <hyperlink ref="C800" r:id="rId161" xr:uid="{3645FC3D-7BEA-9848-83E1-6DE28178915F}"/>
    <hyperlink ref="C916" r:id="rId162" xr:uid="{DF09463B-3680-FF4D-A465-ABBFF7027DFE}"/>
    <hyperlink ref="C337" r:id="rId163" xr:uid="{86091610-67C0-404D-A113-CD46C571741F}"/>
    <hyperlink ref="C764" r:id="rId164" xr:uid="{35DFFD4B-DB5F-024A-A86F-D9D2B85A1B1B}"/>
    <hyperlink ref="C607" r:id="rId165" xr:uid="{A8C1EB7E-D523-1547-BAEC-05C75022D12E}"/>
    <hyperlink ref="C297" r:id="rId166" xr:uid="{93331A00-6AD9-F447-AA6B-695E4E0412F6}"/>
    <hyperlink ref="C911" r:id="rId167" xr:uid="{1ACD323B-BE15-0E47-925C-A7C1CB8C7A12}"/>
    <hyperlink ref="C679" r:id="rId168" xr:uid="{54BAA312-4125-524E-B162-272DC6185E93}"/>
    <hyperlink ref="C664" r:id="rId169" xr:uid="{139E0F7A-E67C-3146-8FB4-D6324881A5EC}"/>
    <hyperlink ref="C689" r:id="rId170" xr:uid="{FB3BA88C-004A-FA4B-84C5-B23AE7F0730D}"/>
    <hyperlink ref="C881" r:id="rId171" xr:uid="{81E8AA09-A7AD-884E-8F45-9AE7A9B7EE0E}"/>
    <hyperlink ref="C805" r:id="rId172" xr:uid="{4D7EF12A-A14C-D549-A845-E3C95D74EE11}"/>
    <hyperlink ref="C810" r:id="rId173" xr:uid="{F504FE09-1464-D642-9E72-8D3955B3BE57}"/>
    <hyperlink ref="C774" r:id="rId174" xr:uid="{213E5DD9-5109-7545-92D8-093C641EEA62}"/>
    <hyperlink ref="C602" r:id="rId175" xr:uid="{A8AAB371-7B3E-2E4C-A0FF-3CAEED3A7367}"/>
    <hyperlink ref="C533" r:id="rId176" xr:uid="{6A91C4FB-4827-4D4C-A306-775B7483DF4C}"/>
    <hyperlink ref="C421" r:id="rId177" xr:uid="{0A02BC9C-06D0-334D-BE77-EE87867E6EA8}"/>
    <hyperlink ref="C906" r:id="rId178" xr:uid="{D3D085BD-5467-3445-84DC-04A369C49760}"/>
    <hyperlink ref="C785" r:id="rId179" xr:uid="{AD674261-FA3C-074A-9606-0A06F0B54254}"/>
    <hyperlink ref="C694" r:id="rId180" xr:uid="{7B790A06-4D85-074B-8F33-E36B2FAB398A}"/>
    <hyperlink ref="C362" r:id="rId181" xr:uid="{8E27422B-ECA1-1942-8061-1FC69A4A4795}"/>
    <hyperlink ref="C684" r:id="rId182" xr:uid="{F6B7FF9C-CB7B-AA47-91EF-B8B5CB597BE9}"/>
    <hyperlink ref="C513" r:id="rId183" xr:uid="{999F5062-5B85-1946-93B9-71B27DBDEF33}"/>
    <hyperlink ref="C790" r:id="rId184" xr:uid="{79577B2F-7DC5-7D4F-A3DB-D2B7FC73D409}"/>
    <hyperlink ref="C866" r:id="rId185" xr:uid="{7CD16CBE-4073-3D4D-B26F-86C1312ECD81}"/>
    <hyperlink ref="C861" r:id="rId186" xr:uid="{06DFC529-20F3-0C47-9A6B-C1F5BF084E7A}"/>
    <hyperlink ref="C871" r:id="rId187" xr:uid="{24F1F46F-FB9A-A04D-AC97-927B36BD78F6}"/>
    <hyperlink ref="C83" r:id="rId188" xr:uid="{9AD10541-9D41-4F4B-96CE-1C01C9E69EEE}"/>
    <hyperlink ref="C65" r:id="rId189" xr:uid="{217D77AF-1E78-470D-A0E7-3A03600EE61B}"/>
    <hyperlink ref="C72" r:id="rId190" xr:uid="{76BEEA39-1E29-45B1-B52D-CECEB31AAA62}"/>
    <hyperlink ref="C669" r:id="rId191" xr:uid="{CBD53DDD-37B9-8E4B-A139-AF94D73CEA3F}"/>
    <hyperlink ref="C1364" r:id="rId192" xr:uid="{37A8F447-6BC7-1945-BA30-5FD11C3EF162}"/>
    <hyperlink ref="C1337" r:id="rId193" xr:uid="{91FCD7EE-B584-2445-8438-4B264AF527FF}"/>
    <hyperlink ref="C1075" r:id="rId194" xr:uid="{E7E029FA-E246-DC45-9423-FE9C219B9FF6}"/>
    <hyperlink ref="C1034" r:id="rId195" xr:uid="{94C5AB1E-C5BD-8E4B-8051-235C18C32950}"/>
    <hyperlink ref="C1081" r:id="rId196" xr:uid="{A8419877-C611-8D4A-BBAC-0DCB61AD2E04}"/>
    <hyperlink ref="C820" r:id="rId197" xr:uid="{2895A439-8BD3-6941-BFBF-4E4D73315913}"/>
    <hyperlink ref="C876" r:id="rId198" xr:uid="{12424E96-7C3A-1F45-90F4-6972A8D53CC7}"/>
    <hyperlink ref="C1379" r:id="rId199" xr:uid="{2A88F843-EE3B-448D-8DD1-4AE71F7DEF7A}"/>
    <hyperlink ref="C1101" r:id="rId200" xr:uid="{D92504A6-7841-A447-B0C7-89094F91D2BD}"/>
    <hyperlink ref="C1171" r:id="rId201" xr:uid="{CEC1ED5B-0285-874F-B9CD-BF23E1D72CE6}"/>
    <hyperlink ref="C1374" r:id="rId202" xr:uid="{B582ECA0-462A-AD47-9572-1216679AB03C}"/>
    <hyperlink ref="C1391" r:id="rId203" xr:uid="{CD014168-9752-4842-9AF0-00EDAC4BFEFF}"/>
    <hyperlink ref="C976" r:id="rId204" xr:uid="{AF9F50D5-65B3-154F-95A8-2A09E00B907E}"/>
    <hyperlink ref="C674" r:id="rId205" xr:uid="{47CBECC9-83B1-254A-8417-84BA7966A077}"/>
    <hyperlink ref="C921" r:id="rId206" xr:uid="{8ED097C3-28CB-4C42-857C-607721DA02CB}"/>
    <hyperlink ref="C754" r:id="rId207" xr:uid="{A8023D5D-75F7-074D-9FC7-5E7D9CD5922F}"/>
    <hyperlink ref="C759" r:id="rId208" xr:uid="{EA330794-966E-9D4D-8792-5F50FD7AFCB1}"/>
    <hyperlink ref="C947" r:id="rId209" xr:uid="{B016AB63-CD97-2744-9581-E2948EF08A4B}"/>
    <hyperlink ref="C1397" r:id="rId210" xr:uid="{EFECEAEC-8A63-B143-825D-0B3C26492365}"/>
    <hyperlink ref="C1181" r:id="rId211" xr:uid="{62AF07AF-ED89-9B4D-8E30-1F017BF6D15A}"/>
    <hyperlink ref="C1385" r:id="rId212" xr:uid="{78FFC3C9-FA7D-F346-8386-17511B4ECCAD}"/>
    <hyperlink ref="C1191" r:id="rId213" xr:uid="{FC069C9F-E2B5-A247-BB83-2739EC749BFC}"/>
    <hyperlink ref="C1332" r:id="rId214" xr:uid="{D099E65E-E9AA-024A-85E0-102AFA37AEB2}"/>
    <hyperlink ref="C1206" r:id="rId215" xr:uid="{4EE7C65F-4AB2-8946-AFB0-A803767D01CE}"/>
    <hyperlink ref="C830" r:id="rId216" xr:uid="{DB7E90D6-DCD8-1242-902A-86D613E06DDC}"/>
    <hyperlink ref="C744" r:id="rId217" xr:uid="{1766A53C-8283-0746-A8CB-46F6D2A7EDDF}"/>
    <hyperlink ref="C952" r:id="rId218" xr:uid="{DE7E4991-DA42-7A4F-BE50-816DC25C818F}"/>
    <hyperlink ref="C962" r:id="rId219" xr:uid="{7FED1C18-28F2-6442-AF8A-47241D210D60}"/>
    <hyperlink ref="C896" r:id="rId220" xr:uid="{79E366AC-2ADD-B242-9B51-7AF6CA2D5793}"/>
    <hyperlink ref="C966" r:id="rId221" xr:uid="{A457C371-AA1D-9B4E-8F17-D0A7DC71B922}"/>
    <hyperlink ref="C1359" r:id="rId222" xr:uid="{F7732B80-EF95-DB49-B728-7D897F0336AC}"/>
    <hyperlink ref="C1403" r:id="rId223" xr:uid="{D05CF79B-F27D-3749-B753-365BCFBB22F0}"/>
    <hyperlink ref="C1196" r:id="rId224" xr:uid="{186888D9-4AF9-A540-875E-716BAC5572AF}"/>
    <hyperlink ref="C1415" r:id="rId225" xr:uid="{8461FF6B-1527-2445-8971-27D338D2AF09}"/>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C737F-B895-419B-BE90-4273A91F1E46}">
  <dimension ref="A1:G2688"/>
  <sheetViews>
    <sheetView tabSelected="1" zoomScale="150" zoomScaleNormal="150" workbookViewId="0">
      <pane xSplit="2" ySplit="2" topLeftCell="C2652" activePane="bottomRight" state="frozen"/>
      <selection pane="topRight" activeCell="C1" sqref="C1"/>
      <selection pane="bottomLeft" activeCell="A3" sqref="A3"/>
      <selection pane="bottomRight" activeCell="C2672" sqref="C2672"/>
    </sheetView>
  </sheetViews>
  <sheetFormatPr baseColWidth="10" defaultColWidth="9" defaultRowHeight="13"/>
  <cols>
    <col min="1" max="1" width="4.33203125" style="410" bestFit="1" customWidth="1"/>
    <col min="2" max="2" width="6.33203125" style="410" customWidth="1"/>
    <col min="3" max="3" width="6.83203125" style="411" customWidth="1"/>
    <col min="4" max="4" width="9" style="411"/>
    <col min="5" max="5" width="21.6640625" style="410" customWidth="1"/>
    <col min="6" max="6" width="3.1640625" style="410" customWidth="1"/>
    <col min="7" max="16384" width="9" style="410"/>
  </cols>
  <sheetData>
    <row r="1" spans="1:7">
      <c r="A1" s="25" t="s">
        <v>1165</v>
      </c>
    </row>
    <row r="2" spans="1:7">
      <c r="B2" s="410" t="s">
        <v>9835</v>
      </c>
      <c r="C2" s="411" t="s">
        <v>9837</v>
      </c>
      <c r="D2" s="411" t="s">
        <v>1156</v>
      </c>
      <c r="E2" s="410" t="s">
        <v>6562</v>
      </c>
      <c r="F2" s="410" t="s">
        <v>10058</v>
      </c>
      <c r="G2" s="410" t="s">
        <v>6999</v>
      </c>
    </row>
    <row r="3" spans="1:7">
      <c r="B3" s="426">
        <v>2406</v>
      </c>
      <c r="C3" s="411">
        <v>5132</v>
      </c>
      <c r="D3" s="412">
        <v>45453</v>
      </c>
      <c r="E3" s="424" t="s">
        <v>12374</v>
      </c>
    </row>
    <row r="4" spans="1:7">
      <c r="B4" s="426">
        <v>2406</v>
      </c>
      <c r="C4" s="411">
        <v>5131</v>
      </c>
      <c r="D4" s="412">
        <v>45453</v>
      </c>
      <c r="E4" s="424" t="s">
        <v>12375</v>
      </c>
    </row>
    <row r="5" spans="1:7">
      <c r="B5" s="426">
        <v>2406</v>
      </c>
      <c r="C5" s="411">
        <v>5130</v>
      </c>
      <c r="D5" s="412">
        <v>45453</v>
      </c>
      <c r="E5" s="424" t="s">
        <v>12376</v>
      </c>
    </row>
    <row r="6" spans="1:7">
      <c r="B6" s="426">
        <v>2406</v>
      </c>
      <c r="C6" s="411">
        <v>5128</v>
      </c>
      <c r="D6" s="412">
        <v>45453</v>
      </c>
      <c r="E6" s="424" t="s">
        <v>12377</v>
      </c>
    </row>
    <row r="7" spans="1:7">
      <c r="B7" s="426">
        <v>2406</v>
      </c>
      <c r="C7" s="411">
        <v>5127</v>
      </c>
      <c r="D7" s="412">
        <v>45453</v>
      </c>
      <c r="E7" s="424" t="s">
        <v>12378</v>
      </c>
    </row>
    <row r="8" spans="1:7">
      <c r="B8" s="426">
        <v>2406</v>
      </c>
      <c r="C8" s="411">
        <v>5121</v>
      </c>
      <c r="D8" s="412">
        <v>45453</v>
      </c>
      <c r="E8" s="424" t="s">
        <v>12379</v>
      </c>
    </row>
    <row r="9" spans="1:7">
      <c r="B9" s="426">
        <v>2406</v>
      </c>
      <c r="C9" s="411">
        <v>5120</v>
      </c>
      <c r="D9" s="412">
        <v>45453</v>
      </c>
      <c r="E9" s="424" t="s">
        <v>12380</v>
      </c>
    </row>
    <row r="10" spans="1:7">
      <c r="B10" s="426">
        <v>2406</v>
      </c>
      <c r="C10" s="411">
        <v>5119</v>
      </c>
      <c r="D10" s="412">
        <v>45453</v>
      </c>
      <c r="E10" s="424" t="s">
        <v>12381</v>
      </c>
    </row>
    <row r="11" spans="1:7">
      <c r="B11" s="426">
        <v>2406</v>
      </c>
      <c r="C11" s="411">
        <v>5114</v>
      </c>
      <c r="D11" s="412">
        <v>45453</v>
      </c>
      <c r="E11" s="424" t="s">
        <v>12382</v>
      </c>
    </row>
    <row r="12" spans="1:7">
      <c r="B12" s="426">
        <v>2406</v>
      </c>
      <c r="C12" s="411">
        <v>5113</v>
      </c>
      <c r="D12" s="412">
        <v>45453</v>
      </c>
      <c r="E12" s="424" t="s">
        <v>12383</v>
      </c>
    </row>
    <row r="13" spans="1:7">
      <c r="B13" s="426">
        <v>2406</v>
      </c>
      <c r="C13" s="411">
        <v>5111</v>
      </c>
      <c r="D13" s="412">
        <v>45453</v>
      </c>
      <c r="E13" s="424" t="s">
        <v>12384</v>
      </c>
    </row>
    <row r="14" spans="1:7">
      <c r="B14" s="426">
        <v>2406</v>
      </c>
      <c r="C14" s="411">
        <v>5109</v>
      </c>
      <c r="D14" s="412">
        <v>45453</v>
      </c>
      <c r="E14" s="424" t="s">
        <v>12385</v>
      </c>
    </row>
    <row r="15" spans="1:7">
      <c r="B15" s="426">
        <v>2406</v>
      </c>
      <c r="C15" s="411">
        <v>5108</v>
      </c>
      <c r="D15" s="412">
        <v>45453</v>
      </c>
      <c r="E15" s="424" t="s">
        <v>12386</v>
      </c>
    </row>
    <row r="16" spans="1:7">
      <c r="B16" s="426">
        <v>2406</v>
      </c>
      <c r="C16" s="411">
        <v>5107</v>
      </c>
      <c r="D16" s="412">
        <v>45453</v>
      </c>
      <c r="E16" s="430" t="s">
        <v>12387</v>
      </c>
    </row>
    <row r="17" spans="2:5">
      <c r="B17" s="426">
        <v>2406</v>
      </c>
      <c r="C17" s="411">
        <v>5096</v>
      </c>
      <c r="D17" s="412">
        <v>45453</v>
      </c>
      <c r="E17" s="424" t="s">
        <v>12388</v>
      </c>
    </row>
    <row r="18" spans="2:5">
      <c r="B18" s="426">
        <v>2406</v>
      </c>
      <c r="C18" s="411">
        <v>5090</v>
      </c>
      <c r="D18" s="412">
        <v>45453</v>
      </c>
      <c r="E18" s="424" t="s">
        <v>12395</v>
      </c>
    </row>
    <row r="19" spans="2:5">
      <c r="B19" s="426">
        <v>2406</v>
      </c>
      <c r="C19" s="411">
        <v>5088</v>
      </c>
      <c r="D19" s="412">
        <v>45453</v>
      </c>
      <c r="E19" s="424" t="s">
        <v>12396</v>
      </c>
    </row>
    <row r="20" spans="2:5">
      <c r="B20" s="426">
        <v>2406</v>
      </c>
      <c r="C20" s="411">
        <v>5087</v>
      </c>
      <c r="D20" s="412">
        <v>45453</v>
      </c>
      <c r="E20" s="424" t="s">
        <v>12397</v>
      </c>
    </row>
    <row r="21" spans="2:5">
      <c r="B21" s="426">
        <v>2406</v>
      </c>
      <c r="C21" s="411">
        <v>5086</v>
      </c>
      <c r="D21" s="412">
        <v>45453</v>
      </c>
      <c r="E21" s="424" t="s">
        <v>12398</v>
      </c>
    </row>
    <row r="22" spans="2:5">
      <c r="B22" s="426">
        <v>2406</v>
      </c>
      <c r="C22" s="411">
        <v>5085</v>
      </c>
      <c r="D22" s="412">
        <v>45453</v>
      </c>
      <c r="E22" s="424" t="s">
        <v>12400</v>
      </c>
    </row>
    <row r="23" spans="2:5">
      <c r="B23" s="426">
        <v>2406</v>
      </c>
      <c r="C23" s="411">
        <v>5082</v>
      </c>
      <c r="D23" s="412">
        <v>45453</v>
      </c>
      <c r="E23" s="424" t="s">
        <v>12401</v>
      </c>
    </row>
    <row r="24" spans="2:5">
      <c r="B24" s="426">
        <v>2406</v>
      </c>
      <c r="C24" s="411">
        <v>5080</v>
      </c>
      <c r="D24" s="412">
        <v>45453</v>
      </c>
      <c r="E24" s="424" t="s">
        <v>12403</v>
      </c>
    </row>
    <row r="25" spans="2:5">
      <c r="B25" s="426">
        <v>2406</v>
      </c>
      <c r="C25" s="411">
        <v>5079</v>
      </c>
      <c r="D25" s="412">
        <v>45453</v>
      </c>
      <c r="E25" s="424" t="s">
        <v>12404</v>
      </c>
    </row>
    <row r="26" spans="2:5">
      <c r="B26" s="426">
        <v>2406</v>
      </c>
      <c r="C26" s="411">
        <v>5075</v>
      </c>
      <c r="D26" s="412">
        <v>45453</v>
      </c>
      <c r="E26" s="424" t="s">
        <v>12406</v>
      </c>
    </row>
    <row r="27" spans="2:5">
      <c r="B27" s="426">
        <v>2406</v>
      </c>
      <c r="C27" s="411">
        <v>5074</v>
      </c>
      <c r="D27" s="412">
        <v>45453</v>
      </c>
      <c r="E27" s="424" t="s">
        <v>12407</v>
      </c>
    </row>
    <row r="28" spans="2:5">
      <c r="B28" s="426">
        <v>2406</v>
      </c>
      <c r="C28" s="411">
        <v>5072</v>
      </c>
      <c r="D28" s="412">
        <v>45453</v>
      </c>
      <c r="E28" s="424" t="s">
        <v>12408</v>
      </c>
    </row>
    <row r="29" spans="2:5">
      <c r="B29" s="426">
        <v>2406</v>
      </c>
      <c r="C29" s="411">
        <v>5071</v>
      </c>
      <c r="D29" s="412">
        <v>45453</v>
      </c>
      <c r="E29" s="424" t="s">
        <v>12409</v>
      </c>
    </row>
    <row r="30" spans="2:5">
      <c r="B30" s="426">
        <v>2406</v>
      </c>
      <c r="C30" s="411">
        <v>5068</v>
      </c>
      <c r="D30" s="412">
        <v>45453</v>
      </c>
      <c r="E30" s="424" t="s">
        <v>12410</v>
      </c>
    </row>
    <row r="31" spans="2:5">
      <c r="B31" s="426">
        <v>2406</v>
      </c>
      <c r="C31" s="411">
        <v>5064</v>
      </c>
      <c r="D31" s="412">
        <v>45453</v>
      </c>
      <c r="E31" s="424" t="s">
        <v>12411</v>
      </c>
    </row>
    <row r="32" spans="2:5">
      <c r="B32" s="426">
        <v>2406</v>
      </c>
      <c r="C32" s="411">
        <v>5063</v>
      </c>
      <c r="D32" s="412">
        <v>45453</v>
      </c>
      <c r="E32" s="424" t="s">
        <v>12412</v>
      </c>
    </row>
    <row r="33" spans="2:5">
      <c r="B33" s="426">
        <v>2406</v>
      </c>
      <c r="C33" s="411">
        <v>5059</v>
      </c>
      <c r="D33" s="412">
        <v>45453</v>
      </c>
      <c r="E33" s="424" t="s">
        <v>12413</v>
      </c>
    </row>
    <row r="34" spans="2:5">
      <c r="B34" s="426">
        <v>2406</v>
      </c>
      <c r="C34" s="411">
        <v>5055</v>
      </c>
      <c r="D34" s="412">
        <v>45453</v>
      </c>
      <c r="E34" s="424" t="s">
        <v>12415</v>
      </c>
    </row>
    <row r="35" spans="2:5">
      <c r="B35" s="426">
        <v>2406</v>
      </c>
      <c r="C35" s="411">
        <v>5054</v>
      </c>
      <c r="D35" s="412">
        <v>45453</v>
      </c>
      <c r="E35" s="424" t="s">
        <v>12416</v>
      </c>
    </row>
    <row r="36" spans="2:5">
      <c r="B36" s="426">
        <v>2406</v>
      </c>
      <c r="C36" s="411">
        <v>5053</v>
      </c>
      <c r="D36" s="412">
        <v>45453</v>
      </c>
      <c r="E36" s="424" t="s">
        <v>12417</v>
      </c>
    </row>
    <row r="37" spans="2:5">
      <c r="B37" s="426">
        <v>2406</v>
      </c>
      <c r="C37" s="411">
        <v>5045</v>
      </c>
      <c r="D37" s="412">
        <v>45453</v>
      </c>
      <c r="E37" s="424" t="s">
        <v>12418</v>
      </c>
    </row>
    <row r="38" spans="2:5">
      <c r="B38" s="426">
        <v>2406</v>
      </c>
      <c r="C38" s="411">
        <v>5040</v>
      </c>
      <c r="D38" s="412">
        <v>45453</v>
      </c>
      <c r="E38" s="424" t="s">
        <v>12414</v>
      </c>
    </row>
    <row r="39" spans="2:5">
      <c r="B39" s="426">
        <v>2406</v>
      </c>
      <c r="C39" s="411">
        <v>5039</v>
      </c>
      <c r="D39" s="412">
        <v>45453</v>
      </c>
      <c r="E39" s="424" t="s">
        <v>12422</v>
      </c>
    </row>
    <row r="40" spans="2:5">
      <c r="B40" s="426">
        <v>2406</v>
      </c>
      <c r="C40" s="411">
        <v>5038</v>
      </c>
      <c r="D40" s="412">
        <v>45453</v>
      </c>
      <c r="E40" s="424" t="s">
        <v>12424</v>
      </c>
    </row>
    <row r="41" spans="2:5">
      <c r="B41" s="426">
        <v>2406</v>
      </c>
      <c r="C41" s="411">
        <v>5036</v>
      </c>
      <c r="D41" s="412">
        <v>45453</v>
      </c>
      <c r="E41" s="424" t="s">
        <v>12425</v>
      </c>
    </row>
    <row r="42" spans="2:5">
      <c r="B42" s="426">
        <v>2406</v>
      </c>
      <c r="C42" s="411">
        <v>5035</v>
      </c>
      <c r="D42" s="412">
        <v>45453</v>
      </c>
      <c r="E42" s="424" t="s">
        <v>12426</v>
      </c>
    </row>
    <row r="43" spans="2:5">
      <c r="B43" s="426">
        <v>2406</v>
      </c>
      <c r="C43" s="411">
        <v>5033</v>
      </c>
      <c r="D43" s="412">
        <v>45453</v>
      </c>
      <c r="E43" s="424" t="s">
        <v>12427</v>
      </c>
    </row>
    <row r="44" spans="2:5">
      <c r="B44" s="426">
        <v>2406</v>
      </c>
      <c r="C44" s="411">
        <v>5027</v>
      </c>
      <c r="D44" s="412">
        <v>45453</v>
      </c>
      <c r="E44" s="424" t="s">
        <v>12429</v>
      </c>
    </row>
    <row r="45" spans="2:5">
      <c r="B45" s="426">
        <v>2406</v>
      </c>
      <c r="C45" s="411">
        <v>5026</v>
      </c>
      <c r="D45" s="412">
        <v>45453</v>
      </c>
      <c r="E45" s="424" t="s">
        <v>12430</v>
      </c>
    </row>
    <row r="46" spans="2:5">
      <c r="B46" s="426">
        <v>2406</v>
      </c>
      <c r="C46" s="411">
        <v>5023</v>
      </c>
      <c r="D46" s="412">
        <v>45453</v>
      </c>
      <c r="E46" s="424" t="s">
        <v>12431</v>
      </c>
    </row>
    <row r="47" spans="2:5">
      <c r="B47" s="426">
        <v>2406</v>
      </c>
      <c r="C47" s="411">
        <v>5020</v>
      </c>
      <c r="D47" s="412">
        <v>45453</v>
      </c>
      <c r="E47" s="424" t="s">
        <v>12433</v>
      </c>
    </row>
    <row r="48" spans="2:5">
      <c r="B48" s="426">
        <v>2406</v>
      </c>
      <c r="C48" s="411">
        <v>5013</v>
      </c>
      <c r="D48" s="412">
        <v>45453</v>
      </c>
      <c r="E48" s="424" t="s">
        <v>12434</v>
      </c>
    </row>
    <row r="49" spans="2:5">
      <c r="B49" s="426">
        <v>2406</v>
      </c>
      <c r="C49" s="411">
        <v>5006</v>
      </c>
      <c r="D49" s="412">
        <v>45453</v>
      </c>
      <c r="E49" s="424" t="s">
        <v>12436</v>
      </c>
    </row>
    <row r="50" spans="2:5">
      <c r="B50" s="426">
        <v>2406</v>
      </c>
      <c r="C50" s="411">
        <v>5003</v>
      </c>
      <c r="D50" s="412">
        <v>45453</v>
      </c>
      <c r="E50" s="424" t="s">
        <v>12437</v>
      </c>
    </row>
    <row r="51" spans="2:5">
      <c r="B51" s="426">
        <v>2406</v>
      </c>
      <c r="C51" s="411">
        <v>5002</v>
      </c>
      <c r="D51" s="412">
        <v>45453</v>
      </c>
      <c r="E51" s="424" t="s">
        <v>12438</v>
      </c>
    </row>
    <row r="52" spans="2:5">
      <c r="B52" s="413">
        <v>2406</v>
      </c>
      <c r="C52" s="413">
        <v>5000</v>
      </c>
      <c r="D52" s="414">
        <v>45453</v>
      </c>
      <c r="E52" s="428" t="s">
        <v>12439</v>
      </c>
    </row>
    <row r="53" spans="2:5">
      <c r="B53" s="426">
        <v>2406</v>
      </c>
      <c r="C53" s="426">
        <v>4998</v>
      </c>
      <c r="D53" s="427">
        <v>45453</v>
      </c>
      <c r="E53" s="424" t="s">
        <v>12443</v>
      </c>
    </row>
    <row r="54" spans="2:5">
      <c r="B54" s="426">
        <v>2406</v>
      </c>
      <c r="C54" s="426">
        <v>4997</v>
      </c>
      <c r="D54" s="427">
        <v>45453</v>
      </c>
      <c r="E54" s="424" t="s">
        <v>12444</v>
      </c>
    </row>
    <row r="55" spans="2:5">
      <c r="B55" s="413">
        <v>2406</v>
      </c>
      <c r="C55" s="413">
        <v>4993</v>
      </c>
      <c r="D55" s="414">
        <v>45453</v>
      </c>
      <c r="E55" s="428" t="s">
        <v>12445</v>
      </c>
    </row>
    <row r="56" spans="2:5">
      <c r="B56" s="426">
        <v>2406</v>
      </c>
      <c r="C56" s="426">
        <v>4989</v>
      </c>
      <c r="D56" s="427">
        <v>45453</v>
      </c>
      <c r="E56" s="424" t="s">
        <v>12446</v>
      </c>
    </row>
    <row r="57" spans="2:5">
      <c r="B57" s="426">
        <v>2406</v>
      </c>
      <c r="C57" s="426">
        <v>4988</v>
      </c>
      <c r="D57" s="427">
        <v>45453</v>
      </c>
      <c r="E57" s="424" t="s">
        <v>12447</v>
      </c>
    </row>
    <row r="58" spans="2:5">
      <c r="B58" s="426">
        <v>2406</v>
      </c>
      <c r="C58" s="426">
        <v>4984</v>
      </c>
      <c r="D58" s="427">
        <v>45453</v>
      </c>
      <c r="E58" s="424" t="s">
        <v>12449</v>
      </c>
    </row>
    <row r="59" spans="2:5">
      <c r="B59" s="426">
        <v>2406</v>
      </c>
      <c r="C59" s="426">
        <v>4983</v>
      </c>
      <c r="D59" s="427">
        <v>45453</v>
      </c>
      <c r="E59" s="424" t="s">
        <v>12450</v>
      </c>
    </row>
    <row r="60" spans="2:5">
      <c r="B60" s="426">
        <v>2406</v>
      </c>
      <c r="C60" s="426">
        <v>4979</v>
      </c>
      <c r="D60" s="427">
        <v>45453</v>
      </c>
      <c r="E60" s="424" t="s">
        <v>12451</v>
      </c>
    </row>
    <row r="61" spans="2:5">
      <c r="B61" s="426">
        <v>2406</v>
      </c>
      <c r="C61" s="426">
        <v>4975</v>
      </c>
      <c r="D61" s="427">
        <v>45453</v>
      </c>
      <c r="E61" s="424" t="s">
        <v>12453</v>
      </c>
    </row>
    <row r="62" spans="2:5">
      <c r="B62" s="426">
        <v>2406</v>
      </c>
      <c r="C62" s="426">
        <v>4964</v>
      </c>
      <c r="D62" s="427">
        <v>45453</v>
      </c>
      <c r="E62" s="424" t="s">
        <v>12456</v>
      </c>
    </row>
    <row r="63" spans="2:5">
      <c r="B63" s="426">
        <v>2406</v>
      </c>
      <c r="C63" s="426">
        <v>4963</v>
      </c>
      <c r="D63" s="427">
        <v>45453</v>
      </c>
      <c r="E63" s="424" t="s">
        <v>12457</v>
      </c>
    </row>
    <row r="64" spans="2:5">
      <c r="B64" s="426">
        <v>2406</v>
      </c>
      <c r="C64" s="426">
        <v>4961</v>
      </c>
      <c r="D64" s="427">
        <v>45453</v>
      </c>
      <c r="E64" s="424" t="s">
        <v>12459</v>
      </c>
    </row>
    <row r="65" spans="2:5">
      <c r="B65" s="426">
        <v>2406</v>
      </c>
      <c r="C65" s="426">
        <v>4960</v>
      </c>
      <c r="D65" s="427">
        <v>45453</v>
      </c>
      <c r="E65" s="424" t="s">
        <v>12460</v>
      </c>
    </row>
    <row r="66" spans="2:5">
      <c r="B66" s="426">
        <v>2406</v>
      </c>
      <c r="C66" s="426">
        <v>4959</v>
      </c>
      <c r="D66" s="427">
        <v>45453</v>
      </c>
      <c r="E66" s="424" t="s">
        <v>12461</v>
      </c>
    </row>
    <row r="67" spans="2:5">
      <c r="B67" s="426">
        <v>2406</v>
      </c>
      <c r="C67" s="426">
        <v>4956</v>
      </c>
      <c r="D67" s="427">
        <v>45453</v>
      </c>
      <c r="E67" s="424" t="s">
        <v>12462</v>
      </c>
    </row>
    <row r="68" spans="2:5">
      <c r="B68" s="426">
        <v>2406</v>
      </c>
      <c r="C68" s="426">
        <v>4952</v>
      </c>
      <c r="D68" s="427">
        <v>45453</v>
      </c>
      <c r="E68" s="424" t="s">
        <v>12463</v>
      </c>
    </row>
    <row r="69" spans="2:5">
      <c r="B69" s="426">
        <v>2406</v>
      </c>
      <c r="C69" s="426">
        <v>4947</v>
      </c>
      <c r="D69" s="427">
        <v>45453</v>
      </c>
      <c r="E69" s="424" t="s">
        <v>12466</v>
      </c>
    </row>
    <row r="70" spans="2:5">
      <c r="B70" s="426">
        <v>2406</v>
      </c>
      <c r="C70" s="426">
        <v>4942</v>
      </c>
      <c r="D70" s="427">
        <v>45453</v>
      </c>
      <c r="E70" s="424" t="s">
        <v>12470</v>
      </c>
    </row>
    <row r="71" spans="2:5">
      <c r="B71" s="426">
        <v>2406</v>
      </c>
      <c r="C71" s="426">
        <v>4941</v>
      </c>
      <c r="D71" s="427">
        <v>45453</v>
      </c>
      <c r="E71" s="424" t="s">
        <v>12471</v>
      </c>
    </row>
    <row r="72" spans="2:5">
      <c r="B72" s="426">
        <v>2406</v>
      </c>
      <c r="C72" s="426">
        <v>4940</v>
      </c>
      <c r="D72" s="427">
        <v>45453</v>
      </c>
      <c r="E72" s="424" t="s">
        <v>12472</v>
      </c>
    </row>
    <row r="73" spans="2:5">
      <c r="B73" s="426">
        <v>2406</v>
      </c>
      <c r="C73" s="426">
        <v>4938</v>
      </c>
      <c r="D73" s="427">
        <v>45453</v>
      </c>
      <c r="E73" s="424" t="s">
        <v>12473</v>
      </c>
    </row>
    <row r="74" spans="2:5">
      <c r="B74" s="426">
        <v>2406</v>
      </c>
      <c r="C74" s="426">
        <v>4934</v>
      </c>
      <c r="D74" s="427">
        <v>45453</v>
      </c>
      <c r="E74" s="424" t="s">
        <v>12475</v>
      </c>
    </row>
    <row r="75" spans="2:5">
      <c r="B75" s="426">
        <v>2406</v>
      </c>
      <c r="C75" s="426">
        <v>4933</v>
      </c>
      <c r="D75" s="427">
        <v>45453</v>
      </c>
      <c r="E75" s="424" t="s">
        <v>12476</v>
      </c>
    </row>
    <row r="76" spans="2:5">
      <c r="B76" s="426">
        <v>2406</v>
      </c>
      <c r="C76" s="426">
        <v>4932</v>
      </c>
      <c r="D76" s="427">
        <v>45453</v>
      </c>
      <c r="E76" s="424" t="s">
        <v>12477</v>
      </c>
    </row>
    <row r="77" spans="2:5">
      <c r="B77" s="426">
        <v>2406</v>
      </c>
      <c r="C77" s="426">
        <v>4930</v>
      </c>
      <c r="D77" s="427">
        <v>45453</v>
      </c>
      <c r="E77" s="424" t="s">
        <v>12478</v>
      </c>
    </row>
    <row r="78" spans="2:5">
      <c r="B78" s="426">
        <v>2406</v>
      </c>
      <c r="C78" s="426">
        <v>4929</v>
      </c>
      <c r="D78" s="427">
        <v>45453</v>
      </c>
      <c r="E78" s="424" t="s">
        <v>12479</v>
      </c>
    </row>
    <row r="79" spans="2:5">
      <c r="B79" s="426">
        <v>2406</v>
      </c>
      <c r="C79" s="426">
        <v>4927</v>
      </c>
      <c r="D79" s="427">
        <v>45453</v>
      </c>
      <c r="E79" s="424" t="s">
        <v>12480</v>
      </c>
    </row>
    <row r="80" spans="2:5">
      <c r="B80" s="426">
        <v>2406</v>
      </c>
      <c r="C80" s="426">
        <v>4926</v>
      </c>
      <c r="D80" s="427">
        <v>45453</v>
      </c>
      <c r="E80" s="424" t="s">
        <v>12481</v>
      </c>
    </row>
    <row r="81" spans="2:5">
      <c r="B81" s="426">
        <v>2406</v>
      </c>
      <c r="C81" s="426">
        <v>4920</v>
      </c>
      <c r="D81" s="427">
        <v>45453</v>
      </c>
      <c r="E81" s="424" t="s">
        <v>12482</v>
      </c>
    </row>
    <row r="82" spans="2:5">
      <c r="B82" s="426">
        <v>2406</v>
      </c>
      <c r="C82" s="426">
        <v>4916</v>
      </c>
      <c r="D82" s="427">
        <v>45453</v>
      </c>
      <c r="E82" s="424" t="s">
        <v>12485</v>
      </c>
    </row>
    <row r="83" spans="2:5">
      <c r="B83" s="426">
        <v>2406</v>
      </c>
      <c r="C83" s="426">
        <v>4913</v>
      </c>
      <c r="D83" s="427">
        <v>45453</v>
      </c>
      <c r="E83" s="424" t="s">
        <v>12488</v>
      </c>
    </row>
    <row r="84" spans="2:5">
      <c r="B84" s="426">
        <v>2406</v>
      </c>
      <c r="C84" s="426">
        <v>4910</v>
      </c>
      <c r="D84" s="427">
        <v>45453</v>
      </c>
      <c r="E84" s="424" t="s">
        <v>12493</v>
      </c>
    </row>
    <row r="85" spans="2:5">
      <c r="B85" s="426">
        <v>2406</v>
      </c>
      <c r="C85" s="426">
        <v>4906</v>
      </c>
      <c r="D85" s="427">
        <v>45453</v>
      </c>
      <c r="E85" s="424" t="s">
        <v>12495</v>
      </c>
    </row>
    <row r="86" spans="2:5">
      <c r="B86" s="413">
        <v>2406</v>
      </c>
      <c r="C86" s="413">
        <v>4904</v>
      </c>
      <c r="D86" s="414">
        <v>45453</v>
      </c>
      <c r="E86" s="428" t="s">
        <v>12497</v>
      </c>
    </row>
    <row r="87" spans="2:5">
      <c r="B87" s="426">
        <v>2406</v>
      </c>
      <c r="C87" s="426">
        <v>4903</v>
      </c>
      <c r="D87" s="427">
        <v>45453</v>
      </c>
      <c r="E87" s="424" t="s">
        <v>12498</v>
      </c>
    </row>
    <row r="88" spans="2:5">
      <c r="B88" s="426">
        <v>2406</v>
      </c>
      <c r="C88" s="426">
        <v>4898</v>
      </c>
      <c r="D88" s="427">
        <v>45453</v>
      </c>
      <c r="E88" s="424" t="s">
        <v>12500</v>
      </c>
    </row>
    <row r="89" spans="2:5">
      <c r="B89" s="426">
        <v>2406</v>
      </c>
      <c r="C89" s="426">
        <v>4897</v>
      </c>
      <c r="D89" s="427">
        <v>45453</v>
      </c>
      <c r="E89" s="424" t="s">
        <v>12501</v>
      </c>
    </row>
    <row r="90" spans="2:5">
      <c r="B90" s="426">
        <v>2406</v>
      </c>
      <c r="C90" s="426">
        <v>4896</v>
      </c>
      <c r="D90" s="427">
        <v>45453</v>
      </c>
      <c r="E90" s="424" t="s">
        <v>12502</v>
      </c>
    </row>
    <row r="91" spans="2:5">
      <c r="B91" s="426">
        <v>2406</v>
      </c>
      <c r="C91" s="426">
        <v>4888</v>
      </c>
      <c r="D91" s="427">
        <v>45453</v>
      </c>
      <c r="E91" s="424" t="s">
        <v>12506</v>
      </c>
    </row>
    <row r="92" spans="2:5">
      <c r="B92" s="426">
        <v>2406</v>
      </c>
      <c r="C92" s="426">
        <v>4886</v>
      </c>
      <c r="D92" s="427">
        <v>45453</v>
      </c>
      <c r="E92" s="424" t="s">
        <v>12507</v>
      </c>
    </row>
    <row r="93" spans="2:5">
      <c r="B93" s="426">
        <v>2406</v>
      </c>
      <c r="C93" s="426">
        <v>4879</v>
      </c>
      <c r="D93" s="427">
        <v>45453</v>
      </c>
      <c r="E93" s="424" t="s">
        <v>12508</v>
      </c>
    </row>
    <row r="94" spans="2:5">
      <c r="B94" s="426">
        <v>2406</v>
      </c>
      <c r="C94" s="426">
        <v>4876</v>
      </c>
      <c r="D94" s="427">
        <v>45453</v>
      </c>
      <c r="E94" s="424" t="s">
        <v>12510</v>
      </c>
    </row>
    <row r="95" spans="2:5">
      <c r="B95" s="426">
        <v>2406</v>
      </c>
      <c r="C95" s="426">
        <v>4875</v>
      </c>
      <c r="D95" s="427">
        <v>45453</v>
      </c>
      <c r="E95" s="424" t="s">
        <v>12511</v>
      </c>
    </row>
    <row r="96" spans="2:5">
      <c r="B96" s="426">
        <v>2406</v>
      </c>
      <c r="C96" s="426">
        <v>4873</v>
      </c>
      <c r="D96" s="427">
        <v>45453</v>
      </c>
      <c r="E96" s="424" t="s">
        <v>12512</v>
      </c>
    </row>
    <row r="97" spans="2:5">
      <c r="B97" s="426">
        <v>2406</v>
      </c>
      <c r="C97" s="426">
        <v>4872</v>
      </c>
      <c r="D97" s="427">
        <v>45453</v>
      </c>
      <c r="E97" s="424" t="s">
        <v>12513</v>
      </c>
    </row>
    <row r="98" spans="2:5">
      <c r="B98" s="426">
        <v>2406</v>
      </c>
      <c r="C98" s="426">
        <v>4871</v>
      </c>
      <c r="D98" s="427">
        <v>45453</v>
      </c>
      <c r="E98" s="424" t="s">
        <v>12515</v>
      </c>
    </row>
    <row r="99" spans="2:5">
      <c r="B99" s="426">
        <v>2406</v>
      </c>
      <c r="C99" s="426">
        <v>4867</v>
      </c>
      <c r="D99" s="427">
        <v>45453</v>
      </c>
      <c r="E99" s="424" t="s">
        <v>12516</v>
      </c>
    </row>
    <row r="100" spans="2:5">
      <c r="B100" s="426">
        <v>2406</v>
      </c>
      <c r="C100" s="426">
        <v>4866</v>
      </c>
      <c r="D100" s="427">
        <v>45453</v>
      </c>
      <c r="E100" s="424" t="s">
        <v>12518</v>
      </c>
    </row>
    <row r="101" spans="2:5">
      <c r="B101" s="426">
        <v>2406</v>
      </c>
      <c r="C101" s="426">
        <v>4861</v>
      </c>
      <c r="D101" s="427">
        <v>45453</v>
      </c>
      <c r="E101" s="424" t="s">
        <v>12521</v>
      </c>
    </row>
    <row r="102" spans="2:5">
      <c r="B102" s="426">
        <v>2406</v>
      </c>
      <c r="C102" s="426">
        <v>4860</v>
      </c>
      <c r="D102" s="427">
        <v>45453</v>
      </c>
      <c r="E102" s="424" t="s">
        <v>12522</v>
      </c>
    </row>
    <row r="103" spans="2:5">
      <c r="B103" s="426">
        <v>2406</v>
      </c>
      <c r="C103" s="426">
        <v>4859</v>
      </c>
      <c r="D103" s="427">
        <v>45453</v>
      </c>
      <c r="E103" s="424" t="s">
        <v>12523</v>
      </c>
    </row>
    <row r="104" spans="2:5">
      <c r="B104" s="426">
        <v>2406</v>
      </c>
      <c r="C104" s="426">
        <v>4858</v>
      </c>
      <c r="D104" s="427">
        <v>45453</v>
      </c>
      <c r="E104" s="424" t="s">
        <v>12524</v>
      </c>
    </row>
    <row r="105" spans="2:5">
      <c r="B105" s="426">
        <v>2406</v>
      </c>
      <c r="C105" s="426">
        <v>4855</v>
      </c>
      <c r="D105" s="427">
        <v>45453</v>
      </c>
      <c r="E105" s="424" t="s">
        <v>12525</v>
      </c>
    </row>
    <row r="106" spans="2:5">
      <c r="B106" s="426">
        <v>2406</v>
      </c>
      <c r="C106" s="426">
        <v>4854</v>
      </c>
      <c r="D106" s="427">
        <v>45453</v>
      </c>
      <c r="E106" s="424" t="s">
        <v>12526</v>
      </c>
    </row>
    <row r="107" spans="2:5">
      <c r="B107" s="426">
        <v>2406</v>
      </c>
      <c r="C107" s="426">
        <v>4853</v>
      </c>
      <c r="D107" s="427">
        <v>45453</v>
      </c>
      <c r="E107" s="424" t="s">
        <v>12527</v>
      </c>
    </row>
    <row r="108" spans="2:5">
      <c r="B108" s="426">
        <v>2406</v>
      </c>
      <c r="C108" s="426">
        <v>4851</v>
      </c>
      <c r="D108" s="427">
        <v>45453</v>
      </c>
      <c r="E108" s="424" t="s">
        <v>12528</v>
      </c>
    </row>
    <row r="109" spans="2:5">
      <c r="B109" s="426">
        <v>2406</v>
      </c>
      <c r="C109" s="426">
        <v>4848</v>
      </c>
      <c r="D109" s="427">
        <v>45453</v>
      </c>
      <c r="E109" s="424" t="s">
        <v>12529</v>
      </c>
    </row>
    <row r="110" spans="2:5">
      <c r="B110" s="426">
        <v>2406</v>
      </c>
      <c r="C110" s="426">
        <v>4847</v>
      </c>
      <c r="D110" s="427">
        <v>45453</v>
      </c>
      <c r="E110" s="424" t="s">
        <v>12531</v>
      </c>
    </row>
    <row r="111" spans="2:5">
      <c r="B111" s="426">
        <v>2406</v>
      </c>
      <c r="C111" s="426">
        <v>4845</v>
      </c>
      <c r="D111" s="427">
        <v>45453</v>
      </c>
      <c r="E111" s="424" t="s">
        <v>12532</v>
      </c>
    </row>
    <row r="112" spans="2:5">
      <c r="B112" s="426">
        <v>2406</v>
      </c>
      <c r="C112" s="426">
        <v>4844</v>
      </c>
      <c r="D112" s="427">
        <v>45453</v>
      </c>
      <c r="E112" s="424" t="s">
        <v>12533</v>
      </c>
    </row>
    <row r="113" spans="2:5">
      <c r="B113" s="426">
        <v>2406</v>
      </c>
      <c r="C113" s="426">
        <v>4843</v>
      </c>
      <c r="D113" s="427">
        <v>45453</v>
      </c>
      <c r="E113" s="424" t="s">
        <v>12534</v>
      </c>
    </row>
    <row r="114" spans="2:5">
      <c r="B114" s="426">
        <v>2406</v>
      </c>
      <c r="C114" s="426">
        <v>4842</v>
      </c>
      <c r="D114" s="427">
        <v>45453</v>
      </c>
      <c r="E114" s="424" t="s">
        <v>12536</v>
      </c>
    </row>
    <row r="115" spans="2:5">
      <c r="B115" s="426">
        <v>2406</v>
      </c>
      <c r="C115" s="426">
        <v>4841</v>
      </c>
      <c r="D115" s="427">
        <v>45453</v>
      </c>
      <c r="E115" s="424" t="s">
        <v>12537</v>
      </c>
    </row>
    <row r="116" spans="2:5">
      <c r="B116" s="426">
        <v>2406</v>
      </c>
      <c r="C116" s="426">
        <v>4840</v>
      </c>
      <c r="D116" s="427">
        <v>45453</v>
      </c>
      <c r="E116" s="424" t="s">
        <v>12538</v>
      </c>
    </row>
    <row r="117" spans="2:5">
      <c r="B117" s="426">
        <v>2406</v>
      </c>
      <c r="C117" s="426">
        <v>4836</v>
      </c>
      <c r="D117" s="427">
        <v>45453</v>
      </c>
      <c r="E117" s="424" t="s">
        <v>12541</v>
      </c>
    </row>
    <row r="118" spans="2:5">
      <c r="B118" s="426">
        <v>2406</v>
      </c>
      <c r="C118" s="426">
        <v>4835</v>
      </c>
      <c r="D118" s="427">
        <v>45453</v>
      </c>
      <c r="E118" s="424" t="s">
        <v>12543</v>
      </c>
    </row>
    <row r="119" spans="2:5">
      <c r="B119" s="426">
        <v>2406</v>
      </c>
      <c r="C119" s="426">
        <v>4834</v>
      </c>
      <c r="D119" s="427">
        <v>45453</v>
      </c>
      <c r="E119" s="424" t="s">
        <v>12544</v>
      </c>
    </row>
    <row r="120" spans="2:5">
      <c r="B120" s="426">
        <v>2406</v>
      </c>
      <c r="C120" s="426">
        <v>4833</v>
      </c>
      <c r="D120" s="427">
        <v>45453</v>
      </c>
      <c r="E120" s="424" t="s">
        <v>12545</v>
      </c>
    </row>
    <row r="121" spans="2:5">
      <c r="B121" s="426">
        <v>2406</v>
      </c>
      <c r="C121" s="426">
        <v>4829</v>
      </c>
      <c r="D121" s="427">
        <v>45453</v>
      </c>
      <c r="E121" s="424" t="s">
        <v>12546</v>
      </c>
    </row>
    <row r="122" spans="2:5">
      <c r="B122" s="426">
        <v>2406</v>
      </c>
      <c r="C122" s="426">
        <v>4828</v>
      </c>
      <c r="D122" s="427">
        <v>45453</v>
      </c>
      <c r="E122" s="424" t="s">
        <v>12547</v>
      </c>
    </row>
    <row r="123" spans="2:5">
      <c r="B123" s="426">
        <v>2406</v>
      </c>
      <c r="C123" s="426">
        <v>4827</v>
      </c>
      <c r="D123" s="427">
        <v>45453</v>
      </c>
      <c r="E123" s="424" t="s">
        <v>12549</v>
      </c>
    </row>
    <row r="124" spans="2:5">
      <c r="B124" s="426">
        <v>2406</v>
      </c>
      <c r="C124" s="426">
        <v>4825</v>
      </c>
      <c r="D124" s="427">
        <v>45453</v>
      </c>
      <c r="E124" s="424" t="s">
        <v>12550</v>
      </c>
    </row>
    <row r="125" spans="2:5">
      <c r="B125" s="426">
        <v>2406</v>
      </c>
      <c r="C125" s="426">
        <v>4824</v>
      </c>
      <c r="D125" s="427">
        <v>45453</v>
      </c>
      <c r="E125" s="424" t="s">
        <v>12553</v>
      </c>
    </row>
    <row r="126" spans="2:5">
      <c r="B126" s="426">
        <v>2406</v>
      </c>
      <c r="C126" s="426">
        <v>4823</v>
      </c>
      <c r="D126" s="427">
        <v>45453</v>
      </c>
      <c r="E126" s="424" t="s">
        <v>12552</v>
      </c>
    </row>
    <row r="127" spans="2:5">
      <c r="B127" s="426">
        <v>2406</v>
      </c>
      <c r="C127" s="426">
        <v>4822</v>
      </c>
      <c r="D127" s="427">
        <v>45453</v>
      </c>
      <c r="E127" s="424" t="s">
        <v>12551</v>
      </c>
    </row>
    <row r="128" spans="2:5">
      <c r="B128" s="426">
        <v>2406</v>
      </c>
      <c r="C128" s="426">
        <v>4821</v>
      </c>
      <c r="D128" s="427">
        <v>45453</v>
      </c>
      <c r="E128" s="424" t="s">
        <v>12554</v>
      </c>
    </row>
    <row r="129" spans="2:5">
      <c r="B129" s="426">
        <v>2406</v>
      </c>
      <c r="C129" s="426">
        <v>4820</v>
      </c>
      <c r="D129" s="427">
        <v>45453</v>
      </c>
      <c r="E129" s="424" t="s">
        <v>12555</v>
      </c>
    </row>
    <row r="130" spans="2:5">
      <c r="B130" s="426">
        <v>2406</v>
      </c>
      <c r="C130" s="426">
        <v>4817</v>
      </c>
      <c r="D130" s="427">
        <v>45453</v>
      </c>
      <c r="E130" s="424" t="s">
        <v>12558</v>
      </c>
    </row>
    <row r="131" spans="2:5">
      <c r="B131" s="426">
        <v>2406</v>
      </c>
      <c r="C131" s="426">
        <v>4815</v>
      </c>
      <c r="D131" s="427">
        <v>45453</v>
      </c>
      <c r="E131" s="424" t="s">
        <v>12559</v>
      </c>
    </row>
    <row r="132" spans="2:5">
      <c r="B132" s="426">
        <v>2406</v>
      </c>
      <c r="C132" s="426">
        <v>4814</v>
      </c>
      <c r="D132" s="427">
        <v>45453</v>
      </c>
      <c r="E132" s="424" t="s">
        <v>12560</v>
      </c>
    </row>
    <row r="133" spans="2:5">
      <c r="B133" s="426">
        <v>2406</v>
      </c>
      <c r="C133" s="411">
        <v>4344</v>
      </c>
      <c r="D133" s="412">
        <v>45450</v>
      </c>
      <c r="E133" s="423" t="s">
        <v>11582</v>
      </c>
    </row>
    <row r="134" spans="2:5">
      <c r="B134" s="426">
        <v>2406</v>
      </c>
      <c r="C134" s="411">
        <v>4343</v>
      </c>
      <c r="D134" s="412">
        <v>45449</v>
      </c>
      <c r="E134" s="424" t="s">
        <v>12226</v>
      </c>
    </row>
    <row r="135" spans="2:5">
      <c r="B135" s="426">
        <v>2406</v>
      </c>
      <c r="C135" s="411">
        <v>4342</v>
      </c>
      <c r="D135" s="412">
        <v>45449</v>
      </c>
      <c r="E135" s="424" t="s">
        <v>12227</v>
      </c>
    </row>
    <row r="136" spans="2:5">
      <c r="B136" s="426">
        <v>2406</v>
      </c>
      <c r="C136" s="411">
        <v>4341</v>
      </c>
      <c r="D136" s="412">
        <v>45449</v>
      </c>
      <c r="E136" s="424" t="s">
        <v>12228</v>
      </c>
    </row>
    <row r="137" spans="2:5">
      <c r="B137" s="426">
        <v>2406</v>
      </c>
      <c r="C137" s="411">
        <v>4339</v>
      </c>
      <c r="D137" s="412">
        <v>45449</v>
      </c>
      <c r="E137" s="424" t="s">
        <v>12229</v>
      </c>
    </row>
    <row r="138" spans="2:5">
      <c r="B138" s="426">
        <v>2406</v>
      </c>
      <c r="C138" s="411">
        <v>4338</v>
      </c>
      <c r="D138" s="412">
        <v>45449</v>
      </c>
      <c r="E138" s="424" t="s">
        <v>12230</v>
      </c>
    </row>
    <row r="139" spans="2:5">
      <c r="B139" s="426">
        <v>2406</v>
      </c>
      <c r="C139" s="411">
        <v>4337</v>
      </c>
      <c r="D139" s="412">
        <v>45449</v>
      </c>
      <c r="E139" s="424" t="s">
        <v>12231</v>
      </c>
    </row>
    <row r="140" spans="2:5">
      <c r="B140" s="426">
        <v>2406</v>
      </c>
      <c r="C140" s="411">
        <v>4336</v>
      </c>
      <c r="D140" s="412">
        <v>45450</v>
      </c>
      <c r="E140" s="423" t="s">
        <v>11583</v>
      </c>
    </row>
    <row r="141" spans="2:5">
      <c r="B141" s="426">
        <v>2406</v>
      </c>
      <c r="C141" s="411">
        <v>4334</v>
      </c>
      <c r="D141" s="412">
        <v>45449</v>
      </c>
      <c r="E141" s="424" t="s">
        <v>12232</v>
      </c>
    </row>
    <row r="142" spans="2:5">
      <c r="B142" s="426">
        <v>2406</v>
      </c>
      <c r="C142" s="411">
        <v>4333</v>
      </c>
      <c r="D142" s="412">
        <v>45449</v>
      </c>
      <c r="E142" s="424" t="s">
        <v>12233</v>
      </c>
    </row>
    <row r="143" spans="2:5">
      <c r="B143" s="426">
        <v>2406</v>
      </c>
      <c r="C143" s="425">
        <v>4332</v>
      </c>
      <c r="D143" s="412">
        <v>45450</v>
      </c>
      <c r="E143" s="424" t="s">
        <v>11704</v>
      </c>
    </row>
    <row r="144" spans="2:5">
      <c r="B144" s="426">
        <v>2406</v>
      </c>
      <c r="C144" s="425">
        <v>4331</v>
      </c>
      <c r="D144" s="412">
        <v>45450</v>
      </c>
      <c r="E144" s="424" t="s">
        <v>11705</v>
      </c>
    </row>
    <row r="145" spans="2:5">
      <c r="B145" s="426">
        <v>2406</v>
      </c>
      <c r="C145" s="411">
        <v>4329</v>
      </c>
      <c r="D145" s="412">
        <v>45450</v>
      </c>
      <c r="E145" s="423" t="s">
        <v>11584</v>
      </c>
    </row>
    <row r="146" spans="2:5">
      <c r="B146" s="426">
        <v>2406</v>
      </c>
      <c r="C146" s="411">
        <v>4328</v>
      </c>
      <c r="D146" s="412">
        <v>45450</v>
      </c>
      <c r="E146" s="423" t="s">
        <v>11585</v>
      </c>
    </row>
    <row r="147" spans="2:5">
      <c r="B147" s="426">
        <v>2406</v>
      </c>
      <c r="C147" s="411">
        <v>4327</v>
      </c>
      <c r="D147" s="412">
        <v>45450</v>
      </c>
      <c r="E147" s="423" t="s">
        <v>11586</v>
      </c>
    </row>
    <row r="148" spans="2:5">
      <c r="B148" s="426">
        <v>2406</v>
      </c>
      <c r="C148" s="411">
        <v>4325</v>
      </c>
      <c r="D148" s="412">
        <v>45449</v>
      </c>
      <c r="E148" s="424" t="s">
        <v>12234</v>
      </c>
    </row>
    <row r="149" spans="2:5">
      <c r="B149" s="426">
        <v>2406</v>
      </c>
      <c r="C149" s="411">
        <v>4324</v>
      </c>
      <c r="D149" s="412">
        <v>45449</v>
      </c>
      <c r="E149" s="424" t="s">
        <v>12235</v>
      </c>
    </row>
    <row r="150" spans="2:5">
      <c r="B150" s="426">
        <v>2406</v>
      </c>
      <c r="C150" s="411">
        <v>4323</v>
      </c>
      <c r="D150" s="412">
        <v>45450</v>
      </c>
      <c r="E150" s="423" t="s">
        <v>11587</v>
      </c>
    </row>
    <row r="151" spans="2:5">
      <c r="B151" s="426">
        <v>2406</v>
      </c>
      <c r="C151" s="411">
        <v>4322</v>
      </c>
      <c r="D151" s="412">
        <v>45449</v>
      </c>
      <c r="E151" s="424" t="s">
        <v>12236</v>
      </c>
    </row>
    <row r="152" spans="2:5">
      <c r="B152" s="426">
        <v>2406</v>
      </c>
      <c r="C152" s="411">
        <v>4321</v>
      </c>
      <c r="D152" s="412">
        <v>45450</v>
      </c>
      <c r="E152" s="423" t="s">
        <v>11706</v>
      </c>
    </row>
    <row r="153" spans="2:5">
      <c r="B153" s="426">
        <v>2406</v>
      </c>
      <c r="C153" s="411">
        <v>4320</v>
      </c>
      <c r="D153" s="412">
        <v>45450</v>
      </c>
      <c r="E153" s="423" t="s">
        <v>11588</v>
      </c>
    </row>
    <row r="154" spans="2:5">
      <c r="B154" s="426">
        <v>2406</v>
      </c>
      <c r="C154" s="411">
        <v>4318</v>
      </c>
      <c r="D154" s="412">
        <v>45450</v>
      </c>
      <c r="E154" s="423" t="s">
        <v>11589</v>
      </c>
    </row>
    <row r="155" spans="2:5">
      <c r="B155" s="426">
        <v>2406</v>
      </c>
      <c r="C155" s="411">
        <v>4317</v>
      </c>
      <c r="D155" s="412">
        <v>45450</v>
      </c>
      <c r="E155" s="423" t="s">
        <v>11590</v>
      </c>
    </row>
    <row r="156" spans="2:5">
      <c r="B156" s="426">
        <v>2406</v>
      </c>
      <c r="C156" s="411">
        <v>4316</v>
      </c>
      <c r="D156" s="412">
        <v>45449</v>
      </c>
      <c r="E156" s="424" t="s">
        <v>12237</v>
      </c>
    </row>
    <row r="157" spans="2:5">
      <c r="B157" s="426">
        <v>2406</v>
      </c>
      <c r="C157" s="411">
        <v>4314</v>
      </c>
      <c r="D157" s="412">
        <v>45449</v>
      </c>
      <c r="E157" s="424" t="s">
        <v>12238</v>
      </c>
    </row>
    <row r="158" spans="2:5">
      <c r="B158" s="426">
        <v>2406</v>
      </c>
      <c r="C158" s="411">
        <v>4313</v>
      </c>
      <c r="D158" s="412">
        <v>45450</v>
      </c>
      <c r="E158" s="423" t="s">
        <v>11591</v>
      </c>
    </row>
    <row r="159" spans="2:5">
      <c r="B159" s="426">
        <v>2406</v>
      </c>
      <c r="C159" s="411">
        <v>4312</v>
      </c>
      <c r="D159" s="412">
        <v>45449</v>
      </c>
      <c r="E159" s="424" t="s">
        <v>12239</v>
      </c>
    </row>
    <row r="160" spans="2:5">
      <c r="B160" s="426">
        <v>2406</v>
      </c>
      <c r="C160" s="411">
        <v>4309</v>
      </c>
      <c r="D160" s="412">
        <v>45450</v>
      </c>
      <c r="E160" s="424" t="s">
        <v>11707</v>
      </c>
    </row>
    <row r="161" spans="2:5">
      <c r="B161" s="426">
        <v>2406</v>
      </c>
      <c r="C161" s="411">
        <v>4308</v>
      </c>
      <c r="D161" s="412">
        <v>45450</v>
      </c>
      <c r="E161" s="423" t="s">
        <v>11592</v>
      </c>
    </row>
    <row r="162" spans="2:5">
      <c r="B162" s="426">
        <v>2406</v>
      </c>
      <c r="C162" s="411">
        <v>4306</v>
      </c>
      <c r="D162" s="412">
        <v>45450</v>
      </c>
      <c r="E162" s="423" t="s">
        <v>11593</v>
      </c>
    </row>
    <row r="163" spans="2:5">
      <c r="B163" s="426">
        <v>2406</v>
      </c>
      <c r="C163" s="411">
        <v>4303</v>
      </c>
      <c r="D163" s="412">
        <v>45450</v>
      </c>
      <c r="E163" s="423" t="s">
        <v>11708</v>
      </c>
    </row>
    <row r="164" spans="2:5">
      <c r="B164" s="426">
        <v>2406</v>
      </c>
      <c r="C164" s="411">
        <v>4302</v>
      </c>
      <c r="D164" s="412">
        <v>45450</v>
      </c>
      <c r="E164" s="423" t="s">
        <v>11594</v>
      </c>
    </row>
    <row r="165" spans="2:5">
      <c r="B165" s="426">
        <v>2406</v>
      </c>
      <c r="C165" s="411">
        <v>4301</v>
      </c>
      <c r="D165" s="412">
        <v>45449</v>
      </c>
      <c r="E165" s="423" t="s">
        <v>12240</v>
      </c>
    </row>
    <row r="166" spans="2:5">
      <c r="B166" s="426">
        <v>2406</v>
      </c>
      <c r="C166" s="411">
        <v>4300</v>
      </c>
      <c r="D166" s="412">
        <v>45449</v>
      </c>
      <c r="E166" s="423" t="s">
        <v>12241</v>
      </c>
    </row>
    <row r="167" spans="2:5">
      <c r="B167" s="426">
        <v>2406</v>
      </c>
      <c r="C167" s="411">
        <v>4299</v>
      </c>
      <c r="D167" s="412">
        <v>45450</v>
      </c>
      <c r="E167" s="423" t="s">
        <v>11595</v>
      </c>
    </row>
    <row r="168" spans="2:5">
      <c r="B168" s="426">
        <v>2406</v>
      </c>
      <c r="C168" s="411">
        <v>4295</v>
      </c>
      <c r="D168" s="412">
        <v>45449</v>
      </c>
      <c r="E168" s="424" t="s">
        <v>12242</v>
      </c>
    </row>
    <row r="169" spans="2:5">
      <c r="B169" s="426">
        <v>2406</v>
      </c>
      <c r="C169" s="411">
        <v>4292</v>
      </c>
      <c r="D169" s="412">
        <v>45449</v>
      </c>
      <c r="E169" s="424" t="s">
        <v>12243</v>
      </c>
    </row>
    <row r="170" spans="2:5">
      <c r="B170" s="426">
        <v>2406</v>
      </c>
      <c r="C170" s="411">
        <v>4291</v>
      </c>
      <c r="D170" s="412">
        <v>45450</v>
      </c>
      <c r="E170" s="423" t="s">
        <v>11596</v>
      </c>
    </row>
    <row r="171" spans="2:5">
      <c r="B171" s="426">
        <v>2406</v>
      </c>
      <c r="C171" s="411">
        <v>4289</v>
      </c>
      <c r="D171" s="412">
        <v>45449</v>
      </c>
      <c r="E171" s="424" t="s">
        <v>12244</v>
      </c>
    </row>
    <row r="172" spans="2:5">
      <c r="B172" s="426">
        <v>2406</v>
      </c>
      <c r="C172" s="411">
        <v>4287</v>
      </c>
      <c r="D172" s="412">
        <v>45449</v>
      </c>
      <c r="E172" s="424" t="s">
        <v>12245</v>
      </c>
    </row>
    <row r="173" spans="2:5">
      <c r="B173" s="426">
        <v>2406</v>
      </c>
      <c r="C173" s="411">
        <v>4286</v>
      </c>
      <c r="D173" s="412">
        <v>45449</v>
      </c>
      <c r="E173" s="424" t="s">
        <v>12246</v>
      </c>
    </row>
    <row r="174" spans="2:5">
      <c r="B174" s="426">
        <v>2406</v>
      </c>
      <c r="C174" s="411">
        <v>4284</v>
      </c>
      <c r="D174" s="412">
        <v>45450</v>
      </c>
      <c r="E174" s="423" t="s">
        <v>11597</v>
      </c>
    </row>
    <row r="175" spans="2:5">
      <c r="B175" s="426">
        <v>2406</v>
      </c>
      <c r="C175" s="411">
        <v>4280</v>
      </c>
      <c r="D175" s="412">
        <v>45450</v>
      </c>
      <c r="E175" s="423" t="s">
        <v>11598</v>
      </c>
    </row>
    <row r="176" spans="2:5">
      <c r="B176" s="426">
        <v>2406</v>
      </c>
      <c r="C176" s="411">
        <v>4278</v>
      </c>
      <c r="D176" s="412">
        <v>45449</v>
      </c>
      <c r="E176" s="424" t="s">
        <v>12247</v>
      </c>
    </row>
    <row r="177" spans="2:5">
      <c r="B177" s="426">
        <v>2406</v>
      </c>
      <c r="C177" s="411">
        <v>4277</v>
      </c>
      <c r="D177" s="412">
        <v>45449</v>
      </c>
      <c r="E177" s="424" t="s">
        <v>12248</v>
      </c>
    </row>
    <row r="178" spans="2:5">
      <c r="B178" s="426">
        <v>2406</v>
      </c>
      <c r="C178" s="411">
        <v>4276</v>
      </c>
      <c r="D178" s="412">
        <v>45450</v>
      </c>
      <c r="E178" s="423" t="s">
        <v>11599</v>
      </c>
    </row>
    <row r="179" spans="2:5">
      <c r="B179" s="426">
        <v>2406</v>
      </c>
      <c r="C179" s="411">
        <v>4274</v>
      </c>
      <c r="D179" s="412">
        <v>45450</v>
      </c>
      <c r="E179" s="423" t="s">
        <v>11600</v>
      </c>
    </row>
    <row r="180" spans="2:5">
      <c r="B180" s="426">
        <v>2406</v>
      </c>
      <c r="C180" s="411">
        <v>4273</v>
      </c>
      <c r="D180" s="427">
        <v>45449</v>
      </c>
      <c r="E180" s="424" t="s">
        <v>12249</v>
      </c>
    </row>
    <row r="181" spans="2:5">
      <c r="B181" s="426">
        <v>2406</v>
      </c>
      <c r="C181" s="411">
        <v>4271</v>
      </c>
      <c r="D181" s="427">
        <v>45449</v>
      </c>
      <c r="E181" s="424" t="s">
        <v>12250</v>
      </c>
    </row>
    <row r="182" spans="2:5">
      <c r="B182" s="426">
        <v>2406</v>
      </c>
      <c r="C182" s="411">
        <v>4269</v>
      </c>
      <c r="D182" s="427">
        <v>45449</v>
      </c>
      <c r="E182" s="424" t="s">
        <v>12251</v>
      </c>
    </row>
    <row r="183" spans="2:5">
      <c r="B183" s="426">
        <v>2406</v>
      </c>
      <c r="C183" s="411">
        <v>4268</v>
      </c>
      <c r="D183" s="412">
        <v>45450</v>
      </c>
      <c r="E183" s="423" t="s">
        <v>11601</v>
      </c>
    </row>
    <row r="184" spans="2:5">
      <c r="B184" s="426">
        <v>2406</v>
      </c>
      <c r="C184" s="411">
        <v>4267</v>
      </c>
      <c r="D184" s="412">
        <v>45450</v>
      </c>
      <c r="E184" s="424" t="s">
        <v>11709</v>
      </c>
    </row>
    <row r="185" spans="2:5">
      <c r="B185" s="426">
        <v>2406</v>
      </c>
      <c r="C185" s="411">
        <v>4264</v>
      </c>
      <c r="D185" s="427">
        <v>45449</v>
      </c>
      <c r="E185" s="424" t="s">
        <v>12252</v>
      </c>
    </row>
    <row r="186" spans="2:5">
      <c r="B186" s="426">
        <v>2406</v>
      </c>
      <c r="C186" s="411">
        <v>4261</v>
      </c>
      <c r="D186" s="412">
        <v>45450</v>
      </c>
      <c r="E186" s="423" t="s">
        <v>11602</v>
      </c>
    </row>
    <row r="187" spans="2:5">
      <c r="B187" s="426">
        <v>2406</v>
      </c>
      <c r="C187" s="411">
        <v>4257</v>
      </c>
      <c r="D187" s="412">
        <v>45450</v>
      </c>
      <c r="E187" s="423" t="s">
        <v>11603</v>
      </c>
    </row>
    <row r="188" spans="2:5">
      <c r="B188" s="426">
        <v>2406</v>
      </c>
      <c r="C188" s="411">
        <v>4254</v>
      </c>
      <c r="D188" s="412">
        <v>45449</v>
      </c>
      <c r="E188" s="424" t="s">
        <v>12253</v>
      </c>
    </row>
    <row r="189" spans="2:5">
      <c r="B189" s="426">
        <v>2406</v>
      </c>
      <c r="C189" s="411">
        <v>4253</v>
      </c>
      <c r="D189" s="412">
        <v>45449</v>
      </c>
      <c r="E189" s="424" t="s">
        <v>12254</v>
      </c>
    </row>
    <row r="190" spans="2:5">
      <c r="B190" s="426">
        <v>2406</v>
      </c>
      <c r="C190" s="411">
        <v>4251</v>
      </c>
      <c r="D190" s="412">
        <v>45449</v>
      </c>
      <c r="E190" s="424" t="s">
        <v>12255</v>
      </c>
    </row>
    <row r="191" spans="2:5">
      <c r="B191" s="426">
        <v>2406</v>
      </c>
      <c r="C191" s="411">
        <v>4250</v>
      </c>
      <c r="D191" s="412">
        <v>45450</v>
      </c>
      <c r="E191" s="423" t="s">
        <v>11710</v>
      </c>
    </row>
    <row r="192" spans="2:5">
      <c r="B192" s="426">
        <v>2406</v>
      </c>
      <c r="C192" s="411">
        <v>4249</v>
      </c>
      <c r="D192" s="412">
        <v>45449</v>
      </c>
      <c r="E192" s="424" t="s">
        <v>12256</v>
      </c>
    </row>
    <row r="193" spans="2:5">
      <c r="B193" s="426">
        <v>2406</v>
      </c>
      <c r="C193" s="411">
        <v>4245</v>
      </c>
      <c r="D193" s="412">
        <v>45450</v>
      </c>
      <c r="E193" s="424" t="s">
        <v>11711</v>
      </c>
    </row>
    <row r="194" spans="2:5">
      <c r="B194" s="426">
        <v>2406</v>
      </c>
      <c r="C194" s="411">
        <v>4244</v>
      </c>
      <c r="D194" s="412">
        <v>45449</v>
      </c>
      <c r="E194" s="424" t="s">
        <v>12257</v>
      </c>
    </row>
    <row r="195" spans="2:5">
      <c r="B195" s="426">
        <v>2406</v>
      </c>
      <c r="C195" s="413">
        <v>4240</v>
      </c>
      <c r="D195" s="414">
        <v>45450</v>
      </c>
      <c r="E195" s="49" t="s">
        <v>11604</v>
      </c>
    </row>
    <row r="196" spans="2:5">
      <c r="B196" s="426">
        <v>2406</v>
      </c>
      <c r="C196" s="411">
        <v>4239</v>
      </c>
      <c r="D196" s="412">
        <v>45450</v>
      </c>
      <c r="E196" s="423" t="s">
        <v>11605</v>
      </c>
    </row>
    <row r="197" spans="2:5">
      <c r="B197" s="426">
        <v>2406</v>
      </c>
      <c r="C197" s="411">
        <v>4236</v>
      </c>
      <c r="D197" s="412">
        <v>45449</v>
      </c>
      <c r="E197" s="424" t="s">
        <v>12258</v>
      </c>
    </row>
    <row r="198" spans="2:5">
      <c r="B198" s="426">
        <v>2406</v>
      </c>
      <c r="C198" s="411">
        <v>4235</v>
      </c>
      <c r="D198" s="412">
        <v>45449</v>
      </c>
      <c r="E198" s="424" t="s">
        <v>12259</v>
      </c>
    </row>
    <row r="199" spans="2:5">
      <c r="B199" s="426">
        <v>2406</v>
      </c>
      <c r="C199" s="411">
        <v>4233</v>
      </c>
      <c r="D199" s="412">
        <v>45449</v>
      </c>
      <c r="E199" s="424" t="s">
        <v>12260</v>
      </c>
    </row>
    <row r="200" spans="2:5">
      <c r="B200" s="426">
        <v>2406</v>
      </c>
      <c r="C200" s="411">
        <v>4231</v>
      </c>
      <c r="D200" s="412">
        <v>45449</v>
      </c>
      <c r="E200" s="424" t="s">
        <v>12261</v>
      </c>
    </row>
    <row r="201" spans="2:5">
      <c r="B201" s="426">
        <v>2406</v>
      </c>
      <c r="C201" s="411">
        <v>4230</v>
      </c>
      <c r="D201" s="412">
        <v>45449</v>
      </c>
      <c r="E201" s="424" t="s">
        <v>12262</v>
      </c>
    </row>
    <row r="202" spans="2:5">
      <c r="B202" s="426">
        <v>2406</v>
      </c>
      <c r="C202" s="411">
        <v>4229</v>
      </c>
      <c r="D202" s="412">
        <v>45450</v>
      </c>
      <c r="E202" s="423" t="s">
        <v>11606</v>
      </c>
    </row>
    <row r="203" spans="2:5">
      <c r="B203" s="426">
        <v>2406</v>
      </c>
      <c r="C203" s="411">
        <v>4227</v>
      </c>
      <c r="D203" s="412">
        <v>45450</v>
      </c>
      <c r="E203" s="424" t="s">
        <v>11607</v>
      </c>
    </row>
    <row r="204" spans="2:5">
      <c r="B204" s="426">
        <v>2406</v>
      </c>
      <c r="C204" s="411">
        <v>4221</v>
      </c>
      <c r="D204" s="412">
        <v>45449</v>
      </c>
      <c r="E204" s="424" t="s">
        <v>12263</v>
      </c>
    </row>
    <row r="205" spans="2:5">
      <c r="B205" s="426">
        <v>2406</v>
      </c>
      <c r="C205" s="411">
        <v>4220</v>
      </c>
      <c r="D205" s="412">
        <v>45449</v>
      </c>
      <c r="E205" s="424" t="s">
        <v>12264</v>
      </c>
    </row>
    <row r="206" spans="2:5">
      <c r="B206" s="426">
        <v>2406</v>
      </c>
      <c r="C206" s="411">
        <v>4219</v>
      </c>
      <c r="D206" s="412">
        <v>45450</v>
      </c>
      <c r="E206" s="424" t="s">
        <v>11608</v>
      </c>
    </row>
    <row r="207" spans="2:5">
      <c r="B207" s="426">
        <v>2406</v>
      </c>
      <c r="C207" s="411">
        <v>4218</v>
      </c>
      <c r="D207" s="412">
        <v>45449</v>
      </c>
      <c r="E207" s="424" t="s">
        <v>12265</v>
      </c>
    </row>
    <row r="208" spans="2:5">
      <c r="B208" s="426">
        <v>2406</v>
      </c>
      <c r="C208" s="411">
        <v>4216</v>
      </c>
      <c r="D208" s="412">
        <v>45450</v>
      </c>
      <c r="E208" s="424" t="s">
        <v>11712</v>
      </c>
    </row>
    <row r="209" spans="2:5">
      <c r="B209" s="426">
        <v>2406</v>
      </c>
      <c r="C209" s="411">
        <v>4215</v>
      </c>
      <c r="D209" s="412">
        <v>45450</v>
      </c>
      <c r="E209" s="424" t="s">
        <v>11713</v>
      </c>
    </row>
    <row r="210" spans="2:5">
      <c r="B210" s="426">
        <v>2406</v>
      </c>
      <c r="C210" s="411">
        <v>4214</v>
      </c>
      <c r="D210" s="412">
        <v>45449</v>
      </c>
      <c r="E210" s="424" t="s">
        <v>12266</v>
      </c>
    </row>
    <row r="211" spans="2:5">
      <c r="B211" s="426">
        <v>2406</v>
      </c>
      <c r="C211" s="411">
        <v>4212</v>
      </c>
      <c r="D211" s="412">
        <v>45449</v>
      </c>
      <c r="E211" s="424" t="s">
        <v>12267</v>
      </c>
    </row>
    <row r="212" spans="2:5">
      <c r="B212" s="426">
        <v>2406</v>
      </c>
      <c r="C212" s="411">
        <v>4210</v>
      </c>
      <c r="D212" s="412">
        <v>45449</v>
      </c>
      <c r="E212" s="424" t="s">
        <v>12268</v>
      </c>
    </row>
    <row r="213" spans="2:5">
      <c r="B213" s="426">
        <v>2406</v>
      </c>
      <c r="C213" s="411">
        <v>4208</v>
      </c>
      <c r="D213" s="412">
        <v>45450</v>
      </c>
      <c r="E213" s="424" t="s">
        <v>11609</v>
      </c>
    </row>
    <row r="214" spans="2:5">
      <c r="B214" s="426">
        <v>2406</v>
      </c>
      <c r="C214" s="411">
        <v>4207</v>
      </c>
      <c r="D214" s="412">
        <v>45449</v>
      </c>
      <c r="E214" s="424" t="s">
        <v>12269</v>
      </c>
    </row>
    <row r="215" spans="2:5">
      <c r="B215" s="426">
        <v>2406</v>
      </c>
      <c r="C215" s="411">
        <v>4206</v>
      </c>
      <c r="D215" s="412">
        <v>45449</v>
      </c>
      <c r="E215" s="424" t="s">
        <v>12270</v>
      </c>
    </row>
    <row r="216" spans="2:5">
      <c r="B216" s="426">
        <v>2406</v>
      </c>
      <c r="C216" s="411">
        <v>4202</v>
      </c>
      <c r="D216" s="412">
        <v>45449</v>
      </c>
      <c r="E216" s="424" t="s">
        <v>12271</v>
      </c>
    </row>
    <row r="217" spans="2:5">
      <c r="B217" s="426">
        <v>2406</v>
      </c>
      <c r="C217" s="411">
        <v>4201</v>
      </c>
      <c r="D217" s="412">
        <v>45450</v>
      </c>
      <c r="E217" s="424" t="s">
        <v>11610</v>
      </c>
    </row>
    <row r="218" spans="2:5">
      <c r="B218" s="426">
        <v>2406</v>
      </c>
      <c r="C218" s="411">
        <v>4197</v>
      </c>
      <c r="D218" s="412">
        <v>45449</v>
      </c>
      <c r="E218" s="424" t="s">
        <v>12272</v>
      </c>
    </row>
    <row r="219" spans="2:5">
      <c r="B219" s="426">
        <v>2406</v>
      </c>
      <c r="C219" s="411">
        <v>4184</v>
      </c>
      <c r="D219" s="412">
        <v>45450</v>
      </c>
      <c r="E219" s="424" t="s">
        <v>11714</v>
      </c>
    </row>
    <row r="220" spans="2:5">
      <c r="B220" s="426">
        <v>2406</v>
      </c>
      <c r="C220" s="411">
        <v>4178</v>
      </c>
      <c r="D220" s="412">
        <v>45449</v>
      </c>
      <c r="E220" s="424" t="s">
        <v>12273</v>
      </c>
    </row>
    <row r="221" spans="2:5">
      <c r="B221" s="426">
        <v>2406</v>
      </c>
      <c r="C221" s="411">
        <v>4175</v>
      </c>
      <c r="D221" s="412">
        <v>45449</v>
      </c>
      <c r="E221" s="424" t="s">
        <v>12274</v>
      </c>
    </row>
    <row r="222" spans="2:5">
      <c r="B222" s="426">
        <v>2406</v>
      </c>
      <c r="C222" s="411">
        <v>4170</v>
      </c>
      <c r="D222" s="412">
        <v>45450</v>
      </c>
      <c r="E222" s="424" t="s">
        <v>11611</v>
      </c>
    </row>
    <row r="223" spans="2:5">
      <c r="B223" s="426">
        <v>2406</v>
      </c>
      <c r="C223" s="411">
        <v>4165</v>
      </c>
      <c r="D223" s="412">
        <v>45450</v>
      </c>
      <c r="E223" s="424" t="s">
        <v>11612</v>
      </c>
    </row>
    <row r="224" spans="2:5">
      <c r="B224" s="426">
        <v>2406</v>
      </c>
      <c r="C224" s="411">
        <v>4163</v>
      </c>
      <c r="D224" s="412">
        <v>45450</v>
      </c>
      <c r="E224" s="424" t="s">
        <v>11715</v>
      </c>
    </row>
    <row r="225" spans="2:5">
      <c r="B225" s="426">
        <v>2406</v>
      </c>
      <c r="C225" s="411">
        <v>4159</v>
      </c>
      <c r="D225" s="427">
        <v>45449</v>
      </c>
      <c r="E225" s="424" t="s">
        <v>12275</v>
      </c>
    </row>
    <row r="226" spans="2:5">
      <c r="B226" s="426">
        <v>2406</v>
      </c>
      <c r="C226" s="411">
        <v>4158</v>
      </c>
      <c r="D226" s="427">
        <v>45449</v>
      </c>
      <c r="E226" s="424" t="s">
        <v>12276</v>
      </c>
    </row>
    <row r="227" spans="2:5">
      <c r="B227" s="426">
        <v>2406</v>
      </c>
      <c r="C227" s="411">
        <v>4156</v>
      </c>
      <c r="D227" s="412">
        <v>45450</v>
      </c>
      <c r="E227" s="424" t="s">
        <v>11716</v>
      </c>
    </row>
    <row r="228" spans="2:5">
      <c r="B228" s="426">
        <v>2406</v>
      </c>
      <c r="C228" s="411">
        <v>4155</v>
      </c>
      <c r="D228" s="412">
        <v>45450</v>
      </c>
      <c r="E228" s="424" t="s">
        <v>11717</v>
      </c>
    </row>
    <row r="229" spans="2:5">
      <c r="B229" s="426">
        <v>2406</v>
      </c>
      <c r="C229" s="411">
        <v>4153</v>
      </c>
      <c r="D229" s="412">
        <v>45450</v>
      </c>
      <c r="E229" s="424" t="s">
        <v>11613</v>
      </c>
    </row>
    <row r="230" spans="2:5">
      <c r="B230" s="426">
        <v>2406</v>
      </c>
      <c r="C230" s="411">
        <v>4151</v>
      </c>
      <c r="D230" s="412">
        <v>45449</v>
      </c>
      <c r="E230" s="424" t="s">
        <v>12277</v>
      </c>
    </row>
    <row r="231" spans="2:5">
      <c r="B231" s="426">
        <v>2406</v>
      </c>
      <c r="C231" s="411">
        <v>4149</v>
      </c>
      <c r="D231" s="412">
        <v>45449</v>
      </c>
      <c r="E231" s="424" t="s">
        <v>12278</v>
      </c>
    </row>
    <row r="232" spans="2:5">
      <c r="B232" s="426">
        <v>2406</v>
      </c>
      <c r="C232" s="411">
        <v>4148</v>
      </c>
      <c r="D232" s="412">
        <v>45450</v>
      </c>
      <c r="E232" s="424" t="s">
        <v>11614</v>
      </c>
    </row>
    <row r="233" spans="2:5">
      <c r="B233" s="426">
        <v>2406</v>
      </c>
      <c r="C233" s="411">
        <v>4146</v>
      </c>
      <c r="D233" s="412">
        <v>45449</v>
      </c>
      <c r="E233" s="424" t="s">
        <v>12279</v>
      </c>
    </row>
    <row r="234" spans="2:5">
      <c r="B234" s="426">
        <v>2406</v>
      </c>
      <c r="C234" s="411">
        <v>4145</v>
      </c>
      <c r="D234" s="412">
        <v>45449</v>
      </c>
      <c r="E234" s="424" t="s">
        <v>12280</v>
      </c>
    </row>
    <row r="235" spans="2:5">
      <c r="B235" s="426">
        <v>2406</v>
      </c>
      <c r="C235" s="411">
        <v>4144</v>
      </c>
      <c r="D235" s="412">
        <v>45450</v>
      </c>
      <c r="E235" s="424" t="s">
        <v>11718</v>
      </c>
    </row>
    <row r="236" spans="2:5">
      <c r="B236" s="426">
        <v>2406</v>
      </c>
      <c r="C236" s="411">
        <v>4143</v>
      </c>
      <c r="D236" s="412">
        <v>45450</v>
      </c>
      <c r="E236" s="424" t="s">
        <v>11719</v>
      </c>
    </row>
    <row r="237" spans="2:5">
      <c r="B237" s="426">
        <v>2406</v>
      </c>
      <c r="C237" s="411">
        <v>4142</v>
      </c>
      <c r="D237" s="412">
        <v>45450</v>
      </c>
      <c r="E237" s="424" t="s">
        <v>11720</v>
      </c>
    </row>
    <row r="238" spans="2:5">
      <c r="B238" s="426">
        <v>2406</v>
      </c>
      <c r="C238" s="411">
        <v>4140</v>
      </c>
      <c r="D238" s="412">
        <v>45449</v>
      </c>
      <c r="E238" s="424" t="s">
        <v>12281</v>
      </c>
    </row>
    <row r="239" spans="2:5">
      <c r="B239" s="426">
        <v>2406</v>
      </c>
      <c r="C239" s="411">
        <v>4138</v>
      </c>
      <c r="D239" s="412">
        <v>45449</v>
      </c>
      <c r="E239" s="424" t="s">
        <v>12282</v>
      </c>
    </row>
    <row r="240" spans="2:5">
      <c r="B240" s="426">
        <v>2406</v>
      </c>
      <c r="C240" s="411">
        <v>4137</v>
      </c>
      <c r="D240" s="412">
        <v>45450</v>
      </c>
      <c r="E240" s="424" t="s">
        <v>11615</v>
      </c>
    </row>
    <row r="241" spans="2:5">
      <c r="B241" s="426">
        <v>2406</v>
      </c>
      <c r="C241" s="411">
        <v>4136</v>
      </c>
      <c r="D241" s="412">
        <v>45450</v>
      </c>
      <c r="E241" s="424" t="s">
        <v>11721</v>
      </c>
    </row>
    <row r="242" spans="2:5">
      <c r="B242" s="426">
        <v>2406</v>
      </c>
      <c r="C242" s="411">
        <v>4129</v>
      </c>
      <c r="D242" s="412">
        <v>45449</v>
      </c>
      <c r="E242" s="424" t="s">
        <v>12283</v>
      </c>
    </row>
    <row r="243" spans="2:5">
      <c r="B243" s="426">
        <v>2406</v>
      </c>
      <c r="C243" s="411">
        <v>4127</v>
      </c>
      <c r="D243" s="412">
        <v>45449</v>
      </c>
      <c r="E243" s="424" t="s">
        <v>12284</v>
      </c>
    </row>
    <row r="244" spans="2:5">
      <c r="B244" s="426">
        <v>2406</v>
      </c>
      <c r="C244" s="411">
        <v>4116</v>
      </c>
      <c r="D244" s="412">
        <v>45449</v>
      </c>
      <c r="E244" s="424" t="s">
        <v>12285</v>
      </c>
    </row>
    <row r="245" spans="2:5">
      <c r="B245" s="426">
        <v>2406</v>
      </c>
      <c r="C245" s="411">
        <v>4113</v>
      </c>
      <c r="D245" s="412">
        <v>45449</v>
      </c>
      <c r="E245" s="424" t="s">
        <v>12286</v>
      </c>
    </row>
    <row r="246" spans="2:5">
      <c r="B246" s="426">
        <v>2406</v>
      </c>
      <c r="C246" s="411">
        <v>4112</v>
      </c>
      <c r="D246" s="412">
        <v>45450</v>
      </c>
      <c r="E246" s="424" t="s">
        <v>11616</v>
      </c>
    </row>
    <row r="247" spans="2:5">
      <c r="B247" s="426">
        <v>2406</v>
      </c>
      <c r="C247" s="411">
        <v>4109</v>
      </c>
      <c r="D247" s="412">
        <v>45449</v>
      </c>
      <c r="E247" s="424" t="s">
        <v>12287</v>
      </c>
    </row>
    <row r="248" spans="2:5">
      <c r="B248" s="426">
        <v>2406</v>
      </c>
      <c r="C248" s="411">
        <v>4105</v>
      </c>
      <c r="D248" s="412">
        <v>45450</v>
      </c>
      <c r="E248" s="424" t="s">
        <v>11617</v>
      </c>
    </row>
    <row r="249" spans="2:5">
      <c r="B249" s="426">
        <v>2406</v>
      </c>
      <c r="C249" s="411">
        <v>4103</v>
      </c>
      <c r="D249" s="412">
        <v>45450</v>
      </c>
      <c r="E249" s="424" t="s">
        <v>11618</v>
      </c>
    </row>
    <row r="250" spans="2:5">
      <c r="B250" s="426">
        <v>2406</v>
      </c>
      <c r="C250" s="411">
        <v>4101</v>
      </c>
      <c r="D250" s="412">
        <v>45449</v>
      </c>
      <c r="E250" s="424" t="s">
        <v>12288</v>
      </c>
    </row>
    <row r="251" spans="2:5">
      <c r="B251" s="426">
        <v>2406</v>
      </c>
      <c r="C251" s="411">
        <v>4099</v>
      </c>
      <c r="D251" s="412">
        <v>45450</v>
      </c>
      <c r="E251" s="424" t="s">
        <v>11619</v>
      </c>
    </row>
    <row r="252" spans="2:5">
      <c r="B252" s="426">
        <v>2406</v>
      </c>
      <c r="C252" s="411">
        <v>4098</v>
      </c>
      <c r="D252" s="412">
        <v>45450</v>
      </c>
      <c r="E252" s="424" t="s">
        <v>11722</v>
      </c>
    </row>
    <row r="253" spans="2:5">
      <c r="B253" s="426">
        <v>2406</v>
      </c>
      <c r="C253" s="411">
        <v>4094</v>
      </c>
      <c r="D253" s="412">
        <v>45449</v>
      </c>
      <c r="E253" s="424" t="s">
        <v>12289</v>
      </c>
    </row>
    <row r="254" spans="2:5">
      <c r="B254" s="426">
        <v>2406</v>
      </c>
      <c r="C254" s="411">
        <v>4093</v>
      </c>
      <c r="D254" s="412">
        <v>45450</v>
      </c>
      <c r="E254" s="424" t="s">
        <v>11620</v>
      </c>
    </row>
    <row r="255" spans="2:5">
      <c r="B255" s="426">
        <v>2406</v>
      </c>
      <c r="C255" s="411">
        <v>4090</v>
      </c>
      <c r="D255" s="412">
        <v>45450</v>
      </c>
      <c r="E255" s="424" t="s">
        <v>11621</v>
      </c>
    </row>
    <row r="256" spans="2:5">
      <c r="B256" s="426">
        <v>2406</v>
      </c>
      <c r="C256" s="411">
        <v>4089</v>
      </c>
      <c r="D256" s="412">
        <v>45450</v>
      </c>
      <c r="E256" s="424" t="s">
        <v>11622</v>
      </c>
    </row>
    <row r="257" spans="2:5">
      <c r="B257" s="426">
        <v>2406</v>
      </c>
      <c r="C257" s="411">
        <v>4088</v>
      </c>
      <c r="D257" s="412">
        <v>45450</v>
      </c>
      <c r="E257" s="424" t="s">
        <v>11623</v>
      </c>
    </row>
    <row r="258" spans="2:5">
      <c r="B258" s="426">
        <v>2406</v>
      </c>
      <c r="C258" s="411">
        <v>4086</v>
      </c>
      <c r="D258" s="412">
        <v>45449</v>
      </c>
      <c r="E258" s="424" t="s">
        <v>12290</v>
      </c>
    </row>
    <row r="259" spans="2:5">
      <c r="B259" s="426">
        <v>2406</v>
      </c>
      <c r="C259" s="411">
        <v>4082</v>
      </c>
      <c r="D259" s="412">
        <v>45449</v>
      </c>
      <c r="E259" s="424" t="s">
        <v>12291</v>
      </c>
    </row>
    <row r="260" spans="2:5">
      <c r="B260" s="426">
        <v>2406</v>
      </c>
      <c r="C260" s="411">
        <v>4081</v>
      </c>
      <c r="D260" s="412">
        <v>45450</v>
      </c>
      <c r="E260" s="424" t="s">
        <v>11624</v>
      </c>
    </row>
    <row r="261" spans="2:5">
      <c r="B261" s="426">
        <v>2406</v>
      </c>
      <c r="C261" s="411">
        <v>4076</v>
      </c>
      <c r="D261" s="412">
        <v>45449</v>
      </c>
      <c r="E261" s="424" t="s">
        <v>12292</v>
      </c>
    </row>
    <row r="262" spans="2:5">
      <c r="B262" s="426">
        <v>2406</v>
      </c>
      <c r="C262" s="411">
        <v>4071</v>
      </c>
      <c r="D262" s="412">
        <v>45450</v>
      </c>
      <c r="E262" s="424" t="s">
        <v>11723</v>
      </c>
    </row>
    <row r="263" spans="2:5">
      <c r="B263" s="426">
        <v>2406</v>
      </c>
      <c r="C263" s="411">
        <v>4070</v>
      </c>
      <c r="D263" s="412">
        <v>45450</v>
      </c>
      <c r="E263" s="424" t="s">
        <v>11625</v>
      </c>
    </row>
    <row r="264" spans="2:5">
      <c r="B264" s="426">
        <v>2406</v>
      </c>
      <c r="C264" s="411">
        <v>4068</v>
      </c>
      <c r="D264" s="412">
        <v>45450</v>
      </c>
      <c r="E264" s="424" t="s">
        <v>11626</v>
      </c>
    </row>
    <row r="265" spans="2:5">
      <c r="B265" s="426">
        <v>2406</v>
      </c>
      <c r="C265" s="411">
        <v>4064</v>
      </c>
      <c r="D265" s="412">
        <v>45449</v>
      </c>
      <c r="E265" s="424" t="s">
        <v>12293</v>
      </c>
    </row>
    <row r="266" spans="2:5">
      <c r="B266" s="426">
        <v>2406</v>
      </c>
      <c r="C266" s="411">
        <v>4062</v>
      </c>
      <c r="D266" s="412">
        <v>45449</v>
      </c>
      <c r="E266" s="424" t="s">
        <v>12294</v>
      </c>
    </row>
    <row r="267" spans="2:5">
      <c r="B267" s="426">
        <v>2406</v>
      </c>
      <c r="C267" s="411">
        <v>4056</v>
      </c>
      <c r="D267" s="412">
        <v>45450</v>
      </c>
      <c r="E267" s="424" t="s">
        <v>11627</v>
      </c>
    </row>
    <row r="268" spans="2:5">
      <c r="B268" s="426">
        <v>2406</v>
      </c>
      <c r="C268" s="411">
        <v>4055</v>
      </c>
      <c r="D268" s="412">
        <v>45450</v>
      </c>
      <c r="E268" s="424" t="s">
        <v>11628</v>
      </c>
    </row>
    <row r="269" spans="2:5">
      <c r="B269" s="426">
        <v>2406</v>
      </c>
      <c r="C269" s="411">
        <v>4052</v>
      </c>
      <c r="D269" s="412">
        <v>45450</v>
      </c>
      <c r="E269" s="424" t="s">
        <v>11629</v>
      </c>
    </row>
    <row r="270" spans="2:5">
      <c r="B270" s="426">
        <v>2406</v>
      </c>
      <c r="C270" s="411">
        <v>4050</v>
      </c>
      <c r="D270" s="412">
        <v>45449</v>
      </c>
      <c r="E270" s="424" t="s">
        <v>12295</v>
      </c>
    </row>
    <row r="271" spans="2:5">
      <c r="B271" s="426">
        <v>2406</v>
      </c>
      <c r="C271" s="411">
        <v>4047</v>
      </c>
      <c r="D271" s="412">
        <v>45450</v>
      </c>
      <c r="E271" s="424" t="s">
        <v>11724</v>
      </c>
    </row>
    <row r="272" spans="2:5">
      <c r="B272" s="426">
        <v>2406</v>
      </c>
      <c r="C272" s="411">
        <v>4046</v>
      </c>
      <c r="D272" s="412">
        <v>45449</v>
      </c>
      <c r="E272" s="424" t="s">
        <v>12296</v>
      </c>
    </row>
    <row r="273" spans="2:5">
      <c r="B273" s="426">
        <v>2406</v>
      </c>
      <c r="C273" s="411">
        <v>4043</v>
      </c>
      <c r="D273" s="412">
        <v>45450</v>
      </c>
      <c r="E273" s="424" t="s">
        <v>11630</v>
      </c>
    </row>
    <row r="274" spans="2:5">
      <c r="B274" s="426">
        <v>2406</v>
      </c>
      <c r="C274" s="411">
        <v>4041</v>
      </c>
      <c r="D274" s="412">
        <v>45450</v>
      </c>
      <c r="E274" s="424" t="s">
        <v>11631</v>
      </c>
    </row>
    <row r="275" spans="2:5">
      <c r="B275" s="426">
        <v>2406</v>
      </c>
      <c r="C275" s="411">
        <v>4039</v>
      </c>
      <c r="D275" s="412">
        <v>45450</v>
      </c>
      <c r="E275" s="424" t="s">
        <v>11725</v>
      </c>
    </row>
    <row r="276" spans="2:5">
      <c r="B276" s="426">
        <v>2406</v>
      </c>
      <c r="C276" s="411">
        <v>4038</v>
      </c>
      <c r="D276" s="412">
        <v>45450</v>
      </c>
      <c r="E276" s="424" t="s">
        <v>11632</v>
      </c>
    </row>
    <row r="277" spans="2:5">
      <c r="B277" s="426">
        <v>2406</v>
      </c>
      <c r="C277" s="411">
        <v>4035</v>
      </c>
      <c r="D277" s="412">
        <v>45450</v>
      </c>
      <c r="E277" s="424" t="s">
        <v>11633</v>
      </c>
    </row>
    <row r="278" spans="2:5">
      <c r="B278" s="426">
        <v>2406</v>
      </c>
      <c r="C278" s="411">
        <v>4032</v>
      </c>
      <c r="D278" s="412">
        <v>45449</v>
      </c>
      <c r="E278" s="424" t="s">
        <v>12297</v>
      </c>
    </row>
    <row r="279" spans="2:5">
      <c r="B279" s="426">
        <v>2406</v>
      </c>
      <c r="C279" s="411">
        <v>4031</v>
      </c>
      <c r="D279" s="412">
        <v>45449</v>
      </c>
      <c r="E279" s="424" t="s">
        <v>12298</v>
      </c>
    </row>
    <row r="280" spans="2:5">
      <c r="B280" s="426">
        <v>2406</v>
      </c>
      <c r="C280" s="411">
        <v>4029</v>
      </c>
      <c r="D280" s="412">
        <v>45450</v>
      </c>
      <c r="E280" s="424" t="s">
        <v>11726</v>
      </c>
    </row>
    <row r="281" spans="2:5">
      <c r="B281" s="426">
        <v>2406</v>
      </c>
      <c r="C281" s="411">
        <v>4028</v>
      </c>
      <c r="D281" s="412">
        <v>45449</v>
      </c>
      <c r="E281" s="424" t="s">
        <v>12299</v>
      </c>
    </row>
    <row r="282" spans="2:5">
      <c r="B282" s="426">
        <v>2406</v>
      </c>
      <c r="C282" s="425" t="s">
        <v>11727</v>
      </c>
      <c r="D282" s="412">
        <v>45450</v>
      </c>
      <c r="E282" s="424" t="s">
        <v>11728</v>
      </c>
    </row>
    <row r="283" spans="2:5">
      <c r="B283" s="426">
        <v>2406</v>
      </c>
      <c r="C283" s="425">
        <v>4002</v>
      </c>
      <c r="D283" s="412">
        <v>45449</v>
      </c>
      <c r="E283" s="424" t="s">
        <v>12300</v>
      </c>
    </row>
    <row r="284" spans="2:5">
      <c r="B284" s="426">
        <v>2406</v>
      </c>
      <c r="C284" s="411">
        <v>3999</v>
      </c>
      <c r="D284" s="412">
        <v>45450</v>
      </c>
      <c r="E284" s="424" t="s">
        <v>11634</v>
      </c>
    </row>
    <row r="285" spans="2:5">
      <c r="B285" s="426">
        <v>2406</v>
      </c>
      <c r="C285" s="411">
        <v>3997</v>
      </c>
      <c r="D285" s="412">
        <v>45450</v>
      </c>
      <c r="E285" s="424" t="s">
        <v>11729</v>
      </c>
    </row>
    <row r="286" spans="2:5">
      <c r="B286" s="426">
        <v>2406</v>
      </c>
      <c r="C286" s="411">
        <v>3995</v>
      </c>
      <c r="D286" s="412">
        <v>45449</v>
      </c>
      <c r="E286" s="424" t="s">
        <v>12301</v>
      </c>
    </row>
    <row r="287" spans="2:5">
      <c r="B287" s="426">
        <v>2406</v>
      </c>
      <c r="C287" s="411">
        <v>3993</v>
      </c>
      <c r="D287" s="412">
        <v>45449</v>
      </c>
      <c r="E287" s="424" t="s">
        <v>12302</v>
      </c>
    </row>
    <row r="288" spans="2:5">
      <c r="B288" s="426">
        <v>2406</v>
      </c>
      <c r="C288" s="411">
        <v>3986</v>
      </c>
      <c r="D288" s="412">
        <v>45449</v>
      </c>
      <c r="E288" s="424" t="s">
        <v>12303</v>
      </c>
    </row>
    <row r="289" spans="2:5">
      <c r="B289" s="426">
        <v>2406</v>
      </c>
      <c r="C289" s="411">
        <v>3984</v>
      </c>
      <c r="D289" s="412">
        <v>45449</v>
      </c>
      <c r="E289" s="424" t="s">
        <v>12304</v>
      </c>
    </row>
    <row r="290" spans="2:5">
      <c r="B290" s="426">
        <v>2406</v>
      </c>
      <c r="C290" s="411">
        <v>3980</v>
      </c>
      <c r="D290" s="412">
        <v>45450</v>
      </c>
      <c r="E290" s="424" t="s">
        <v>11635</v>
      </c>
    </row>
    <row r="291" spans="2:5">
      <c r="B291" s="426">
        <v>2406</v>
      </c>
      <c r="C291" s="411">
        <v>3978</v>
      </c>
      <c r="D291" s="412">
        <v>45450</v>
      </c>
      <c r="E291" s="424" t="s">
        <v>11730</v>
      </c>
    </row>
    <row r="292" spans="2:5">
      <c r="B292" s="426">
        <v>2406</v>
      </c>
      <c r="C292" s="411">
        <v>3963</v>
      </c>
      <c r="D292" s="412">
        <v>45449</v>
      </c>
      <c r="E292" s="424" t="s">
        <v>12305</v>
      </c>
    </row>
    <row r="293" spans="2:5">
      <c r="B293" s="426">
        <v>2406</v>
      </c>
      <c r="C293" s="411">
        <v>3961</v>
      </c>
      <c r="D293" s="412">
        <v>45449</v>
      </c>
      <c r="E293" s="424" t="s">
        <v>12306</v>
      </c>
    </row>
    <row r="294" spans="2:5">
      <c r="B294" s="426">
        <v>2406</v>
      </c>
      <c r="C294" s="411">
        <v>3953</v>
      </c>
      <c r="D294" s="412">
        <v>45449</v>
      </c>
      <c r="E294" s="424" t="s">
        <v>12307</v>
      </c>
    </row>
    <row r="295" spans="2:5">
      <c r="B295" s="426">
        <v>2406</v>
      </c>
      <c r="C295" s="411">
        <v>3949</v>
      </c>
      <c r="D295" s="412">
        <v>45449</v>
      </c>
      <c r="E295" s="424" t="s">
        <v>12308</v>
      </c>
    </row>
    <row r="296" spans="2:5">
      <c r="B296" s="426">
        <v>2406</v>
      </c>
      <c r="C296" s="411">
        <v>3947</v>
      </c>
      <c r="D296" s="412">
        <v>45450</v>
      </c>
      <c r="E296" s="424" t="s">
        <v>11636</v>
      </c>
    </row>
    <row r="297" spans="2:5">
      <c r="B297" s="426">
        <v>2406</v>
      </c>
      <c r="C297" s="411">
        <v>3946</v>
      </c>
      <c r="D297" s="412">
        <v>45450</v>
      </c>
      <c r="E297" s="424" t="s">
        <v>11639</v>
      </c>
    </row>
    <row r="298" spans="2:5">
      <c r="B298" s="426">
        <v>2406</v>
      </c>
      <c r="C298" s="411">
        <v>3944</v>
      </c>
      <c r="D298" s="412">
        <v>45450</v>
      </c>
      <c r="E298" s="424" t="s">
        <v>11638</v>
      </c>
    </row>
    <row r="299" spans="2:5">
      <c r="B299" s="426">
        <v>2406</v>
      </c>
      <c r="C299" s="411">
        <v>3933</v>
      </c>
      <c r="D299" s="412">
        <v>45449</v>
      </c>
      <c r="E299" s="424" t="s">
        <v>12309</v>
      </c>
    </row>
    <row r="300" spans="2:5">
      <c r="B300" s="426">
        <v>2406</v>
      </c>
      <c r="C300" s="411">
        <v>3932</v>
      </c>
      <c r="D300" s="412">
        <v>45450</v>
      </c>
      <c r="E300" s="424" t="s">
        <v>11637</v>
      </c>
    </row>
    <row r="301" spans="2:5">
      <c r="B301" s="426">
        <v>2406</v>
      </c>
      <c r="C301" s="411">
        <v>3930</v>
      </c>
      <c r="D301" s="412">
        <v>45449</v>
      </c>
      <c r="E301" s="424" t="s">
        <v>12310</v>
      </c>
    </row>
    <row r="302" spans="2:5">
      <c r="B302" s="426">
        <v>2406</v>
      </c>
      <c r="C302" s="411">
        <v>3924</v>
      </c>
      <c r="D302" s="412">
        <v>45450</v>
      </c>
      <c r="E302" s="424" t="s">
        <v>11731</v>
      </c>
    </row>
    <row r="303" spans="2:5">
      <c r="B303" s="426">
        <v>2406</v>
      </c>
      <c r="C303" s="411">
        <v>3923</v>
      </c>
      <c r="D303" s="412">
        <v>45450</v>
      </c>
      <c r="E303" s="424" t="s">
        <v>11640</v>
      </c>
    </row>
    <row r="304" spans="2:5">
      <c r="B304" s="426">
        <v>2406</v>
      </c>
      <c r="C304" s="411">
        <v>3921</v>
      </c>
      <c r="D304" s="412">
        <v>45449</v>
      </c>
      <c r="E304" s="424" t="s">
        <v>12311</v>
      </c>
    </row>
    <row r="305" spans="2:5">
      <c r="B305" s="426">
        <v>2406</v>
      </c>
      <c r="C305" s="411">
        <v>3920</v>
      </c>
      <c r="D305" s="412">
        <v>45450</v>
      </c>
      <c r="E305" s="424" t="s">
        <v>11641</v>
      </c>
    </row>
    <row r="306" spans="2:5">
      <c r="B306" s="426">
        <v>2406</v>
      </c>
      <c r="C306" s="411">
        <v>3919</v>
      </c>
      <c r="D306" s="412">
        <v>45450</v>
      </c>
      <c r="E306" s="424" t="s">
        <v>11642</v>
      </c>
    </row>
    <row r="307" spans="2:5">
      <c r="B307" s="426">
        <v>2406</v>
      </c>
      <c r="C307" s="411">
        <v>3917</v>
      </c>
      <c r="D307" s="412">
        <v>45449</v>
      </c>
      <c r="E307" s="424" t="s">
        <v>12312</v>
      </c>
    </row>
    <row r="308" spans="2:5">
      <c r="B308" s="426">
        <v>2406</v>
      </c>
      <c r="C308" s="411">
        <v>3916</v>
      </c>
      <c r="D308" s="412">
        <v>45449</v>
      </c>
      <c r="E308" s="424" t="s">
        <v>12313</v>
      </c>
    </row>
    <row r="309" spans="2:5">
      <c r="B309" s="426">
        <v>2406</v>
      </c>
      <c r="C309" s="411">
        <v>3914</v>
      </c>
      <c r="D309" s="412">
        <v>45450</v>
      </c>
      <c r="E309" s="424" t="s">
        <v>11643</v>
      </c>
    </row>
    <row r="310" spans="2:5">
      <c r="B310" s="426">
        <v>2406</v>
      </c>
      <c r="C310" s="411">
        <v>3912</v>
      </c>
      <c r="D310" s="412">
        <v>45450</v>
      </c>
      <c r="E310" s="424" t="s">
        <v>11732</v>
      </c>
    </row>
    <row r="311" spans="2:5">
      <c r="B311" s="426">
        <v>2406</v>
      </c>
      <c r="C311" s="411">
        <v>3907</v>
      </c>
      <c r="D311" s="412">
        <v>45449</v>
      </c>
      <c r="E311" s="424" t="s">
        <v>12314</v>
      </c>
    </row>
    <row r="312" spans="2:5">
      <c r="B312" s="426">
        <v>2406</v>
      </c>
      <c r="C312" s="411">
        <v>3903</v>
      </c>
      <c r="D312" s="412">
        <v>45450</v>
      </c>
      <c r="E312" s="424" t="s">
        <v>11733</v>
      </c>
    </row>
    <row r="313" spans="2:5">
      <c r="B313" s="426">
        <v>2406</v>
      </c>
      <c r="C313" s="411">
        <v>3901</v>
      </c>
      <c r="D313" s="412">
        <v>45450</v>
      </c>
      <c r="E313" s="424" t="s">
        <v>11734</v>
      </c>
    </row>
    <row r="314" spans="2:5">
      <c r="B314" s="426">
        <v>2406</v>
      </c>
      <c r="C314" s="411">
        <v>3897</v>
      </c>
      <c r="D314" s="412">
        <v>45449</v>
      </c>
      <c r="E314" s="424" t="s">
        <v>12315</v>
      </c>
    </row>
    <row r="315" spans="2:5">
      <c r="B315" s="426">
        <v>2406</v>
      </c>
      <c r="C315" s="411">
        <v>3896</v>
      </c>
      <c r="D315" s="412">
        <v>45450</v>
      </c>
      <c r="E315" s="424" t="s">
        <v>11735</v>
      </c>
    </row>
    <row r="316" spans="2:5">
      <c r="B316" s="426">
        <v>2406</v>
      </c>
      <c r="C316" s="411">
        <v>3894</v>
      </c>
      <c r="D316" s="412">
        <v>45450</v>
      </c>
      <c r="E316" s="424" t="s">
        <v>11644</v>
      </c>
    </row>
    <row r="317" spans="2:5">
      <c r="B317" s="426">
        <v>2406</v>
      </c>
      <c r="C317" s="411">
        <v>3893</v>
      </c>
      <c r="D317" s="412">
        <v>45449</v>
      </c>
      <c r="E317" s="424" t="s">
        <v>12316</v>
      </c>
    </row>
    <row r="318" spans="2:5">
      <c r="B318" s="426">
        <v>2406</v>
      </c>
      <c r="C318" s="411">
        <v>3892</v>
      </c>
      <c r="D318" s="412">
        <v>45450</v>
      </c>
      <c r="E318" s="424" t="s">
        <v>11736</v>
      </c>
    </row>
    <row r="319" spans="2:5">
      <c r="B319" s="426">
        <v>2406</v>
      </c>
      <c r="C319" s="411">
        <v>3890</v>
      </c>
      <c r="D319" s="412">
        <v>45450</v>
      </c>
      <c r="E319" s="424" t="s">
        <v>11645</v>
      </c>
    </row>
    <row r="320" spans="2:5">
      <c r="B320" s="426">
        <v>2406</v>
      </c>
      <c r="C320" s="411">
        <v>3886</v>
      </c>
      <c r="D320" s="412">
        <v>45450</v>
      </c>
      <c r="E320" s="428" t="s">
        <v>11646</v>
      </c>
    </row>
    <row r="321" spans="2:5">
      <c r="B321" s="426">
        <v>2406</v>
      </c>
      <c r="C321" s="411">
        <v>3882</v>
      </c>
      <c r="D321" s="412">
        <v>45449</v>
      </c>
      <c r="E321" s="428" t="s">
        <v>12317</v>
      </c>
    </row>
    <row r="322" spans="2:5">
      <c r="B322" s="426">
        <v>2406</v>
      </c>
      <c r="C322" s="411">
        <v>3881</v>
      </c>
      <c r="D322" s="412">
        <v>45449</v>
      </c>
      <c r="E322" s="428" t="s">
        <v>12318</v>
      </c>
    </row>
    <row r="323" spans="2:5">
      <c r="B323" s="426">
        <v>2406</v>
      </c>
      <c r="C323" s="411">
        <v>3880</v>
      </c>
      <c r="D323" s="412">
        <v>45450</v>
      </c>
      <c r="E323" s="424" t="s">
        <v>11647</v>
      </c>
    </row>
    <row r="324" spans="2:5">
      <c r="B324" s="426">
        <v>2406</v>
      </c>
      <c r="C324" s="411">
        <v>3879</v>
      </c>
      <c r="D324" s="412">
        <v>45450</v>
      </c>
      <c r="E324" s="424" t="s">
        <v>11648</v>
      </c>
    </row>
    <row r="325" spans="2:5">
      <c r="B325" s="426">
        <v>2406</v>
      </c>
      <c r="C325" s="411">
        <v>3878</v>
      </c>
      <c r="D325" s="412">
        <v>45449</v>
      </c>
      <c r="E325" s="428" t="s">
        <v>12319</v>
      </c>
    </row>
    <row r="326" spans="2:5">
      <c r="B326" s="426">
        <v>2406</v>
      </c>
      <c r="C326" s="411">
        <v>3877</v>
      </c>
      <c r="D326" s="412">
        <v>45449</v>
      </c>
      <c r="E326" s="424" t="s">
        <v>12320</v>
      </c>
    </row>
    <row r="327" spans="2:5">
      <c r="B327" s="426">
        <v>2406</v>
      </c>
      <c r="C327" s="411">
        <v>3873</v>
      </c>
      <c r="D327" s="412">
        <v>45450</v>
      </c>
      <c r="E327" s="424" t="s">
        <v>11649</v>
      </c>
    </row>
    <row r="328" spans="2:5">
      <c r="B328" s="426">
        <v>2406</v>
      </c>
      <c r="C328" s="411">
        <v>3872</v>
      </c>
      <c r="D328" s="412">
        <v>45449</v>
      </c>
      <c r="E328" s="428" t="s">
        <v>12321</v>
      </c>
    </row>
    <row r="329" spans="2:5">
      <c r="B329" s="418" t="s">
        <v>11326</v>
      </c>
      <c r="C329" s="411">
        <v>3870</v>
      </c>
      <c r="D329" s="412">
        <v>45449</v>
      </c>
      <c r="E329" s="424" t="s">
        <v>12322</v>
      </c>
    </row>
    <row r="330" spans="2:5">
      <c r="B330" s="418" t="s">
        <v>11326</v>
      </c>
      <c r="C330" s="411">
        <v>3869</v>
      </c>
      <c r="D330" s="412">
        <v>45449</v>
      </c>
      <c r="E330" s="424" t="s">
        <v>12323</v>
      </c>
    </row>
    <row r="331" spans="2:5">
      <c r="B331" s="418" t="s">
        <v>11326</v>
      </c>
      <c r="C331" s="411">
        <v>3868</v>
      </c>
      <c r="D331" s="412">
        <v>45449</v>
      </c>
      <c r="E331" s="424" t="s">
        <v>12324</v>
      </c>
    </row>
    <row r="332" spans="2:5">
      <c r="B332" s="418" t="s">
        <v>11326</v>
      </c>
      <c r="C332" s="411">
        <v>3866</v>
      </c>
      <c r="D332" s="412">
        <v>45449</v>
      </c>
      <c r="E332" s="428" t="s">
        <v>12325</v>
      </c>
    </row>
    <row r="333" spans="2:5">
      <c r="B333" s="418" t="s">
        <v>11326</v>
      </c>
      <c r="C333" s="411">
        <v>3865</v>
      </c>
      <c r="D333" s="412">
        <v>45449</v>
      </c>
      <c r="E333" s="424" t="s">
        <v>12326</v>
      </c>
    </row>
    <row r="334" spans="2:5">
      <c r="B334" s="418" t="s">
        <v>11326</v>
      </c>
      <c r="C334" s="411">
        <v>3864</v>
      </c>
      <c r="D334" s="412">
        <v>45450</v>
      </c>
      <c r="E334" s="424" t="s">
        <v>11650</v>
      </c>
    </row>
    <row r="335" spans="2:5">
      <c r="B335" s="418" t="s">
        <v>11326</v>
      </c>
      <c r="C335" s="411">
        <v>3862</v>
      </c>
      <c r="D335" s="412">
        <v>45450</v>
      </c>
      <c r="E335" s="424" t="s">
        <v>11651</v>
      </c>
    </row>
    <row r="336" spans="2:5">
      <c r="B336" s="418" t="s">
        <v>11326</v>
      </c>
      <c r="C336" s="411">
        <v>3857</v>
      </c>
      <c r="D336" s="412">
        <v>45450</v>
      </c>
      <c r="E336" s="424" t="s">
        <v>11652</v>
      </c>
    </row>
    <row r="337" spans="2:5">
      <c r="B337" s="49" t="s">
        <v>11326</v>
      </c>
      <c r="C337" s="413">
        <v>3855</v>
      </c>
      <c r="D337" s="414">
        <v>45449</v>
      </c>
      <c r="E337" s="428" t="s">
        <v>12327</v>
      </c>
    </row>
    <row r="338" spans="2:5">
      <c r="B338" s="418" t="s">
        <v>11326</v>
      </c>
      <c r="C338" s="411">
        <v>3853</v>
      </c>
      <c r="D338" s="412">
        <v>45449</v>
      </c>
      <c r="E338" s="424" t="s">
        <v>12328</v>
      </c>
    </row>
    <row r="339" spans="2:5">
      <c r="B339" s="418" t="s">
        <v>11326</v>
      </c>
      <c r="C339" s="411">
        <v>3852</v>
      </c>
      <c r="D339" s="412">
        <v>45450</v>
      </c>
      <c r="E339" s="424" t="s">
        <v>11737</v>
      </c>
    </row>
    <row r="340" spans="2:5">
      <c r="B340" s="418" t="s">
        <v>11326</v>
      </c>
      <c r="C340" s="411">
        <v>3849</v>
      </c>
      <c r="D340" s="412">
        <v>45450</v>
      </c>
      <c r="E340" s="424" t="s">
        <v>11653</v>
      </c>
    </row>
    <row r="341" spans="2:5">
      <c r="B341" s="49" t="s">
        <v>11326</v>
      </c>
      <c r="C341" s="413">
        <v>3847</v>
      </c>
      <c r="D341" s="414">
        <v>45449</v>
      </c>
      <c r="E341" s="428" t="s">
        <v>12329</v>
      </c>
    </row>
    <row r="342" spans="2:5">
      <c r="B342" s="418" t="s">
        <v>11326</v>
      </c>
      <c r="C342" s="411">
        <v>3845</v>
      </c>
      <c r="D342" s="412">
        <v>45450</v>
      </c>
      <c r="E342" s="424" t="s">
        <v>11654</v>
      </c>
    </row>
    <row r="343" spans="2:5">
      <c r="B343" s="418" t="s">
        <v>11326</v>
      </c>
      <c r="C343" s="411">
        <v>3843</v>
      </c>
      <c r="D343" s="412">
        <v>45449</v>
      </c>
      <c r="E343" s="424" t="s">
        <v>12330</v>
      </c>
    </row>
    <row r="344" spans="2:5">
      <c r="B344" s="418" t="s">
        <v>11326</v>
      </c>
      <c r="C344" s="411">
        <v>3833</v>
      </c>
      <c r="D344" s="412">
        <v>45450</v>
      </c>
      <c r="E344" s="424" t="s">
        <v>11655</v>
      </c>
    </row>
    <row r="345" spans="2:5">
      <c r="B345" s="418" t="s">
        <v>11326</v>
      </c>
      <c r="C345" s="411">
        <v>3831</v>
      </c>
      <c r="D345" s="412">
        <v>45449</v>
      </c>
      <c r="E345" s="424" t="s">
        <v>12331</v>
      </c>
    </row>
    <row r="346" spans="2:5">
      <c r="B346" s="418" t="s">
        <v>11326</v>
      </c>
      <c r="C346" s="411">
        <v>3827</v>
      </c>
      <c r="D346" s="412">
        <v>45449</v>
      </c>
      <c r="E346" s="424" t="s">
        <v>12332</v>
      </c>
    </row>
    <row r="347" spans="2:5">
      <c r="B347" s="418" t="s">
        <v>11326</v>
      </c>
      <c r="C347" s="411">
        <v>3824</v>
      </c>
      <c r="D347" s="412">
        <v>45450</v>
      </c>
      <c r="E347" s="424" t="s">
        <v>11656</v>
      </c>
    </row>
    <row r="348" spans="2:5">
      <c r="B348" s="418" t="s">
        <v>11326</v>
      </c>
      <c r="C348" s="411">
        <v>3822</v>
      </c>
      <c r="D348" s="412">
        <v>45449</v>
      </c>
      <c r="E348" s="424" t="s">
        <v>12333</v>
      </c>
    </row>
    <row r="349" spans="2:5">
      <c r="B349" s="418" t="s">
        <v>11326</v>
      </c>
      <c r="C349" s="411">
        <v>3820</v>
      </c>
      <c r="D349" s="412">
        <v>45450</v>
      </c>
      <c r="E349" s="424" t="s">
        <v>11738</v>
      </c>
    </row>
    <row r="350" spans="2:5">
      <c r="B350" s="418" t="s">
        <v>11326</v>
      </c>
      <c r="C350" s="411">
        <v>3819</v>
      </c>
      <c r="D350" s="412">
        <v>45450</v>
      </c>
      <c r="E350" s="424" t="s">
        <v>11657</v>
      </c>
    </row>
    <row r="351" spans="2:5">
      <c r="B351" s="418" t="s">
        <v>11326</v>
      </c>
      <c r="C351" s="411">
        <v>3818</v>
      </c>
      <c r="D351" s="412">
        <v>45450</v>
      </c>
      <c r="E351" s="424" t="s">
        <v>11739</v>
      </c>
    </row>
    <row r="352" spans="2:5">
      <c r="B352" s="418" t="s">
        <v>11326</v>
      </c>
      <c r="C352" s="411">
        <v>3816</v>
      </c>
      <c r="D352" s="412">
        <v>45449</v>
      </c>
      <c r="E352" s="424" t="s">
        <v>12334</v>
      </c>
    </row>
    <row r="353" spans="2:5">
      <c r="B353" s="418" t="s">
        <v>11326</v>
      </c>
      <c r="C353" s="411">
        <v>3814</v>
      </c>
      <c r="D353" s="412">
        <v>45449</v>
      </c>
      <c r="E353" s="424" t="s">
        <v>12335</v>
      </c>
    </row>
    <row r="354" spans="2:5">
      <c r="B354" s="418" t="s">
        <v>11326</v>
      </c>
      <c r="C354" s="411">
        <v>3813</v>
      </c>
      <c r="D354" s="412">
        <v>45449</v>
      </c>
      <c r="E354" s="424" t="s">
        <v>12336</v>
      </c>
    </row>
    <row r="355" spans="2:5">
      <c r="B355" s="418" t="s">
        <v>11326</v>
      </c>
      <c r="C355" s="411">
        <v>3812</v>
      </c>
      <c r="D355" s="412">
        <v>45450</v>
      </c>
      <c r="E355" s="424" t="s">
        <v>11658</v>
      </c>
    </row>
    <row r="356" spans="2:5">
      <c r="B356" s="418" t="s">
        <v>11326</v>
      </c>
      <c r="C356" s="411">
        <v>3810</v>
      </c>
      <c r="D356" s="412">
        <v>45450</v>
      </c>
      <c r="E356" s="424" t="s">
        <v>11740</v>
      </c>
    </row>
    <row r="357" spans="2:5">
      <c r="B357" s="418" t="s">
        <v>11326</v>
      </c>
      <c r="C357" s="411">
        <v>3808</v>
      </c>
      <c r="D357" s="412">
        <v>45450</v>
      </c>
      <c r="E357" s="424" t="s">
        <v>11659</v>
      </c>
    </row>
    <row r="358" spans="2:5">
      <c r="B358" s="418" t="s">
        <v>11326</v>
      </c>
      <c r="C358" s="411">
        <v>3805</v>
      </c>
      <c r="D358" s="412">
        <v>45449</v>
      </c>
      <c r="E358" s="424" t="s">
        <v>12337</v>
      </c>
    </row>
    <row r="359" spans="2:5">
      <c r="B359" s="418" t="s">
        <v>11326</v>
      </c>
      <c r="C359" s="425" t="s">
        <v>11660</v>
      </c>
      <c r="D359" s="412">
        <v>45450</v>
      </c>
      <c r="E359" s="424" t="s">
        <v>11661</v>
      </c>
    </row>
    <row r="360" spans="2:5">
      <c r="B360" s="418" t="s">
        <v>11326</v>
      </c>
      <c r="C360" s="425">
        <v>3793</v>
      </c>
      <c r="D360" s="412">
        <v>45450</v>
      </c>
      <c r="E360" s="424" t="s">
        <v>11662</v>
      </c>
    </row>
    <row r="361" spans="2:5">
      <c r="B361" s="418" t="s">
        <v>11326</v>
      </c>
      <c r="C361" s="429">
        <v>3792</v>
      </c>
      <c r="D361" s="414">
        <v>45449</v>
      </c>
      <c r="E361" s="428" t="s">
        <v>12338</v>
      </c>
    </row>
    <row r="362" spans="2:5">
      <c r="B362" s="418" t="s">
        <v>11326</v>
      </c>
      <c r="C362" s="425">
        <v>3791</v>
      </c>
      <c r="D362" s="412">
        <v>45450</v>
      </c>
      <c r="E362" s="424" t="s">
        <v>11663</v>
      </c>
    </row>
    <row r="363" spans="2:5">
      <c r="B363" s="418" t="s">
        <v>11326</v>
      </c>
      <c r="C363" s="425">
        <v>3790</v>
      </c>
      <c r="D363" s="412">
        <v>45449</v>
      </c>
      <c r="E363" s="424" t="s">
        <v>12339</v>
      </c>
    </row>
    <row r="364" spans="2:5">
      <c r="B364" s="418" t="s">
        <v>11326</v>
      </c>
      <c r="C364" s="425">
        <v>3789</v>
      </c>
      <c r="D364" s="412">
        <v>45450</v>
      </c>
      <c r="E364" s="424" t="s">
        <v>11664</v>
      </c>
    </row>
    <row r="365" spans="2:5">
      <c r="B365" s="418" t="s">
        <v>11326</v>
      </c>
      <c r="C365" s="425">
        <v>3787</v>
      </c>
      <c r="D365" s="412">
        <v>45450</v>
      </c>
      <c r="E365" s="424" t="s">
        <v>11741</v>
      </c>
    </row>
    <row r="366" spans="2:5">
      <c r="B366" s="418" t="s">
        <v>11326</v>
      </c>
      <c r="C366" s="425">
        <v>3777</v>
      </c>
      <c r="D366" s="412">
        <v>45450</v>
      </c>
      <c r="E366" s="424" t="s">
        <v>11665</v>
      </c>
    </row>
    <row r="367" spans="2:5">
      <c r="B367" s="418" t="s">
        <v>11326</v>
      </c>
      <c r="C367" s="425">
        <v>3776</v>
      </c>
      <c r="D367" s="412">
        <v>45449</v>
      </c>
      <c r="E367" s="424" t="s">
        <v>12340</v>
      </c>
    </row>
    <row r="368" spans="2:5">
      <c r="B368" s="418" t="s">
        <v>11326</v>
      </c>
      <c r="C368" s="425">
        <v>3773</v>
      </c>
      <c r="D368" s="412">
        <v>45449</v>
      </c>
      <c r="E368" s="424" t="s">
        <v>12341</v>
      </c>
    </row>
    <row r="369" spans="2:5">
      <c r="B369" s="418" t="s">
        <v>11326</v>
      </c>
      <c r="C369" s="425">
        <v>3772</v>
      </c>
      <c r="D369" s="412">
        <v>45449</v>
      </c>
      <c r="E369" s="424" t="s">
        <v>12342</v>
      </c>
    </row>
    <row r="370" spans="2:5">
      <c r="B370" s="418" t="s">
        <v>11326</v>
      </c>
      <c r="C370" s="425">
        <v>3769</v>
      </c>
      <c r="D370" s="412">
        <v>45450</v>
      </c>
      <c r="E370" s="424" t="s">
        <v>11666</v>
      </c>
    </row>
    <row r="371" spans="2:5">
      <c r="B371" s="418" t="s">
        <v>11326</v>
      </c>
      <c r="C371" s="425">
        <v>3768</v>
      </c>
      <c r="D371" s="412">
        <v>45450</v>
      </c>
      <c r="E371" s="424" t="s">
        <v>11667</v>
      </c>
    </row>
    <row r="372" spans="2:5">
      <c r="B372" s="418" t="s">
        <v>11326</v>
      </c>
      <c r="C372" s="425">
        <v>3766</v>
      </c>
      <c r="D372" s="412">
        <v>45450</v>
      </c>
      <c r="E372" s="424" t="s">
        <v>11742</v>
      </c>
    </row>
    <row r="373" spans="2:5">
      <c r="B373" s="418" t="s">
        <v>11326</v>
      </c>
      <c r="C373" s="425">
        <v>3762</v>
      </c>
      <c r="D373" s="412">
        <v>45449</v>
      </c>
      <c r="E373" s="424" t="s">
        <v>12343</v>
      </c>
    </row>
    <row r="374" spans="2:5">
      <c r="B374" s="418" t="s">
        <v>11326</v>
      </c>
      <c r="C374" s="425">
        <v>3757</v>
      </c>
      <c r="D374" s="412">
        <v>45450</v>
      </c>
      <c r="E374" s="424" t="s">
        <v>11743</v>
      </c>
    </row>
    <row r="375" spans="2:5">
      <c r="B375" s="418" t="s">
        <v>11326</v>
      </c>
      <c r="C375" s="425">
        <v>3753</v>
      </c>
      <c r="D375" s="412">
        <v>45449</v>
      </c>
      <c r="E375" s="424" t="s">
        <v>12344</v>
      </c>
    </row>
    <row r="376" spans="2:5">
      <c r="B376" s="418" t="s">
        <v>11326</v>
      </c>
      <c r="C376" s="425">
        <v>3751</v>
      </c>
      <c r="D376" s="412">
        <v>45450</v>
      </c>
      <c r="E376" s="424" t="s">
        <v>11668</v>
      </c>
    </row>
    <row r="377" spans="2:5">
      <c r="B377" s="418" t="s">
        <v>11326</v>
      </c>
      <c r="C377" s="425">
        <v>3749</v>
      </c>
      <c r="D377" s="412">
        <v>45449</v>
      </c>
      <c r="E377" s="424" t="s">
        <v>12345</v>
      </c>
    </row>
    <row r="378" spans="2:5">
      <c r="B378" s="418" t="s">
        <v>11326</v>
      </c>
      <c r="C378" s="425">
        <v>3747</v>
      </c>
      <c r="D378" s="412">
        <v>45450</v>
      </c>
      <c r="E378" s="424" t="s">
        <v>11744</v>
      </c>
    </row>
    <row r="379" spans="2:5">
      <c r="B379" s="418" t="s">
        <v>11326</v>
      </c>
      <c r="C379" s="425">
        <v>3746</v>
      </c>
      <c r="D379" s="412">
        <v>45449</v>
      </c>
      <c r="E379" s="424" t="s">
        <v>12346</v>
      </c>
    </row>
    <row r="380" spans="2:5">
      <c r="B380" s="418" t="s">
        <v>11326</v>
      </c>
      <c r="C380" s="425">
        <v>3744</v>
      </c>
      <c r="D380" s="412">
        <v>45450</v>
      </c>
      <c r="E380" s="424" t="s">
        <v>11745</v>
      </c>
    </row>
    <row r="381" spans="2:5">
      <c r="B381" s="418" t="s">
        <v>11326</v>
      </c>
      <c r="C381" s="425">
        <v>3736</v>
      </c>
      <c r="D381" s="412">
        <v>45450</v>
      </c>
      <c r="E381" s="424" t="s">
        <v>11669</v>
      </c>
    </row>
    <row r="382" spans="2:5">
      <c r="B382" s="418" t="s">
        <v>11326</v>
      </c>
      <c r="C382" s="425">
        <v>3735</v>
      </c>
      <c r="D382" s="412">
        <v>45450</v>
      </c>
      <c r="E382" s="424" t="s">
        <v>11746</v>
      </c>
    </row>
    <row r="383" spans="2:5">
      <c r="B383" s="418" t="s">
        <v>11326</v>
      </c>
      <c r="C383" s="425">
        <v>3733</v>
      </c>
      <c r="D383" s="412">
        <v>45450</v>
      </c>
      <c r="E383" s="424" t="s">
        <v>11670</v>
      </c>
    </row>
    <row r="384" spans="2:5">
      <c r="B384" s="418" t="s">
        <v>11326</v>
      </c>
      <c r="C384" s="425">
        <v>3731</v>
      </c>
      <c r="D384" s="412">
        <v>45450</v>
      </c>
      <c r="E384" s="424" t="s">
        <v>11671</v>
      </c>
    </row>
    <row r="385" spans="2:5">
      <c r="B385" s="418" t="s">
        <v>11326</v>
      </c>
      <c r="C385" s="425">
        <v>3730</v>
      </c>
      <c r="D385" s="412">
        <v>45450</v>
      </c>
      <c r="E385" s="424" t="s">
        <v>11672</v>
      </c>
    </row>
    <row r="386" spans="2:5">
      <c r="B386" s="418" t="s">
        <v>11326</v>
      </c>
      <c r="C386" s="425">
        <v>3729</v>
      </c>
      <c r="D386" s="412">
        <v>45450</v>
      </c>
      <c r="E386" s="424" t="s">
        <v>11673</v>
      </c>
    </row>
    <row r="387" spans="2:5">
      <c r="B387" s="418" t="s">
        <v>11326</v>
      </c>
      <c r="C387" s="425">
        <v>3728</v>
      </c>
      <c r="D387" s="412">
        <v>45449</v>
      </c>
      <c r="E387" s="424" t="s">
        <v>12347</v>
      </c>
    </row>
    <row r="388" spans="2:5">
      <c r="B388" s="418" t="s">
        <v>11326</v>
      </c>
      <c r="C388" s="425">
        <v>3726</v>
      </c>
      <c r="D388" s="412">
        <v>45450</v>
      </c>
      <c r="E388" s="424" t="s">
        <v>11674</v>
      </c>
    </row>
    <row r="389" spans="2:5">
      <c r="B389" s="418" t="s">
        <v>11326</v>
      </c>
      <c r="C389" s="425">
        <v>3725</v>
      </c>
      <c r="D389" s="412">
        <v>45449</v>
      </c>
      <c r="E389" s="424" t="s">
        <v>12348</v>
      </c>
    </row>
    <row r="390" spans="2:5">
      <c r="B390" s="418" t="s">
        <v>11326</v>
      </c>
      <c r="C390" s="425">
        <v>3723</v>
      </c>
      <c r="D390" s="412">
        <v>45449</v>
      </c>
      <c r="E390" s="424" t="s">
        <v>12349</v>
      </c>
    </row>
    <row r="391" spans="2:5">
      <c r="B391" s="418" t="s">
        <v>11326</v>
      </c>
      <c r="C391" s="425">
        <v>3722</v>
      </c>
      <c r="D391" s="412">
        <v>45450</v>
      </c>
      <c r="E391" s="424" t="s">
        <v>11675</v>
      </c>
    </row>
    <row r="392" spans="2:5">
      <c r="B392" s="418" t="s">
        <v>11326</v>
      </c>
      <c r="C392" s="425">
        <v>3720</v>
      </c>
      <c r="D392" s="412">
        <v>45449</v>
      </c>
      <c r="E392" s="424" t="s">
        <v>12350</v>
      </c>
    </row>
    <row r="393" spans="2:5">
      <c r="B393" s="418" t="s">
        <v>11326</v>
      </c>
      <c r="C393" s="425">
        <v>3718</v>
      </c>
      <c r="D393" s="412">
        <v>45449</v>
      </c>
      <c r="E393" s="424" t="s">
        <v>12351</v>
      </c>
    </row>
    <row r="394" spans="2:5">
      <c r="B394" s="49" t="s">
        <v>11326</v>
      </c>
      <c r="C394" s="429">
        <v>3714</v>
      </c>
      <c r="D394" s="414">
        <v>45449</v>
      </c>
      <c r="E394" s="428" t="s">
        <v>12352</v>
      </c>
    </row>
    <row r="395" spans="2:5">
      <c r="B395" s="49" t="s">
        <v>11326</v>
      </c>
      <c r="C395" s="429">
        <v>3712</v>
      </c>
      <c r="D395" s="414">
        <v>45450</v>
      </c>
      <c r="E395" s="428" t="s">
        <v>11747</v>
      </c>
    </row>
    <row r="396" spans="2:5">
      <c r="B396" s="418" t="s">
        <v>11326</v>
      </c>
      <c r="C396" s="425">
        <v>3711</v>
      </c>
      <c r="D396" s="412">
        <v>45449</v>
      </c>
      <c r="E396" s="424" t="s">
        <v>12353</v>
      </c>
    </row>
    <row r="397" spans="2:5">
      <c r="B397" s="418" t="s">
        <v>11326</v>
      </c>
      <c r="C397" s="425">
        <v>3710</v>
      </c>
      <c r="D397" s="412">
        <v>45450</v>
      </c>
      <c r="E397" s="424" t="s">
        <v>11676</v>
      </c>
    </row>
    <row r="398" spans="2:5">
      <c r="B398" s="418" t="s">
        <v>11326</v>
      </c>
      <c r="C398" s="425">
        <v>3707</v>
      </c>
      <c r="D398" s="412">
        <v>45450</v>
      </c>
      <c r="E398" s="424" t="s">
        <v>11677</v>
      </c>
    </row>
    <row r="399" spans="2:5">
      <c r="B399" s="418" t="s">
        <v>11326</v>
      </c>
      <c r="C399" s="425">
        <v>3706</v>
      </c>
      <c r="D399" s="412">
        <v>45449</v>
      </c>
      <c r="E399" s="424" t="s">
        <v>12354</v>
      </c>
    </row>
    <row r="400" spans="2:5">
      <c r="B400" s="418" t="s">
        <v>11326</v>
      </c>
      <c r="C400" s="425">
        <v>3704</v>
      </c>
      <c r="D400" s="412">
        <v>45450</v>
      </c>
      <c r="E400" s="424" t="s">
        <v>11678</v>
      </c>
    </row>
    <row r="401" spans="2:5">
      <c r="B401" s="418" t="s">
        <v>11326</v>
      </c>
      <c r="C401" s="425">
        <v>3703</v>
      </c>
      <c r="D401" s="412">
        <v>45450</v>
      </c>
      <c r="E401" s="424" t="s">
        <v>11748</v>
      </c>
    </row>
    <row r="402" spans="2:5">
      <c r="B402" s="418" t="s">
        <v>11326</v>
      </c>
      <c r="C402" s="425">
        <v>3702</v>
      </c>
      <c r="D402" s="412">
        <v>45449</v>
      </c>
      <c r="E402" s="424" t="s">
        <v>12355</v>
      </c>
    </row>
    <row r="403" spans="2:5">
      <c r="B403" s="418" t="s">
        <v>11326</v>
      </c>
      <c r="C403" s="425">
        <v>3701</v>
      </c>
      <c r="D403" s="412">
        <v>45449</v>
      </c>
      <c r="E403" s="424" t="s">
        <v>12356</v>
      </c>
    </row>
    <row r="404" spans="2:5">
      <c r="B404" s="418" t="s">
        <v>11326</v>
      </c>
      <c r="C404" s="425">
        <v>3699</v>
      </c>
      <c r="D404" s="412">
        <v>45449</v>
      </c>
      <c r="E404" s="424" t="s">
        <v>12357</v>
      </c>
    </row>
    <row r="405" spans="2:5">
      <c r="B405" s="418" t="s">
        <v>11326</v>
      </c>
      <c r="C405" s="425">
        <v>3697</v>
      </c>
      <c r="D405" s="412">
        <v>45449</v>
      </c>
      <c r="E405" s="424" t="s">
        <v>12358</v>
      </c>
    </row>
    <row r="406" spans="2:5">
      <c r="B406" s="418" t="s">
        <v>11326</v>
      </c>
      <c r="C406" s="425">
        <v>3696</v>
      </c>
      <c r="D406" s="412">
        <v>45450</v>
      </c>
      <c r="E406" s="424" t="s">
        <v>11749</v>
      </c>
    </row>
    <row r="407" spans="2:5">
      <c r="B407" s="418" t="s">
        <v>11326</v>
      </c>
      <c r="C407" s="425">
        <v>3694</v>
      </c>
      <c r="D407" s="412">
        <v>45449</v>
      </c>
      <c r="E407" s="424" t="s">
        <v>12359</v>
      </c>
    </row>
    <row r="408" spans="2:5">
      <c r="B408" s="418" t="s">
        <v>11326</v>
      </c>
      <c r="C408" s="425">
        <v>3689</v>
      </c>
      <c r="D408" s="412">
        <v>45449</v>
      </c>
      <c r="E408" s="424" t="s">
        <v>12360</v>
      </c>
    </row>
    <row r="409" spans="2:5">
      <c r="B409" s="418" t="s">
        <v>11326</v>
      </c>
      <c r="C409" s="425">
        <v>3688</v>
      </c>
      <c r="D409" s="412">
        <v>45449</v>
      </c>
      <c r="E409" s="424" t="s">
        <v>12361</v>
      </c>
    </row>
    <row r="410" spans="2:5">
      <c r="B410" s="418" t="s">
        <v>11326</v>
      </c>
      <c r="C410" s="425">
        <v>3686</v>
      </c>
      <c r="D410" s="412">
        <v>45450</v>
      </c>
      <c r="E410" s="424" t="s">
        <v>11679</v>
      </c>
    </row>
    <row r="411" spans="2:5">
      <c r="B411" s="418" t="s">
        <v>11326</v>
      </c>
      <c r="C411" s="425">
        <v>3684</v>
      </c>
      <c r="D411" s="412">
        <v>45449</v>
      </c>
      <c r="E411" s="424" t="s">
        <v>12362</v>
      </c>
    </row>
    <row r="412" spans="2:5">
      <c r="B412" s="418" t="s">
        <v>11326</v>
      </c>
      <c r="C412" s="425">
        <v>3683</v>
      </c>
      <c r="D412" s="412">
        <v>45450</v>
      </c>
      <c r="E412" s="424" t="s">
        <v>11680</v>
      </c>
    </row>
    <row r="413" spans="2:5">
      <c r="B413" s="418" t="s">
        <v>11326</v>
      </c>
      <c r="C413" s="425">
        <v>3682</v>
      </c>
      <c r="D413" s="412">
        <v>45450</v>
      </c>
      <c r="E413" s="424" t="s">
        <v>11681</v>
      </c>
    </row>
    <row r="414" spans="2:5">
      <c r="B414" s="418" t="s">
        <v>11326</v>
      </c>
      <c r="C414" s="425">
        <v>3680</v>
      </c>
      <c r="D414" s="412">
        <v>45450</v>
      </c>
      <c r="E414" s="424" t="s">
        <v>11682</v>
      </c>
    </row>
    <row r="415" spans="2:5">
      <c r="B415" s="418" t="s">
        <v>11326</v>
      </c>
      <c r="C415" s="425">
        <v>3679</v>
      </c>
      <c r="D415" s="412">
        <v>45450</v>
      </c>
      <c r="E415" s="424" t="s">
        <v>11750</v>
      </c>
    </row>
    <row r="416" spans="2:5">
      <c r="B416" s="418" t="s">
        <v>11326</v>
      </c>
      <c r="C416" s="425">
        <v>3678</v>
      </c>
      <c r="D416" s="412">
        <v>45450</v>
      </c>
      <c r="E416" s="424" t="s">
        <v>11683</v>
      </c>
    </row>
    <row r="417" spans="2:5">
      <c r="B417" s="418" t="s">
        <v>11326</v>
      </c>
      <c r="C417" s="425">
        <v>3673</v>
      </c>
      <c r="D417" s="412">
        <v>45449</v>
      </c>
      <c r="E417" s="424" t="s">
        <v>12363</v>
      </c>
    </row>
    <row r="418" spans="2:5">
      <c r="B418" s="418" t="s">
        <v>11326</v>
      </c>
      <c r="C418" s="425">
        <v>3671</v>
      </c>
      <c r="D418" s="412">
        <v>45450</v>
      </c>
      <c r="E418" s="424" t="s">
        <v>11684</v>
      </c>
    </row>
    <row r="419" spans="2:5">
      <c r="B419" s="418" t="s">
        <v>11326</v>
      </c>
      <c r="C419" s="425">
        <v>3668</v>
      </c>
      <c r="D419" s="412">
        <v>45449</v>
      </c>
      <c r="E419" s="424" t="s">
        <v>12364</v>
      </c>
    </row>
    <row r="420" spans="2:5">
      <c r="B420" s="418" t="s">
        <v>11326</v>
      </c>
      <c r="C420" s="425">
        <v>3666</v>
      </c>
      <c r="D420" s="412">
        <v>45449</v>
      </c>
      <c r="E420" s="424" t="s">
        <v>12365</v>
      </c>
    </row>
    <row r="421" spans="2:5">
      <c r="B421" s="418" t="s">
        <v>11326</v>
      </c>
      <c r="C421" s="425">
        <v>3665</v>
      </c>
      <c r="D421" s="412">
        <v>45450</v>
      </c>
      <c r="E421" s="424" t="s">
        <v>11685</v>
      </c>
    </row>
    <row r="422" spans="2:5">
      <c r="B422" s="418" t="s">
        <v>11326</v>
      </c>
      <c r="C422" s="425">
        <v>3663</v>
      </c>
      <c r="D422" s="412">
        <v>45450</v>
      </c>
      <c r="E422" s="424" t="s">
        <v>11751</v>
      </c>
    </row>
    <row r="423" spans="2:5">
      <c r="B423" s="418" t="s">
        <v>11326</v>
      </c>
      <c r="C423" s="425">
        <v>3662</v>
      </c>
      <c r="D423" s="412">
        <v>45450</v>
      </c>
      <c r="E423" s="424" t="s">
        <v>11686</v>
      </c>
    </row>
    <row r="424" spans="2:5">
      <c r="B424" s="418" t="s">
        <v>11326</v>
      </c>
      <c r="C424" s="425">
        <v>3660</v>
      </c>
      <c r="D424" s="412">
        <v>45449</v>
      </c>
      <c r="E424" s="424" t="s">
        <v>12366</v>
      </c>
    </row>
    <row r="425" spans="2:5">
      <c r="B425" s="418" t="s">
        <v>11326</v>
      </c>
      <c r="C425" s="425">
        <v>3653</v>
      </c>
      <c r="D425" s="412">
        <v>45450</v>
      </c>
      <c r="E425" s="424" t="s">
        <v>11752</v>
      </c>
    </row>
    <row r="426" spans="2:5">
      <c r="B426" s="418" t="s">
        <v>11326</v>
      </c>
      <c r="C426" s="425">
        <v>3652</v>
      </c>
      <c r="D426" s="412">
        <v>45450</v>
      </c>
      <c r="E426" s="424" t="s">
        <v>11753</v>
      </c>
    </row>
    <row r="427" spans="2:5">
      <c r="B427" s="418" t="s">
        <v>11326</v>
      </c>
      <c r="C427" s="425">
        <v>3651</v>
      </c>
      <c r="D427" s="412">
        <v>45450</v>
      </c>
      <c r="E427" s="424" t="s">
        <v>11687</v>
      </c>
    </row>
    <row r="428" spans="2:5">
      <c r="B428" s="418" t="s">
        <v>11326</v>
      </c>
      <c r="C428" s="425">
        <v>3647</v>
      </c>
      <c r="D428" s="412">
        <v>45450</v>
      </c>
      <c r="E428" s="424" t="s">
        <v>11688</v>
      </c>
    </row>
    <row r="429" spans="2:5">
      <c r="B429" s="418" t="s">
        <v>11326</v>
      </c>
      <c r="C429" s="425">
        <v>3642</v>
      </c>
      <c r="D429" s="412">
        <v>45450</v>
      </c>
      <c r="E429" s="424" t="s">
        <v>11754</v>
      </c>
    </row>
    <row r="430" spans="2:5">
      <c r="B430" s="418" t="s">
        <v>11326</v>
      </c>
      <c r="C430" s="425">
        <v>3637</v>
      </c>
      <c r="D430" s="412">
        <v>45450</v>
      </c>
      <c r="E430" s="424" t="s">
        <v>11755</v>
      </c>
    </row>
    <row r="431" spans="2:5">
      <c r="B431" s="418" t="s">
        <v>11326</v>
      </c>
      <c r="C431" s="425">
        <v>3636</v>
      </c>
      <c r="D431" s="412">
        <v>45450</v>
      </c>
      <c r="E431" s="424" t="s">
        <v>11756</v>
      </c>
    </row>
    <row r="432" spans="2:5">
      <c r="B432" s="418" t="s">
        <v>11326</v>
      </c>
      <c r="C432" s="425">
        <v>3631</v>
      </c>
      <c r="D432" s="412">
        <v>45450</v>
      </c>
      <c r="E432" s="424" t="s">
        <v>11689</v>
      </c>
    </row>
    <row r="433" spans="2:5">
      <c r="B433" s="418" t="s">
        <v>11326</v>
      </c>
      <c r="C433" s="425">
        <v>3630</v>
      </c>
      <c r="D433" s="412">
        <v>45450</v>
      </c>
      <c r="E433" s="424" t="s">
        <v>11757</v>
      </c>
    </row>
    <row r="434" spans="2:5">
      <c r="B434" s="418" t="s">
        <v>11326</v>
      </c>
      <c r="C434" s="425">
        <v>3628</v>
      </c>
      <c r="D434" s="412">
        <v>45450</v>
      </c>
      <c r="E434" s="424" t="s">
        <v>11758</v>
      </c>
    </row>
    <row r="435" spans="2:5">
      <c r="B435" s="418" t="s">
        <v>11326</v>
      </c>
      <c r="C435" s="425">
        <v>3625</v>
      </c>
      <c r="D435" s="412">
        <v>45449</v>
      </c>
      <c r="E435" s="424" t="s">
        <v>12367</v>
      </c>
    </row>
    <row r="436" spans="2:5">
      <c r="B436" s="418" t="s">
        <v>11326</v>
      </c>
      <c r="C436" s="425">
        <v>3620</v>
      </c>
      <c r="D436" s="412">
        <v>45450</v>
      </c>
      <c r="E436" s="424" t="s">
        <v>11690</v>
      </c>
    </row>
    <row r="437" spans="2:5">
      <c r="B437" s="418" t="s">
        <v>11326</v>
      </c>
      <c r="C437" s="425">
        <v>3619</v>
      </c>
      <c r="D437" s="412">
        <v>45450</v>
      </c>
      <c r="E437" s="424" t="s">
        <v>11691</v>
      </c>
    </row>
    <row r="438" spans="2:5">
      <c r="B438" s="418" t="s">
        <v>11326</v>
      </c>
      <c r="C438" s="425">
        <v>3618</v>
      </c>
      <c r="D438" s="412">
        <v>45449</v>
      </c>
      <c r="E438" s="424" t="s">
        <v>12368</v>
      </c>
    </row>
    <row r="439" spans="2:5">
      <c r="B439" s="418" t="s">
        <v>11326</v>
      </c>
      <c r="C439" s="425">
        <v>3616</v>
      </c>
      <c r="D439" s="412">
        <v>45450</v>
      </c>
      <c r="E439" s="424" t="s">
        <v>11759</v>
      </c>
    </row>
    <row r="440" spans="2:5">
      <c r="B440" s="418" t="s">
        <v>11326</v>
      </c>
      <c r="C440" s="425">
        <v>3614</v>
      </c>
      <c r="D440" s="412">
        <v>45450</v>
      </c>
      <c r="E440" s="424" t="s">
        <v>11692</v>
      </c>
    </row>
    <row r="441" spans="2:5">
      <c r="B441" s="418" t="s">
        <v>11326</v>
      </c>
      <c r="C441" s="425">
        <v>3611</v>
      </c>
      <c r="D441" s="412">
        <v>45450</v>
      </c>
      <c r="E441" s="424" t="s">
        <v>11693</v>
      </c>
    </row>
    <row r="442" spans="2:5">
      <c r="B442" s="418" t="s">
        <v>11326</v>
      </c>
      <c r="C442" s="425">
        <v>3608</v>
      </c>
      <c r="D442" s="412">
        <v>45449</v>
      </c>
      <c r="E442" s="424" t="s">
        <v>12369</v>
      </c>
    </row>
    <row r="443" spans="2:5">
      <c r="B443" s="418" t="s">
        <v>11326</v>
      </c>
      <c r="C443" s="425">
        <v>3603</v>
      </c>
      <c r="D443" s="412">
        <v>45450</v>
      </c>
      <c r="E443" s="424" t="s">
        <v>11694</v>
      </c>
    </row>
    <row r="444" spans="2:5">
      <c r="B444" s="418" t="s">
        <v>11326</v>
      </c>
      <c r="C444" s="425">
        <v>3600</v>
      </c>
      <c r="D444" s="412">
        <v>45449</v>
      </c>
      <c r="E444" s="424" t="s">
        <v>12370</v>
      </c>
    </row>
    <row r="445" spans="2:5">
      <c r="B445" s="418" t="s">
        <v>11326</v>
      </c>
      <c r="C445" s="425">
        <v>3599</v>
      </c>
      <c r="D445" s="412">
        <v>45450</v>
      </c>
      <c r="E445" s="424" t="s">
        <v>11760</v>
      </c>
    </row>
    <row r="446" spans="2:5">
      <c r="B446" s="418" t="s">
        <v>11326</v>
      </c>
      <c r="C446" s="425">
        <v>3594</v>
      </c>
      <c r="D446" s="412">
        <v>45450</v>
      </c>
      <c r="E446" s="424" t="s">
        <v>11761</v>
      </c>
    </row>
    <row r="447" spans="2:5">
      <c r="B447" s="418" t="s">
        <v>11326</v>
      </c>
      <c r="C447" s="425">
        <v>3592</v>
      </c>
      <c r="D447" s="412">
        <v>45449</v>
      </c>
      <c r="E447" s="424" t="s">
        <v>12371</v>
      </c>
    </row>
    <row r="448" spans="2:5">
      <c r="B448" s="418" t="s">
        <v>11326</v>
      </c>
      <c r="C448" s="425">
        <v>3591</v>
      </c>
      <c r="D448" s="412">
        <v>45450</v>
      </c>
      <c r="E448" s="424" t="s">
        <v>11762</v>
      </c>
    </row>
    <row r="449" spans="2:5">
      <c r="B449" s="418" t="s">
        <v>11326</v>
      </c>
      <c r="C449" s="425">
        <v>3589</v>
      </c>
      <c r="D449" s="412">
        <v>45449</v>
      </c>
      <c r="E449" s="424" t="s">
        <v>12372</v>
      </c>
    </row>
    <row r="450" spans="2:5">
      <c r="B450" s="418" t="s">
        <v>11326</v>
      </c>
      <c r="C450" s="425">
        <v>3586</v>
      </c>
      <c r="D450" s="412">
        <v>45450</v>
      </c>
      <c r="E450" s="424" t="s">
        <v>11763</v>
      </c>
    </row>
    <row r="451" spans="2:5">
      <c r="B451" s="418" t="s">
        <v>11326</v>
      </c>
      <c r="C451" s="425">
        <v>3585</v>
      </c>
      <c r="D451" s="412">
        <v>45450</v>
      </c>
      <c r="E451" s="424" t="s">
        <v>11695</v>
      </c>
    </row>
    <row r="452" spans="2:5">
      <c r="B452" s="418" t="s">
        <v>11326</v>
      </c>
      <c r="C452" s="425">
        <v>3582</v>
      </c>
      <c r="D452" s="412">
        <v>45449</v>
      </c>
      <c r="E452" s="424" t="s">
        <v>12373</v>
      </c>
    </row>
    <row r="453" spans="2:5">
      <c r="B453" s="418" t="s">
        <v>11326</v>
      </c>
      <c r="C453" s="425">
        <v>3575</v>
      </c>
      <c r="D453" s="412">
        <v>45450</v>
      </c>
      <c r="E453" s="424" t="s">
        <v>11696</v>
      </c>
    </row>
    <row r="454" spans="2:5">
      <c r="B454" s="418" t="s">
        <v>11326</v>
      </c>
      <c r="C454" s="425">
        <v>3574</v>
      </c>
      <c r="D454" s="412">
        <v>45450</v>
      </c>
      <c r="E454" s="424" t="s">
        <v>11764</v>
      </c>
    </row>
    <row r="455" spans="2:5">
      <c r="B455" s="418" t="s">
        <v>11326</v>
      </c>
      <c r="C455" s="425">
        <v>3569</v>
      </c>
      <c r="D455" s="412">
        <v>45450</v>
      </c>
      <c r="E455" s="424" t="s">
        <v>11765</v>
      </c>
    </row>
    <row r="456" spans="2:5">
      <c r="B456" s="418" t="s">
        <v>11326</v>
      </c>
      <c r="C456" s="425">
        <v>3562</v>
      </c>
      <c r="D456" s="412">
        <v>45450</v>
      </c>
      <c r="E456" s="424" t="s">
        <v>11766</v>
      </c>
    </row>
    <row r="457" spans="2:5">
      <c r="B457" s="418" t="s">
        <v>11326</v>
      </c>
      <c r="C457" s="425">
        <v>3548</v>
      </c>
      <c r="D457" s="412">
        <v>45450</v>
      </c>
      <c r="E457" s="424" t="s">
        <v>11767</v>
      </c>
    </row>
    <row r="458" spans="2:5">
      <c r="B458" s="418" t="s">
        <v>11326</v>
      </c>
      <c r="C458" s="425">
        <v>3537</v>
      </c>
      <c r="D458" s="412">
        <v>45450</v>
      </c>
      <c r="E458" s="424" t="s">
        <v>11697</v>
      </c>
    </row>
    <row r="459" spans="2:5">
      <c r="B459" s="418" t="s">
        <v>11326</v>
      </c>
      <c r="C459" s="425">
        <v>3520</v>
      </c>
      <c r="D459" s="412">
        <v>45450</v>
      </c>
      <c r="E459" s="424" t="s">
        <v>11768</v>
      </c>
    </row>
    <row r="460" spans="2:5">
      <c r="B460" s="418" t="s">
        <v>11326</v>
      </c>
      <c r="C460" s="425">
        <v>3519</v>
      </c>
      <c r="D460" s="412">
        <v>45450</v>
      </c>
      <c r="E460" s="424" t="s">
        <v>11698</v>
      </c>
    </row>
    <row r="461" spans="2:5">
      <c r="B461" s="418" t="s">
        <v>11326</v>
      </c>
      <c r="C461" s="425">
        <v>3516</v>
      </c>
      <c r="D461" s="412">
        <v>45450</v>
      </c>
      <c r="E461" s="424" t="s">
        <v>11769</v>
      </c>
    </row>
    <row r="462" spans="2:5">
      <c r="B462" s="418" t="s">
        <v>11326</v>
      </c>
      <c r="C462" s="425">
        <v>3512</v>
      </c>
      <c r="D462" s="412">
        <v>45453</v>
      </c>
      <c r="E462" s="424" t="s">
        <v>12469</v>
      </c>
    </row>
    <row r="463" spans="2:5">
      <c r="B463" s="418" t="s">
        <v>11326</v>
      </c>
      <c r="C463" s="425">
        <v>3511</v>
      </c>
      <c r="D463" s="412">
        <v>45450</v>
      </c>
      <c r="E463" s="424" t="s">
        <v>11699</v>
      </c>
    </row>
    <row r="464" spans="2:5">
      <c r="B464" s="418" t="s">
        <v>11326</v>
      </c>
      <c r="C464" s="425">
        <v>3508</v>
      </c>
      <c r="D464" s="412">
        <v>45450</v>
      </c>
      <c r="E464" s="424" t="s">
        <v>11700</v>
      </c>
    </row>
    <row r="465" spans="2:5">
      <c r="B465" s="418" t="s">
        <v>11326</v>
      </c>
      <c r="C465" s="425">
        <v>3507</v>
      </c>
      <c r="D465" s="412">
        <v>45450</v>
      </c>
      <c r="E465" s="424" t="s">
        <v>11701</v>
      </c>
    </row>
    <row r="466" spans="2:5">
      <c r="B466" s="418" t="s">
        <v>11326</v>
      </c>
      <c r="C466" s="425">
        <v>3506</v>
      </c>
      <c r="D466" s="412">
        <v>45450</v>
      </c>
      <c r="E466" s="424" t="s">
        <v>11702</v>
      </c>
    </row>
    <row r="467" spans="2:5">
      <c r="B467" s="418" t="s">
        <v>11326</v>
      </c>
      <c r="C467" s="425">
        <v>3505</v>
      </c>
      <c r="D467" s="412">
        <v>45450</v>
      </c>
      <c r="E467" s="424" t="s">
        <v>11703</v>
      </c>
    </row>
    <row r="468" spans="2:5">
      <c r="B468" s="418" t="s">
        <v>11326</v>
      </c>
      <c r="C468" s="425">
        <v>3504</v>
      </c>
      <c r="D468" s="412">
        <v>45450</v>
      </c>
      <c r="E468" s="424" t="s">
        <v>11770</v>
      </c>
    </row>
    <row r="469" spans="2:5">
      <c r="B469" s="418" t="s">
        <v>11326</v>
      </c>
      <c r="C469" s="425">
        <v>3503</v>
      </c>
      <c r="D469" s="412">
        <v>45450</v>
      </c>
      <c r="E469" s="424" t="s">
        <v>11771</v>
      </c>
    </row>
    <row r="470" spans="2:5">
      <c r="B470" s="418" t="s">
        <v>11326</v>
      </c>
      <c r="C470" s="425">
        <v>3496</v>
      </c>
      <c r="D470" s="412">
        <v>45449</v>
      </c>
      <c r="E470" s="424" t="s">
        <v>11895</v>
      </c>
    </row>
    <row r="471" spans="2:5">
      <c r="B471" s="418" t="s">
        <v>11326</v>
      </c>
      <c r="C471" s="411">
        <v>3495</v>
      </c>
      <c r="D471" s="412">
        <v>45449</v>
      </c>
      <c r="E471" s="419" t="s">
        <v>11553</v>
      </c>
    </row>
    <row r="472" spans="2:5">
      <c r="B472" s="418" t="s">
        <v>11326</v>
      </c>
      <c r="C472" s="411">
        <v>3494</v>
      </c>
      <c r="D472" s="412">
        <v>45449</v>
      </c>
      <c r="E472" s="419" t="s">
        <v>11554</v>
      </c>
    </row>
    <row r="473" spans="2:5">
      <c r="B473" s="418" t="s">
        <v>11326</v>
      </c>
      <c r="C473" s="411">
        <v>3485</v>
      </c>
      <c r="D473" s="412">
        <v>45449</v>
      </c>
      <c r="E473" s="419" t="s">
        <v>11555</v>
      </c>
    </row>
    <row r="474" spans="2:5">
      <c r="B474" s="418" t="s">
        <v>11326</v>
      </c>
      <c r="C474" s="411">
        <v>3482</v>
      </c>
      <c r="D474" s="412">
        <v>45449</v>
      </c>
      <c r="E474" s="419" t="s">
        <v>11556</v>
      </c>
    </row>
    <row r="475" spans="2:5">
      <c r="B475" s="418" t="s">
        <v>11326</v>
      </c>
      <c r="C475" s="411">
        <v>3478</v>
      </c>
      <c r="D475" s="412">
        <v>45449</v>
      </c>
      <c r="E475" s="424" t="s">
        <v>11896</v>
      </c>
    </row>
    <row r="476" spans="2:5">
      <c r="B476" s="418" t="s">
        <v>11326</v>
      </c>
      <c r="C476" s="411">
        <v>3476</v>
      </c>
      <c r="D476" s="412">
        <v>45449</v>
      </c>
      <c r="E476" s="419" t="s">
        <v>11557</v>
      </c>
    </row>
    <row r="477" spans="2:5">
      <c r="B477" s="418" t="s">
        <v>11326</v>
      </c>
      <c r="C477" s="411">
        <v>3472</v>
      </c>
      <c r="D477" s="412">
        <v>45449</v>
      </c>
      <c r="E477" s="419" t="s">
        <v>11558</v>
      </c>
    </row>
    <row r="478" spans="2:5">
      <c r="B478" s="418" t="s">
        <v>11326</v>
      </c>
      <c r="C478" s="411">
        <v>3464</v>
      </c>
      <c r="D478" s="412">
        <v>45449</v>
      </c>
      <c r="E478" s="419" t="s">
        <v>11559</v>
      </c>
    </row>
    <row r="479" spans="2:5">
      <c r="B479" s="418" t="s">
        <v>11326</v>
      </c>
      <c r="C479" s="411">
        <v>3460</v>
      </c>
      <c r="D479" s="412">
        <v>45449</v>
      </c>
      <c r="E479" s="424" t="s">
        <v>11897</v>
      </c>
    </row>
    <row r="480" spans="2:5">
      <c r="B480" s="418" t="s">
        <v>11326</v>
      </c>
      <c r="C480" s="421" t="s">
        <v>11560</v>
      </c>
      <c r="D480" s="412">
        <v>45449</v>
      </c>
      <c r="E480" s="419" t="s">
        <v>11561</v>
      </c>
    </row>
    <row r="481" spans="2:5">
      <c r="B481" s="418" t="s">
        <v>11326</v>
      </c>
      <c r="C481" s="421">
        <v>3447</v>
      </c>
      <c r="D481" s="412">
        <v>45449</v>
      </c>
      <c r="E481" s="424" t="s">
        <v>11898</v>
      </c>
    </row>
    <row r="482" spans="2:5">
      <c r="B482" s="418" t="s">
        <v>11326</v>
      </c>
      <c r="C482" s="411">
        <v>3445</v>
      </c>
      <c r="D482" s="412">
        <v>45449</v>
      </c>
      <c r="E482" s="419" t="s">
        <v>11562</v>
      </c>
    </row>
    <row r="483" spans="2:5">
      <c r="B483" s="418" t="s">
        <v>11326</v>
      </c>
      <c r="C483" s="411">
        <v>3441</v>
      </c>
      <c r="D483" s="412">
        <v>45449</v>
      </c>
      <c r="E483" s="424" t="s">
        <v>11899</v>
      </c>
    </row>
    <row r="484" spans="2:5">
      <c r="B484" s="418" t="s">
        <v>11326</v>
      </c>
      <c r="C484" s="421" t="s">
        <v>11563</v>
      </c>
      <c r="D484" s="412">
        <v>45449</v>
      </c>
      <c r="E484" s="419" t="s">
        <v>11564</v>
      </c>
    </row>
    <row r="485" spans="2:5">
      <c r="B485" s="418" t="s">
        <v>11326</v>
      </c>
      <c r="C485" s="421" t="s">
        <v>11565</v>
      </c>
      <c r="D485" s="412">
        <v>45449</v>
      </c>
      <c r="E485" s="419" t="s">
        <v>11566</v>
      </c>
    </row>
    <row r="486" spans="2:5">
      <c r="B486" s="418" t="s">
        <v>11326</v>
      </c>
      <c r="C486" s="421">
        <v>3428</v>
      </c>
      <c r="D486" s="412">
        <v>45449</v>
      </c>
      <c r="E486" s="419" t="s">
        <v>11567</v>
      </c>
    </row>
    <row r="487" spans="2:5">
      <c r="B487" s="418" t="s">
        <v>11326</v>
      </c>
      <c r="C487" s="421">
        <v>3409</v>
      </c>
      <c r="D487" s="412">
        <v>45449</v>
      </c>
      <c r="E487" s="419" t="s">
        <v>11568</v>
      </c>
    </row>
    <row r="488" spans="2:5">
      <c r="B488" s="418" t="s">
        <v>11326</v>
      </c>
      <c r="C488" s="421">
        <v>3407</v>
      </c>
      <c r="D488" s="412">
        <v>45449</v>
      </c>
      <c r="E488" s="419" t="s">
        <v>11569</v>
      </c>
    </row>
    <row r="489" spans="2:5">
      <c r="B489" s="418" t="s">
        <v>11326</v>
      </c>
      <c r="C489" s="421">
        <v>3406</v>
      </c>
      <c r="D489" s="412">
        <v>45449</v>
      </c>
      <c r="E489" s="419" t="s">
        <v>11570</v>
      </c>
    </row>
    <row r="490" spans="2:5">
      <c r="B490" s="418" t="s">
        <v>11326</v>
      </c>
      <c r="C490" s="421">
        <v>3405</v>
      </c>
      <c r="D490" s="412">
        <v>45449</v>
      </c>
      <c r="E490" s="419" t="s">
        <v>11571</v>
      </c>
    </row>
    <row r="491" spans="2:5">
      <c r="B491" s="418" t="s">
        <v>11326</v>
      </c>
      <c r="C491" s="421">
        <v>3404</v>
      </c>
      <c r="D491" s="412">
        <v>45449</v>
      </c>
      <c r="E491" s="419" t="s">
        <v>11572</v>
      </c>
    </row>
    <row r="492" spans="2:5">
      <c r="B492" s="418" t="s">
        <v>11326</v>
      </c>
      <c r="C492" s="421">
        <v>3403</v>
      </c>
      <c r="D492" s="412">
        <v>45449</v>
      </c>
      <c r="E492" s="419" t="s">
        <v>11573</v>
      </c>
    </row>
    <row r="493" spans="2:5">
      <c r="B493" s="418" t="s">
        <v>11326</v>
      </c>
      <c r="C493" s="421">
        <v>3402</v>
      </c>
      <c r="D493" s="412">
        <v>45449</v>
      </c>
      <c r="E493" s="419" t="s">
        <v>11574</v>
      </c>
    </row>
    <row r="494" spans="2:5">
      <c r="B494" s="418" t="s">
        <v>11326</v>
      </c>
      <c r="C494" s="421">
        <v>3398</v>
      </c>
      <c r="D494" s="412">
        <v>45449</v>
      </c>
      <c r="E494" s="419" t="s">
        <v>11575</v>
      </c>
    </row>
    <row r="495" spans="2:5">
      <c r="B495" s="418" t="s">
        <v>11326</v>
      </c>
      <c r="C495" s="421">
        <v>3396</v>
      </c>
      <c r="D495" s="412">
        <v>45449</v>
      </c>
      <c r="E495" s="419" t="s">
        <v>11576</v>
      </c>
    </row>
    <row r="496" spans="2:5">
      <c r="B496" s="418" t="s">
        <v>11326</v>
      </c>
      <c r="C496" s="421">
        <v>3390</v>
      </c>
      <c r="D496" s="412">
        <v>45449</v>
      </c>
      <c r="E496" s="419" t="s">
        <v>11577</v>
      </c>
    </row>
    <row r="497" spans="2:5">
      <c r="B497" s="418" t="s">
        <v>11326</v>
      </c>
      <c r="C497" s="421">
        <v>3386</v>
      </c>
      <c r="D497" s="412">
        <v>45449</v>
      </c>
      <c r="E497" s="419" t="s">
        <v>11578</v>
      </c>
    </row>
    <row r="498" spans="2:5">
      <c r="B498" s="418" t="s">
        <v>11326</v>
      </c>
      <c r="C498" s="421">
        <v>3372</v>
      </c>
      <c r="D498" s="412">
        <v>45449</v>
      </c>
      <c r="E498" s="424" t="s">
        <v>11900</v>
      </c>
    </row>
    <row r="499" spans="2:5">
      <c r="B499" s="418" t="s">
        <v>11326</v>
      </c>
      <c r="C499" s="421">
        <v>3369</v>
      </c>
      <c r="D499" s="412">
        <v>45449</v>
      </c>
      <c r="E499" s="424" t="s">
        <v>11901</v>
      </c>
    </row>
    <row r="500" spans="2:5">
      <c r="B500" s="418" t="s">
        <v>11326</v>
      </c>
      <c r="C500" s="421">
        <v>3361</v>
      </c>
      <c r="D500" s="412">
        <v>45449</v>
      </c>
      <c r="E500" s="419" t="s">
        <v>11579</v>
      </c>
    </row>
    <row r="501" spans="2:5">
      <c r="B501" s="418" t="s">
        <v>11326</v>
      </c>
      <c r="C501" s="421">
        <v>3356</v>
      </c>
      <c r="D501" s="412">
        <v>45449</v>
      </c>
      <c r="E501" s="419" t="s">
        <v>11580</v>
      </c>
    </row>
    <row r="502" spans="2:5">
      <c r="B502" s="418" t="s">
        <v>11326</v>
      </c>
      <c r="C502" s="421">
        <v>3348</v>
      </c>
      <c r="D502" s="412">
        <v>45449</v>
      </c>
      <c r="E502" s="424" t="s">
        <v>11775</v>
      </c>
    </row>
    <row r="503" spans="2:5">
      <c r="B503" s="418" t="s">
        <v>11326</v>
      </c>
      <c r="C503" s="421">
        <v>3346</v>
      </c>
      <c r="D503" s="412">
        <v>45449</v>
      </c>
      <c r="E503" s="424" t="s">
        <v>11776</v>
      </c>
    </row>
    <row r="504" spans="2:5">
      <c r="B504" s="418" t="s">
        <v>11326</v>
      </c>
      <c r="C504" s="421">
        <v>3345</v>
      </c>
      <c r="D504" s="412">
        <v>45449</v>
      </c>
      <c r="E504" s="424" t="s">
        <v>11777</v>
      </c>
    </row>
    <row r="505" spans="2:5">
      <c r="B505" s="418" t="s">
        <v>11326</v>
      </c>
      <c r="C505" s="421">
        <v>3341</v>
      </c>
      <c r="D505" s="412">
        <v>45449</v>
      </c>
      <c r="E505" s="424" t="s">
        <v>11778</v>
      </c>
    </row>
    <row r="506" spans="2:5">
      <c r="B506" s="418" t="s">
        <v>11326</v>
      </c>
      <c r="C506" s="421">
        <v>3337</v>
      </c>
      <c r="D506" s="412">
        <v>45449</v>
      </c>
      <c r="E506" s="424" t="s">
        <v>11779</v>
      </c>
    </row>
    <row r="507" spans="2:5">
      <c r="B507" s="418" t="s">
        <v>11326</v>
      </c>
      <c r="C507" s="421">
        <v>3334</v>
      </c>
      <c r="D507" s="412">
        <v>45449</v>
      </c>
      <c r="E507" s="424" t="s">
        <v>11780</v>
      </c>
    </row>
    <row r="508" spans="2:5">
      <c r="B508" s="418" t="s">
        <v>11326</v>
      </c>
      <c r="C508" s="421">
        <v>3324</v>
      </c>
      <c r="D508" s="412">
        <v>45449</v>
      </c>
      <c r="E508" s="424" t="s">
        <v>11781</v>
      </c>
    </row>
    <row r="509" spans="2:5">
      <c r="B509" s="418" t="s">
        <v>11326</v>
      </c>
      <c r="C509" s="421">
        <v>3314</v>
      </c>
      <c r="D509" s="412">
        <v>45449</v>
      </c>
      <c r="E509" s="424" t="s">
        <v>11782</v>
      </c>
    </row>
    <row r="510" spans="2:5">
      <c r="B510" s="418" t="s">
        <v>11326</v>
      </c>
      <c r="C510" s="421">
        <v>3288</v>
      </c>
      <c r="D510" s="412">
        <v>45449</v>
      </c>
      <c r="E510" s="424" t="s">
        <v>11783</v>
      </c>
    </row>
    <row r="511" spans="2:5">
      <c r="B511" s="418" t="s">
        <v>11326</v>
      </c>
      <c r="C511" s="421">
        <v>3287</v>
      </c>
      <c r="D511" s="412">
        <v>45449</v>
      </c>
      <c r="E511" s="424" t="s">
        <v>11902</v>
      </c>
    </row>
    <row r="512" spans="2:5">
      <c r="B512" s="418" t="s">
        <v>11326</v>
      </c>
      <c r="C512" s="421">
        <v>3280</v>
      </c>
      <c r="D512" s="412">
        <v>45449</v>
      </c>
      <c r="E512" s="424" t="s">
        <v>11784</v>
      </c>
    </row>
    <row r="513" spans="2:5">
      <c r="B513" s="418" t="s">
        <v>11326</v>
      </c>
      <c r="C513" s="421">
        <v>3278</v>
      </c>
      <c r="D513" s="412">
        <v>45449</v>
      </c>
      <c r="E513" s="424" t="s">
        <v>11785</v>
      </c>
    </row>
    <row r="514" spans="2:5">
      <c r="B514" s="418" t="s">
        <v>11326</v>
      </c>
      <c r="C514" s="421">
        <v>3276</v>
      </c>
      <c r="D514" s="412">
        <v>45449</v>
      </c>
      <c r="E514" s="424" t="s">
        <v>11786</v>
      </c>
    </row>
    <row r="515" spans="2:5">
      <c r="B515" s="418" t="s">
        <v>11326</v>
      </c>
      <c r="C515" s="421">
        <v>3272</v>
      </c>
      <c r="D515" s="412">
        <v>45449</v>
      </c>
      <c r="E515" s="424" t="s">
        <v>11903</v>
      </c>
    </row>
    <row r="516" spans="2:5">
      <c r="B516" s="418" t="s">
        <v>11326</v>
      </c>
      <c r="C516" s="421">
        <v>3264</v>
      </c>
      <c r="D516" s="412">
        <v>45449</v>
      </c>
      <c r="E516" s="424" t="s">
        <v>11904</v>
      </c>
    </row>
    <row r="517" spans="2:5">
      <c r="B517" s="418" t="s">
        <v>11326</v>
      </c>
      <c r="C517" s="421">
        <v>3263</v>
      </c>
      <c r="D517" s="412">
        <v>45449</v>
      </c>
      <c r="E517" s="424" t="s">
        <v>11787</v>
      </c>
    </row>
    <row r="518" spans="2:5">
      <c r="B518" s="418" t="s">
        <v>11326</v>
      </c>
      <c r="C518" s="421">
        <v>3260</v>
      </c>
      <c r="D518" s="412">
        <v>45449</v>
      </c>
      <c r="E518" s="424" t="s">
        <v>11905</v>
      </c>
    </row>
    <row r="519" spans="2:5">
      <c r="B519" s="418" t="s">
        <v>11326</v>
      </c>
      <c r="C519" s="421">
        <v>3258</v>
      </c>
      <c r="D519" s="412">
        <v>45449</v>
      </c>
      <c r="E519" s="424" t="s">
        <v>11906</v>
      </c>
    </row>
    <row r="520" spans="2:5">
      <c r="B520" s="418" t="s">
        <v>11326</v>
      </c>
      <c r="C520" s="421">
        <v>3255</v>
      </c>
      <c r="D520" s="412">
        <v>45449</v>
      </c>
      <c r="E520" s="424" t="s">
        <v>11788</v>
      </c>
    </row>
    <row r="521" spans="2:5">
      <c r="B521" s="418" t="s">
        <v>11326</v>
      </c>
      <c r="C521" s="421">
        <v>3253</v>
      </c>
      <c r="D521" s="412">
        <v>45449</v>
      </c>
      <c r="E521" s="424" t="s">
        <v>11789</v>
      </c>
    </row>
    <row r="522" spans="2:5">
      <c r="B522" s="418" t="s">
        <v>11326</v>
      </c>
      <c r="C522" s="421">
        <v>3249</v>
      </c>
      <c r="D522" s="412">
        <v>45449</v>
      </c>
      <c r="E522" s="424" t="s">
        <v>11790</v>
      </c>
    </row>
    <row r="523" spans="2:5">
      <c r="B523" s="418" t="s">
        <v>11326</v>
      </c>
      <c r="C523" s="421">
        <v>3243</v>
      </c>
      <c r="D523" s="412">
        <v>45450</v>
      </c>
      <c r="E523" s="424" t="s">
        <v>11772</v>
      </c>
    </row>
    <row r="524" spans="2:5">
      <c r="B524" s="418" t="s">
        <v>11326</v>
      </c>
      <c r="C524" s="421">
        <v>3242</v>
      </c>
      <c r="D524" s="412">
        <v>45449</v>
      </c>
      <c r="E524" s="424" t="s">
        <v>11791</v>
      </c>
    </row>
    <row r="525" spans="2:5">
      <c r="B525" s="418" t="s">
        <v>11326</v>
      </c>
      <c r="C525" s="421">
        <v>3234</v>
      </c>
      <c r="D525" s="412">
        <v>45449</v>
      </c>
      <c r="E525" s="424" t="s">
        <v>11792</v>
      </c>
    </row>
    <row r="526" spans="2:5">
      <c r="B526" s="418" t="s">
        <v>11326</v>
      </c>
      <c r="C526" s="421">
        <v>3231</v>
      </c>
      <c r="D526" s="412">
        <v>45449</v>
      </c>
      <c r="E526" s="424" t="s">
        <v>11907</v>
      </c>
    </row>
    <row r="527" spans="2:5">
      <c r="B527" s="418" t="s">
        <v>11326</v>
      </c>
      <c r="C527" s="421">
        <v>3230</v>
      </c>
      <c r="D527" s="412">
        <v>45449</v>
      </c>
      <c r="E527" s="424" t="s">
        <v>11908</v>
      </c>
    </row>
    <row r="528" spans="2:5">
      <c r="B528" s="418" t="s">
        <v>11326</v>
      </c>
      <c r="C528" s="421">
        <v>3229</v>
      </c>
      <c r="D528" s="412">
        <v>45449</v>
      </c>
      <c r="E528" s="424" t="s">
        <v>11909</v>
      </c>
    </row>
    <row r="529" spans="2:5">
      <c r="B529" s="418" t="s">
        <v>11326</v>
      </c>
      <c r="C529" s="421">
        <v>3216</v>
      </c>
      <c r="D529" s="412">
        <v>45449</v>
      </c>
      <c r="E529" s="424" t="s">
        <v>11793</v>
      </c>
    </row>
    <row r="530" spans="2:5">
      <c r="B530" s="418" t="s">
        <v>11326</v>
      </c>
      <c r="C530" s="421">
        <v>3212</v>
      </c>
      <c r="D530" s="412">
        <v>45449</v>
      </c>
      <c r="E530" s="424" t="s">
        <v>11794</v>
      </c>
    </row>
    <row r="531" spans="2:5">
      <c r="B531" s="418" t="s">
        <v>11326</v>
      </c>
      <c r="C531" s="421">
        <v>3209</v>
      </c>
      <c r="D531" s="412">
        <v>45449</v>
      </c>
      <c r="E531" s="424" t="s">
        <v>11795</v>
      </c>
    </row>
    <row r="532" spans="2:5">
      <c r="B532" s="418" t="s">
        <v>11326</v>
      </c>
      <c r="C532" s="421">
        <v>3199</v>
      </c>
      <c r="D532" s="412">
        <v>45449</v>
      </c>
      <c r="E532" s="424" t="s">
        <v>11910</v>
      </c>
    </row>
    <row r="533" spans="2:5">
      <c r="B533" s="418" t="s">
        <v>11326</v>
      </c>
      <c r="C533" s="421">
        <v>3198</v>
      </c>
      <c r="D533" s="412">
        <v>45449</v>
      </c>
      <c r="E533" s="424" t="s">
        <v>11911</v>
      </c>
    </row>
    <row r="534" spans="2:5">
      <c r="B534" s="418" t="s">
        <v>11326</v>
      </c>
      <c r="C534" s="421">
        <v>3193</v>
      </c>
      <c r="D534" s="412">
        <v>45449</v>
      </c>
      <c r="E534" s="424" t="s">
        <v>11912</v>
      </c>
    </row>
    <row r="535" spans="2:5">
      <c r="B535" s="418" t="s">
        <v>11326</v>
      </c>
      <c r="C535" s="421">
        <v>3172</v>
      </c>
      <c r="D535" s="412">
        <v>45449</v>
      </c>
      <c r="E535" s="424" t="s">
        <v>11796</v>
      </c>
    </row>
    <row r="536" spans="2:5">
      <c r="B536" s="418" t="s">
        <v>11326</v>
      </c>
      <c r="C536" s="421">
        <v>3171</v>
      </c>
      <c r="D536" s="412">
        <v>45449</v>
      </c>
      <c r="E536" s="424" t="s">
        <v>11913</v>
      </c>
    </row>
    <row r="537" spans="2:5">
      <c r="B537" s="418" t="s">
        <v>11326</v>
      </c>
      <c r="C537" s="421">
        <v>3164</v>
      </c>
      <c r="D537" s="412">
        <v>45449</v>
      </c>
      <c r="E537" s="424" t="s">
        <v>11797</v>
      </c>
    </row>
    <row r="538" spans="2:5">
      <c r="B538" s="418" t="s">
        <v>11326</v>
      </c>
      <c r="C538" s="421">
        <v>3161</v>
      </c>
      <c r="D538" s="412">
        <v>45449</v>
      </c>
      <c r="E538" s="424" t="s">
        <v>11798</v>
      </c>
    </row>
    <row r="539" spans="2:5">
      <c r="B539" s="418" t="s">
        <v>11326</v>
      </c>
      <c r="C539" s="421">
        <v>3157</v>
      </c>
      <c r="D539" s="412">
        <v>45449</v>
      </c>
      <c r="E539" s="424" t="s">
        <v>11914</v>
      </c>
    </row>
    <row r="540" spans="2:5">
      <c r="B540" s="418" t="s">
        <v>11326</v>
      </c>
      <c r="C540" s="421">
        <v>3154</v>
      </c>
      <c r="D540" s="412">
        <v>45449</v>
      </c>
      <c r="E540" s="424" t="s">
        <v>11799</v>
      </c>
    </row>
    <row r="541" spans="2:5">
      <c r="B541" s="418" t="s">
        <v>11326</v>
      </c>
      <c r="C541" s="421">
        <v>3152</v>
      </c>
      <c r="D541" s="412">
        <v>45449</v>
      </c>
      <c r="E541" s="424" t="s">
        <v>11915</v>
      </c>
    </row>
    <row r="542" spans="2:5">
      <c r="B542" s="418" t="s">
        <v>11326</v>
      </c>
      <c r="C542" s="421">
        <v>3151</v>
      </c>
      <c r="D542" s="412">
        <v>45449</v>
      </c>
      <c r="E542" s="424" t="s">
        <v>11916</v>
      </c>
    </row>
    <row r="543" spans="2:5">
      <c r="B543" s="418" t="s">
        <v>11326</v>
      </c>
      <c r="C543" s="421">
        <v>3150</v>
      </c>
      <c r="D543" s="412">
        <v>45449</v>
      </c>
      <c r="E543" s="424" t="s">
        <v>11800</v>
      </c>
    </row>
    <row r="544" spans="2:5">
      <c r="B544" s="418" t="s">
        <v>11326</v>
      </c>
      <c r="C544" s="411">
        <v>3148</v>
      </c>
      <c r="D544" s="412">
        <v>45449</v>
      </c>
      <c r="E544" s="424" t="s">
        <v>11801</v>
      </c>
    </row>
    <row r="545" spans="2:5">
      <c r="B545" s="418" t="s">
        <v>11326</v>
      </c>
      <c r="C545" s="411">
        <v>3146</v>
      </c>
      <c r="D545" s="412">
        <v>45449</v>
      </c>
      <c r="E545" s="424" t="s">
        <v>11917</v>
      </c>
    </row>
    <row r="546" spans="2:5">
      <c r="B546" s="418" t="s">
        <v>11326</v>
      </c>
      <c r="C546" s="411">
        <v>3145</v>
      </c>
      <c r="D546" s="412">
        <v>45449</v>
      </c>
      <c r="E546" s="424" t="s">
        <v>11802</v>
      </c>
    </row>
    <row r="547" spans="2:5">
      <c r="B547" s="418" t="s">
        <v>11326</v>
      </c>
      <c r="C547" s="411">
        <v>3144</v>
      </c>
      <c r="D547" s="412">
        <v>45449</v>
      </c>
      <c r="E547" s="424" t="s">
        <v>11918</v>
      </c>
    </row>
    <row r="548" spans="2:5">
      <c r="B548" s="418" t="s">
        <v>11326</v>
      </c>
      <c r="C548" s="411">
        <v>3142</v>
      </c>
      <c r="D548" s="412">
        <v>45449</v>
      </c>
      <c r="E548" s="424" t="s">
        <v>11803</v>
      </c>
    </row>
    <row r="549" spans="2:5">
      <c r="B549" s="418" t="s">
        <v>11326</v>
      </c>
      <c r="C549" s="411">
        <v>3141</v>
      </c>
      <c r="D549" s="412">
        <v>45449</v>
      </c>
      <c r="E549" s="424" t="s">
        <v>11919</v>
      </c>
    </row>
    <row r="550" spans="2:5">
      <c r="B550" s="418" t="s">
        <v>11326</v>
      </c>
      <c r="C550" s="411">
        <v>3140</v>
      </c>
      <c r="D550" s="412">
        <v>45449</v>
      </c>
      <c r="E550" s="424" t="s">
        <v>11804</v>
      </c>
    </row>
    <row r="551" spans="2:5">
      <c r="B551" s="418" t="s">
        <v>11326</v>
      </c>
      <c r="C551" s="411">
        <v>3136</v>
      </c>
      <c r="D551" s="412">
        <v>45449</v>
      </c>
      <c r="E551" s="424" t="s">
        <v>11805</v>
      </c>
    </row>
    <row r="552" spans="2:5">
      <c r="B552" s="418" t="s">
        <v>11326</v>
      </c>
      <c r="C552" s="411">
        <v>3121</v>
      </c>
      <c r="D552" s="412">
        <v>45449</v>
      </c>
      <c r="E552" s="424" t="s">
        <v>11806</v>
      </c>
    </row>
    <row r="553" spans="2:5">
      <c r="B553" s="418" t="s">
        <v>11326</v>
      </c>
      <c r="C553" s="411">
        <v>3120</v>
      </c>
      <c r="D553" s="412">
        <v>45449</v>
      </c>
      <c r="E553" s="424" t="s">
        <v>11920</v>
      </c>
    </row>
    <row r="554" spans="2:5">
      <c r="B554" s="418" t="s">
        <v>11326</v>
      </c>
      <c r="C554" s="411">
        <v>3102</v>
      </c>
      <c r="D554" s="412">
        <v>45449</v>
      </c>
      <c r="E554" s="424" t="s">
        <v>11807</v>
      </c>
    </row>
    <row r="555" spans="2:5">
      <c r="B555" s="418" t="s">
        <v>11326</v>
      </c>
      <c r="C555" s="411">
        <v>3099</v>
      </c>
      <c r="D555" s="412">
        <v>45449</v>
      </c>
      <c r="E555" s="424" t="s">
        <v>11808</v>
      </c>
    </row>
    <row r="556" spans="2:5">
      <c r="B556" s="418" t="s">
        <v>11326</v>
      </c>
      <c r="C556" s="411">
        <v>3097</v>
      </c>
      <c r="D556" s="412">
        <v>45449</v>
      </c>
      <c r="E556" s="424" t="s">
        <v>11809</v>
      </c>
    </row>
    <row r="557" spans="2:5">
      <c r="B557" s="418" t="s">
        <v>11326</v>
      </c>
      <c r="C557" s="411">
        <v>3095</v>
      </c>
      <c r="D557" s="412">
        <v>45449</v>
      </c>
      <c r="E557" s="424" t="s">
        <v>11921</v>
      </c>
    </row>
    <row r="558" spans="2:5">
      <c r="B558" s="418" t="s">
        <v>11326</v>
      </c>
      <c r="C558" s="411">
        <v>3088</v>
      </c>
      <c r="D558" s="412">
        <v>45449</v>
      </c>
      <c r="E558" s="424" t="s">
        <v>11922</v>
      </c>
    </row>
    <row r="559" spans="2:5">
      <c r="B559" s="418" t="s">
        <v>11326</v>
      </c>
      <c r="C559" s="411">
        <v>3087</v>
      </c>
      <c r="D559" s="412">
        <v>45449</v>
      </c>
      <c r="E559" s="424" t="s">
        <v>11923</v>
      </c>
    </row>
    <row r="560" spans="2:5">
      <c r="B560" s="418" t="s">
        <v>11326</v>
      </c>
      <c r="C560" s="411">
        <v>3086</v>
      </c>
      <c r="D560" s="412">
        <v>45449</v>
      </c>
      <c r="E560" s="424" t="s">
        <v>11924</v>
      </c>
    </row>
    <row r="561" spans="2:5">
      <c r="B561" s="418" t="s">
        <v>11326</v>
      </c>
      <c r="C561" s="411">
        <v>3085</v>
      </c>
      <c r="D561" s="412">
        <v>45449</v>
      </c>
      <c r="E561" s="424" t="s">
        <v>11810</v>
      </c>
    </row>
    <row r="562" spans="2:5">
      <c r="B562" s="418" t="s">
        <v>11326</v>
      </c>
      <c r="C562" s="411">
        <v>3082</v>
      </c>
      <c r="D562" s="412">
        <v>45449</v>
      </c>
      <c r="E562" s="424" t="s">
        <v>11811</v>
      </c>
    </row>
    <row r="563" spans="2:5">
      <c r="B563" s="418" t="s">
        <v>11326</v>
      </c>
      <c r="C563" s="411">
        <v>3078</v>
      </c>
      <c r="D563" s="412">
        <v>45449</v>
      </c>
      <c r="E563" s="424" t="s">
        <v>11812</v>
      </c>
    </row>
    <row r="564" spans="2:5">
      <c r="B564" s="418" t="s">
        <v>11326</v>
      </c>
      <c r="C564" s="411">
        <v>3072</v>
      </c>
      <c r="D564" s="412">
        <v>45449</v>
      </c>
      <c r="E564" s="424" t="s">
        <v>11813</v>
      </c>
    </row>
    <row r="565" spans="2:5">
      <c r="B565" s="418" t="s">
        <v>11326</v>
      </c>
      <c r="C565" s="411">
        <v>3068</v>
      </c>
      <c r="D565" s="412">
        <v>45449</v>
      </c>
      <c r="E565" s="424" t="s">
        <v>11814</v>
      </c>
    </row>
    <row r="566" spans="2:5">
      <c r="B566" s="418" t="s">
        <v>11326</v>
      </c>
      <c r="C566" s="411">
        <v>3065</v>
      </c>
      <c r="D566" s="412">
        <v>45449</v>
      </c>
      <c r="E566" s="424" t="s">
        <v>11815</v>
      </c>
    </row>
    <row r="567" spans="2:5">
      <c r="B567" s="418" t="s">
        <v>11326</v>
      </c>
      <c r="C567" s="411">
        <v>3064</v>
      </c>
      <c r="D567" s="412">
        <v>45449</v>
      </c>
      <c r="E567" s="424" t="s">
        <v>11816</v>
      </c>
    </row>
    <row r="568" spans="2:5">
      <c r="B568" s="418" t="s">
        <v>11326</v>
      </c>
      <c r="C568" s="411">
        <v>3061</v>
      </c>
      <c r="D568" s="412">
        <v>45449</v>
      </c>
      <c r="E568" s="424" t="s">
        <v>11817</v>
      </c>
    </row>
    <row r="569" spans="2:5">
      <c r="B569" s="418" t="s">
        <v>11326</v>
      </c>
      <c r="C569" s="411">
        <v>3059</v>
      </c>
      <c r="D569" s="412">
        <v>45449</v>
      </c>
      <c r="E569" s="424" t="s">
        <v>11818</v>
      </c>
    </row>
    <row r="570" spans="2:5">
      <c r="B570" s="418" t="s">
        <v>11326</v>
      </c>
      <c r="C570" s="411">
        <v>3057</v>
      </c>
      <c r="D570" s="412">
        <v>45449</v>
      </c>
      <c r="E570" s="424" t="s">
        <v>11819</v>
      </c>
    </row>
    <row r="571" spans="2:5">
      <c r="B571" s="418" t="s">
        <v>11326</v>
      </c>
      <c r="C571" s="411">
        <v>3052</v>
      </c>
      <c r="D571" s="412">
        <v>45449</v>
      </c>
      <c r="E571" s="424" t="s">
        <v>11820</v>
      </c>
    </row>
    <row r="572" spans="2:5">
      <c r="B572" s="418" t="s">
        <v>11326</v>
      </c>
      <c r="C572" s="411">
        <v>3044</v>
      </c>
      <c r="D572" s="412">
        <v>45449</v>
      </c>
      <c r="E572" s="424" t="s">
        <v>11821</v>
      </c>
    </row>
    <row r="573" spans="2:5">
      <c r="B573" s="418" t="s">
        <v>11326</v>
      </c>
      <c r="C573" s="411">
        <v>3033</v>
      </c>
      <c r="D573" s="412">
        <v>45449</v>
      </c>
      <c r="E573" s="424" t="s">
        <v>11822</v>
      </c>
    </row>
    <row r="574" spans="2:5">
      <c r="B574" s="418" t="s">
        <v>11326</v>
      </c>
      <c r="C574" s="411">
        <v>3030</v>
      </c>
      <c r="D574" s="412">
        <v>45449</v>
      </c>
      <c r="E574" s="424" t="s">
        <v>11925</v>
      </c>
    </row>
    <row r="575" spans="2:5">
      <c r="B575" s="418" t="s">
        <v>11326</v>
      </c>
      <c r="C575" s="411">
        <v>3012</v>
      </c>
      <c r="D575" s="412">
        <v>45449</v>
      </c>
      <c r="E575" s="424" t="s">
        <v>11823</v>
      </c>
    </row>
    <row r="576" spans="2:5">
      <c r="B576" s="418" t="s">
        <v>11326</v>
      </c>
      <c r="C576" s="411">
        <v>3007</v>
      </c>
      <c r="D576" s="412">
        <v>45449</v>
      </c>
      <c r="E576" s="424" t="s">
        <v>11926</v>
      </c>
    </row>
    <row r="577" spans="2:5">
      <c r="B577" s="418" t="s">
        <v>11326</v>
      </c>
      <c r="C577" s="411">
        <v>3006</v>
      </c>
      <c r="D577" s="412">
        <v>45449</v>
      </c>
      <c r="E577" s="424" t="s">
        <v>11927</v>
      </c>
    </row>
    <row r="578" spans="2:5">
      <c r="B578" s="418" t="s">
        <v>11326</v>
      </c>
      <c r="C578" s="411">
        <v>2997</v>
      </c>
      <c r="D578" s="412">
        <v>45449</v>
      </c>
      <c r="E578" s="424" t="s">
        <v>11824</v>
      </c>
    </row>
    <row r="579" spans="2:5">
      <c r="B579" s="418" t="s">
        <v>11326</v>
      </c>
      <c r="C579" s="426">
        <v>2996</v>
      </c>
      <c r="D579" s="412">
        <v>45449</v>
      </c>
      <c r="E579" s="424" t="s">
        <v>11825</v>
      </c>
    </row>
    <row r="580" spans="2:5">
      <c r="B580" s="418" t="s">
        <v>11326</v>
      </c>
      <c r="C580" s="411">
        <v>2981</v>
      </c>
      <c r="D580" s="412">
        <v>45449</v>
      </c>
      <c r="E580" s="424" t="s">
        <v>11826</v>
      </c>
    </row>
    <row r="581" spans="2:5">
      <c r="B581" s="418" t="s">
        <v>11326</v>
      </c>
      <c r="C581" s="411">
        <v>2980</v>
      </c>
      <c r="D581" s="412">
        <v>45449</v>
      </c>
      <c r="E581" s="424" t="s">
        <v>11827</v>
      </c>
    </row>
    <row r="582" spans="2:5">
      <c r="B582" s="418" t="s">
        <v>11326</v>
      </c>
      <c r="C582" s="411">
        <v>2979</v>
      </c>
      <c r="D582" s="412">
        <v>45449</v>
      </c>
      <c r="E582" s="424" t="s">
        <v>11828</v>
      </c>
    </row>
    <row r="583" spans="2:5">
      <c r="B583" s="418" t="s">
        <v>11326</v>
      </c>
      <c r="C583" s="411">
        <v>2970</v>
      </c>
      <c r="D583" s="412">
        <v>45449</v>
      </c>
      <c r="E583" s="424" t="s">
        <v>11928</v>
      </c>
    </row>
    <row r="584" spans="2:5">
      <c r="B584" s="418" t="s">
        <v>11326</v>
      </c>
      <c r="C584" s="411">
        <v>2969</v>
      </c>
      <c r="D584" s="412">
        <v>45449</v>
      </c>
      <c r="E584" s="424" t="s">
        <v>11829</v>
      </c>
    </row>
    <row r="585" spans="2:5">
      <c r="B585" s="418" t="s">
        <v>11326</v>
      </c>
      <c r="C585" s="411">
        <v>2959</v>
      </c>
      <c r="D585" s="412">
        <v>45449</v>
      </c>
      <c r="E585" s="424" t="s">
        <v>11929</v>
      </c>
    </row>
    <row r="586" spans="2:5">
      <c r="B586" s="418" t="s">
        <v>11326</v>
      </c>
      <c r="C586" s="411">
        <v>2958</v>
      </c>
      <c r="D586" s="412">
        <v>45449</v>
      </c>
      <c r="E586" s="424" t="s">
        <v>11830</v>
      </c>
    </row>
    <row r="587" spans="2:5">
      <c r="B587" s="418" t="s">
        <v>11326</v>
      </c>
      <c r="C587" s="411">
        <v>2953</v>
      </c>
      <c r="D587" s="412">
        <v>45449</v>
      </c>
      <c r="E587" s="424" t="s">
        <v>11831</v>
      </c>
    </row>
    <row r="588" spans="2:5">
      <c r="B588" s="418" t="s">
        <v>11326</v>
      </c>
      <c r="C588" s="411">
        <v>2939</v>
      </c>
      <c r="D588" s="412">
        <v>45449</v>
      </c>
      <c r="E588" s="424" t="s">
        <v>11930</v>
      </c>
    </row>
    <row r="589" spans="2:5">
      <c r="B589" s="418" t="s">
        <v>11326</v>
      </c>
      <c r="C589" s="411">
        <v>2929</v>
      </c>
      <c r="D589" s="412">
        <v>45449</v>
      </c>
      <c r="E589" s="424" t="s">
        <v>11931</v>
      </c>
    </row>
    <row r="590" spans="2:5">
      <c r="B590" s="418" t="s">
        <v>11326</v>
      </c>
      <c r="C590" s="411">
        <v>2927</v>
      </c>
      <c r="D590" s="412">
        <v>45449</v>
      </c>
      <c r="E590" s="424" t="s">
        <v>11932</v>
      </c>
    </row>
    <row r="591" spans="2:5">
      <c r="B591" s="418" t="s">
        <v>11326</v>
      </c>
      <c r="C591" s="411">
        <v>2925</v>
      </c>
      <c r="D591" s="412">
        <v>45449</v>
      </c>
      <c r="E591" s="424" t="s">
        <v>11933</v>
      </c>
    </row>
    <row r="592" spans="2:5">
      <c r="B592" s="418" t="s">
        <v>11326</v>
      </c>
      <c r="C592" s="411">
        <v>2924</v>
      </c>
      <c r="D592" s="412">
        <v>45449</v>
      </c>
      <c r="E592" s="424" t="s">
        <v>11832</v>
      </c>
    </row>
    <row r="593" spans="2:5">
      <c r="B593" s="418" t="s">
        <v>11326</v>
      </c>
      <c r="C593" s="411">
        <v>2921</v>
      </c>
      <c r="D593" s="412">
        <v>45449</v>
      </c>
      <c r="E593" s="424" t="s">
        <v>11934</v>
      </c>
    </row>
    <row r="594" spans="2:5">
      <c r="B594" s="418" t="s">
        <v>11326</v>
      </c>
      <c r="C594" s="411">
        <v>2917</v>
      </c>
      <c r="D594" s="412">
        <v>45449</v>
      </c>
      <c r="E594" s="424" t="s">
        <v>11833</v>
      </c>
    </row>
    <row r="595" spans="2:5">
      <c r="B595" s="418" t="s">
        <v>11326</v>
      </c>
      <c r="C595" s="411">
        <v>2915</v>
      </c>
      <c r="D595" s="412">
        <v>45449</v>
      </c>
      <c r="E595" s="424" t="s">
        <v>11935</v>
      </c>
    </row>
    <row r="596" spans="2:5">
      <c r="B596" s="418" t="s">
        <v>11326</v>
      </c>
      <c r="C596" s="411">
        <v>2913</v>
      </c>
      <c r="D596" s="412">
        <v>45449</v>
      </c>
      <c r="E596" s="424" t="s">
        <v>11834</v>
      </c>
    </row>
    <row r="597" spans="2:5">
      <c r="B597" s="418" t="s">
        <v>11326</v>
      </c>
      <c r="C597" s="411">
        <v>2900</v>
      </c>
      <c r="D597" s="412">
        <v>45449</v>
      </c>
      <c r="E597" s="424" t="s">
        <v>11835</v>
      </c>
    </row>
    <row r="598" spans="2:5">
      <c r="B598" s="418" t="s">
        <v>11326</v>
      </c>
      <c r="C598" s="411">
        <v>2891</v>
      </c>
      <c r="D598" s="412">
        <v>45449</v>
      </c>
      <c r="E598" s="424" t="s">
        <v>11936</v>
      </c>
    </row>
    <row r="599" spans="2:5">
      <c r="B599" s="418" t="s">
        <v>11326</v>
      </c>
      <c r="C599" s="411">
        <v>2890</v>
      </c>
      <c r="D599" s="412">
        <v>45449</v>
      </c>
      <c r="E599" s="424" t="s">
        <v>11937</v>
      </c>
    </row>
    <row r="600" spans="2:5">
      <c r="B600" s="418" t="s">
        <v>11326</v>
      </c>
      <c r="C600" s="411">
        <v>2888</v>
      </c>
      <c r="D600" s="412">
        <v>45449</v>
      </c>
      <c r="E600" s="424" t="s">
        <v>11938</v>
      </c>
    </row>
    <row r="601" spans="2:5">
      <c r="B601" s="418" t="s">
        <v>11326</v>
      </c>
      <c r="C601" s="411">
        <v>2883</v>
      </c>
      <c r="D601" s="412">
        <v>45449</v>
      </c>
      <c r="E601" s="424" t="s">
        <v>11836</v>
      </c>
    </row>
    <row r="602" spans="2:5">
      <c r="B602" s="418" t="s">
        <v>11326</v>
      </c>
      <c r="C602" s="411">
        <v>2877</v>
      </c>
      <c r="D602" s="412">
        <v>45449</v>
      </c>
      <c r="E602" s="424" t="s">
        <v>11837</v>
      </c>
    </row>
    <row r="603" spans="2:5">
      <c r="B603" s="418" t="s">
        <v>11326</v>
      </c>
      <c r="C603" s="411">
        <v>2875</v>
      </c>
      <c r="D603" s="412">
        <v>45449</v>
      </c>
      <c r="E603" s="424" t="s">
        <v>11838</v>
      </c>
    </row>
    <row r="604" spans="2:5">
      <c r="B604" s="418" t="s">
        <v>11326</v>
      </c>
      <c r="C604" s="411">
        <v>2873</v>
      </c>
      <c r="D604" s="412">
        <v>45449</v>
      </c>
      <c r="E604" s="424" t="s">
        <v>11939</v>
      </c>
    </row>
    <row r="605" spans="2:5">
      <c r="B605" s="418" t="s">
        <v>11326</v>
      </c>
      <c r="C605" s="411">
        <v>2872</v>
      </c>
      <c r="D605" s="412">
        <v>45449</v>
      </c>
      <c r="E605" s="424" t="s">
        <v>11839</v>
      </c>
    </row>
    <row r="606" spans="2:5">
      <c r="B606" s="418" t="s">
        <v>11326</v>
      </c>
      <c r="C606" s="411">
        <v>2867</v>
      </c>
      <c r="D606" s="412">
        <v>45449</v>
      </c>
      <c r="E606" s="424" t="s">
        <v>11840</v>
      </c>
    </row>
    <row r="607" spans="2:5">
      <c r="B607" s="418" t="s">
        <v>11326</v>
      </c>
      <c r="C607" s="411">
        <v>2858</v>
      </c>
      <c r="D607" s="412">
        <v>45449</v>
      </c>
      <c r="E607" s="424" t="s">
        <v>11940</v>
      </c>
    </row>
    <row r="608" spans="2:5">
      <c r="B608" s="418" t="s">
        <v>11326</v>
      </c>
      <c r="C608" s="411">
        <v>2847</v>
      </c>
      <c r="D608" s="412">
        <v>45449</v>
      </c>
      <c r="E608" s="424" t="s">
        <v>11841</v>
      </c>
    </row>
    <row r="609" spans="2:5">
      <c r="B609" s="418" t="s">
        <v>11326</v>
      </c>
      <c r="C609" s="411">
        <v>2841</v>
      </c>
      <c r="D609" s="412">
        <v>45449</v>
      </c>
      <c r="E609" s="424" t="s">
        <v>11842</v>
      </c>
    </row>
    <row r="610" spans="2:5">
      <c r="B610" s="418" t="s">
        <v>11326</v>
      </c>
      <c r="C610" s="411">
        <v>2838</v>
      </c>
      <c r="D610" s="412">
        <v>45449</v>
      </c>
      <c r="E610" s="424" t="s">
        <v>11941</v>
      </c>
    </row>
    <row r="611" spans="2:5">
      <c r="B611" s="418" t="s">
        <v>11326</v>
      </c>
      <c r="C611" s="411">
        <v>2832</v>
      </c>
      <c r="D611" s="412">
        <v>45449</v>
      </c>
      <c r="E611" s="424" t="s">
        <v>11942</v>
      </c>
    </row>
    <row r="612" spans="2:5">
      <c r="B612" s="418" t="s">
        <v>11326</v>
      </c>
      <c r="C612" s="411">
        <v>2827</v>
      </c>
      <c r="D612" s="412">
        <v>45449</v>
      </c>
      <c r="E612" s="424" t="s">
        <v>11843</v>
      </c>
    </row>
    <row r="613" spans="2:5">
      <c r="B613" s="418" t="s">
        <v>11326</v>
      </c>
      <c r="C613" s="411">
        <v>2826</v>
      </c>
      <c r="D613" s="412">
        <v>45449</v>
      </c>
      <c r="E613" s="424" t="s">
        <v>11943</v>
      </c>
    </row>
    <row r="614" spans="2:5">
      <c r="B614" s="418" t="s">
        <v>11326</v>
      </c>
      <c r="C614" s="411">
        <v>2820</v>
      </c>
      <c r="D614" s="412">
        <v>45449</v>
      </c>
      <c r="E614" s="424" t="s">
        <v>11944</v>
      </c>
    </row>
    <row r="615" spans="2:5">
      <c r="B615" s="418" t="s">
        <v>11326</v>
      </c>
      <c r="C615" s="411">
        <v>2806</v>
      </c>
      <c r="D615" s="412">
        <v>45449</v>
      </c>
      <c r="E615" s="424" t="s">
        <v>11844</v>
      </c>
    </row>
    <row r="616" spans="2:5">
      <c r="B616" s="418" t="s">
        <v>11326</v>
      </c>
      <c r="C616" s="411">
        <v>2804</v>
      </c>
      <c r="D616" s="412">
        <v>45449</v>
      </c>
      <c r="E616" s="424" t="s">
        <v>11945</v>
      </c>
    </row>
    <row r="617" spans="2:5">
      <c r="B617" s="418" t="s">
        <v>11326</v>
      </c>
      <c r="C617" s="411">
        <v>2797</v>
      </c>
      <c r="D617" s="412">
        <v>45449</v>
      </c>
      <c r="E617" s="424" t="s">
        <v>11845</v>
      </c>
    </row>
    <row r="618" spans="2:5">
      <c r="B618" s="418" t="s">
        <v>11326</v>
      </c>
      <c r="C618" s="411">
        <v>2790</v>
      </c>
      <c r="D618" s="412">
        <v>45449</v>
      </c>
      <c r="E618" s="424" t="s">
        <v>11846</v>
      </c>
    </row>
    <row r="619" spans="2:5">
      <c r="B619" s="418" t="s">
        <v>11326</v>
      </c>
      <c r="C619" s="411">
        <v>2789</v>
      </c>
      <c r="D619" s="412">
        <v>45449</v>
      </c>
      <c r="E619" s="424" t="s">
        <v>11946</v>
      </c>
    </row>
    <row r="620" spans="2:5">
      <c r="B620" s="418" t="s">
        <v>11326</v>
      </c>
      <c r="C620" s="411">
        <v>2787</v>
      </c>
      <c r="D620" s="412">
        <v>45449</v>
      </c>
      <c r="E620" s="424" t="s">
        <v>11947</v>
      </c>
    </row>
    <row r="621" spans="2:5">
      <c r="B621" s="418" t="s">
        <v>11326</v>
      </c>
      <c r="C621" s="411">
        <v>2785</v>
      </c>
      <c r="D621" s="412">
        <v>45449</v>
      </c>
      <c r="E621" s="424" t="s">
        <v>11948</v>
      </c>
    </row>
    <row r="622" spans="2:5">
      <c r="B622" s="418" t="s">
        <v>11326</v>
      </c>
      <c r="C622" s="411">
        <v>2780</v>
      </c>
      <c r="D622" s="412">
        <v>45449</v>
      </c>
      <c r="E622" s="424" t="s">
        <v>11949</v>
      </c>
    </row>
    <row r="623" spans="2:5">
      <c r="B623" s="418" t="s">
        <v>11326</v>
      </c>
      <c r="C623" s="411">
        <v>2778</v>
      </c>
      <c r="D623" s="412">
        <v>45449</v>
      </c>
      <c r="E623" s="424" t="s">
        <v>11847</v>
      </c>
    </row>
    <row r="624" spans="2:5">
      <c r="B624" s="418" t="s">
        <v>11326</v>
      </c>
      <c r="C624" s="411">
        <v>2775</v>
      </c>
      <c r="D624" s="412">
        <v>45449</v>
      </c>
      <c r="E624" s="424" t="s">
        <v>11848</v>
      </c>
    </row>
    <row r="625" spans="2:5">
      <c r="B625" s="418" t="s">
        <v>11326</v>
      </c>
      <c r="C625" s="411">
        <v>2773</v>
      </c>
      <c r="D625" s="412">
        <v>45449</v>
      </c>
      <c r="E625" s="424" t="s">
        <v>11849</v>
      </c>
    </row>
    <row r="626" spans="2:5">
      <c r="B626" s="418" t="s">
        <v>11326</v>
      </c>
      <c r="C626" s="411">
        <v>2772</v>
      </c>
      <c r="D626" s="412">
        <v>45449</v>
      </c>
      <c r="E626" s="424" t="s">
        <v>11850</v>
      </c>
    </row>
    <row r="627" spans="2:5">
      <c r="B627" s="418" t="s">
        <v>11326</v>
      </c>
      <c r="C627" s="411">
        <v>2771</v>
      </c>
      <c r="D627" s="412">
        <v>45449</v>
      </c>
      <c r="E627" s="424" t="s">
        <v>11851</v>
      </c>
    </row>
    <row r="628" spans="2:5">
      <c r="B628" s="418" t="s">
        <v>11326</v>
      </c>
      <c r="C628" s="411">
        <v>2770</v>
      </c>
      <c r="D628" s="412">
        <v>45449</v>
      </c>
      <c r="E628" s="424" t="s">
        <v>11852</v>
      </c>
    </row>
    <row r="629" spans="2:5">
      <c r="B629" s="418" t="s">
        <v>11326</v>
      </c>
      <c r="C629" s="411">
        <v>2769</v>
      </c>
      <c r="D629" s="412">
        <v>45449</v>
      </c>
      <c r="E629" s="424" t="s">
        <v>11950</v>
      </c>
    </row>
    <row r="630" spans="2:5">
      <c r="B630" s="418" t="s">
        <v>11326</v>
      </c>
      <c r="C630" s="411">
        <v>2767</v>
      </c>
      <c r="D630" s="412">
        <v>45449</v>
      </c>
      <c r="E630" s="424" t="s">
        <v>11853</v>
      </c>
    </row>
    <row r="631" spans="2:5">
      <c r="B631" s="418" t="s">
        <v>11326</v>
      </c>
      <c r="C631" s="411">
        <v>2765</v>
      </c>
      <c r="D631" s="412">
        <v>45449</v>
      </c>
      <c r="E631" s="424" t="s">
        <v>11951</v>
      </c>
    </row>
    <row r="632" spans="2:5">
      <c r="B632" s="418" t="s">
        <v>11326</v>
      </c>
      <c r="C632" s="411">
        <v>2764</v>
      </c>
      <c r="D632" s="412">
        <v>45449</v>
      </c>
      <c r="E632" s="424" t="s">
        <v>11854</v>
      </c>
    </row>
    <row r="633" spans="2:5">
      <c r="B633" s="418" t="s">
        <v>11326</v>
      </c>
      <c r="C633" s="411">
        <v>2761</v>
      </c>
      <c r="D633" s="412">
        <v>45449</v>
      </c>
      <c r="E633" s="424" t="s">
        <v>11952</v>
      </c>
    </row>
    <row r="634" spans="2:5">
      <c r="B634" s="418" t="s">
        <v>11326</v>
      </c>
      <c r="C634" s="411">
        <v>2756</v>
      </c>
      <c r="D634" s="412">
        <v>45449</v>
      </c>
      <c r="E634" s="424" t="s">
        <v>11953</v>
      </c>
    </row>
    <row r="635" spans="2:5">
      <c r="B635" s="418" t="s">
        <v>11326</v>
      </c>
      <c r="C635" s="411">
        <v>2745</v>
      </c>
      <c r="D635" s="412">
        <v>45449</v>
      </c>
      <c r="E635" s="424" t="s">
        <v>11855</v>
      </c>
    </row>
    <row r="636" spans="2:5">
      <c r="B636" s="418" t="s">
        <v>11326</v>
      </c>
      <c r="C636" s="411">
        <v>2744</v>
      </c>
      <c r="D636" s="412">
        <v>45449</v>
      </c>
      <c r="E636" s="424" t="s">
        <v>11954</v>
      </c>
    </row>
    <row r="637" spans="2:5">
      <c r="B637" s="418" t="s">
        <v>11326</v>
      </c>
      <c r="C637" s="411">
        <v>2742</v>
      </c>
      <c r="D637" s="412">
        <v>45449</v>
      </c>
      <c r="E637" s="424" t="s">
        <v>11955</v>
      </c>
    </row>
    <row r="638" spans="2:5">
      <c r="B638" s="418" t="s">
        <v>11326</v>
      </c>
      <c r="C638" s="411">
        <v>2740</v>
      </c>
      <c r="D638" s="412">
        <v>45449</v>
      </c>
      <c r="E638" s="424" t="s">
        <v>11856</v>
      </c>
    </row>
    <row r="639" spans="2:5">
      <c r="B639" s="418" t="s">
        <v>11326</v>
      </c>
      <c r="C639" s="411">
        <v>2736</v>
      </c>
      <c r="D639" s="412">
        <v>45449</v>
      </c>
      <c r="E639" s="424" t="s">
        <v>11857</v>
      </c>
    </row>
    <row r="640" spans="2:5">
      <c r="B640" s="418" t="s">
        <v>11326</v>
      </c>
      <c r="C640" s="411">
        <v>2732</v>
      </c>
      <c r="D640" s="412">
        <v>45449</v>
      </c>
      <c r="E640" s="424" t="s">
        <v>11858</v>
      </c>
    </row>
    <row r="641" spans="2:5">
      <c r="B641" s="418" t="s">
        <v>11326</v>
      </c>
      <c r="C641" s="411">
        <v>2726</v>
      </c>
      <c r="D641" s="412">
        <v>45449</v>
      </c>
      <c r="E641" s="424" t="s">
        <v>11859</v>
      </c>
    </row>
    <row r="642" spans="2:5">
      <c r="B642" s="418" t="s">
        <v>11326</v>
      </c>
      <c r="C642" s="411">
        <v>2716</v>
      </c>
      <c r="D642" s="412">
        <v>45449</v>
      </c>
      <c r="E642" s="424" t="s">
        <v>11860</v>
      </c>
    </row>
    <row r="643" spans="2:5">
      <c r="B643" s="418" t="s">
        <v>11326</v>
      </c>
      <c r="C643" s="411">
        <v>2711</v>
      </c>
      <c r="D643" s="412">
        <v>45449</v>
      </c>
      <c r="E643" s="424" t="s">
        <v>11861</v>
      </c>
    </row>
    <row r="644" spans="2:5">
      <c r="B644" s="418" t="s">
        <v>11326</v>
      </c>
      <c r="C644" s="411">
        <v>2706</v>
      </c>
      <c r="D644" s="412">
        <v>45449</v>
      </c>
      <c r="E644" s="424" t="s">
        <v>11956</v>
      </c>
    </row>
    <row r="645" spans="2:5">
      <c r="B645" s="418" t="s">
        <v>11326</v>
      </c>
      <c r="C645" s="411">
        <v>2699</v>
      </c>
      <c r="D645" s="412">
        <v>45449</v>
      </c>
      <c r="E645" s="424" t="s">
        <v>11862</v>
      </c>
    </row>
    <row r="646" spans="2:5">
      <c r="B646" s="418" t="s">
        <v>11326</v>
      </c>
      <c r="C646" s="411">
        <v>2696</v>
      </c>
      <c r="D646" s="412">
        <v>45449</v>
      </c>
      <c r="E646" s="424" t="s">
        <v>11863</v>
      </c>
    </row>
    <row r="647" spans="2:5">
      <c r="B647" s="418" t="s">
        <v>11326</v>
      </c>
      <c r="C647" s="411">
        <v>2663</v>
      </c>
      <c r="D647" s="412">
        <v>45449</v>
      </c>
      <c r="E647" s="424" t="s">
        <v>11957</v>
      </c>
    </row>
    <row r="648" spans="2:5">
      <c r="B648" s="418" t="s">
        <v>11326</v>
      </c>
      <c r="C648" s="411">
        <v>2657</v>
      </c>
      <c r="D648" s="412">
        <v>45449</v>
      </c>
      <c r="E648" s="424" t="s">
        <v>11958</v>
      </c>
    </row>
    <row r="649" spans="2:5">
      <c r="B649" s="418" t="s">
        <v>11326</v>
      </c>
      <c r="C649" s="411">
        <v>2654</v>
      </c>
      <c r="D649" s="412">
        <v>45449</v>
      </c>
      <c r="E649" s="424" t="s">
        <v>11959</v>
      </c>
    </row>
    <row r="650" spans="2:5">
      <c r="B650" s="418" t="s">
        <v>11326</v>
      </c>
      <c r="C650" s="411">
        <v>2653</v>
      </c>
      <c r="D650" s="412">
        <v>45449</v>
      </c>
      <c r="E650" s="424" t="s">
        <v>11960</v>
      </c>
    </row>
    <row r="651" spans="2:5">
      <c r="B651" s="418" t="s">
        <v>11326</v>
      </c>
      <c r="C651" s="411">
        <v>2652</v>
      </c>
      <c r="D651" s="412">
        <v>45449</v>
      </c>
      <c r="E651" s="424" t="s">
        <v>11961</v>
      </c>
    </row>
    <row r="652" spans="2:5">
      <c r="B652" s="418" t="s">
        <v>11326</v>
      </c>
      <c r="C652" s="411">
        <v>2651</v>
      </c>
      <c r="D652" s="412">
        <v>45449</v>
      </c>
      <c r="E652" s="424" t="s">
        <v>11864</v>
      </c>
    </row>
    <row r="653" spans="2:5">
      <c r="B653" s="418" t="s">
        <v>11326</v>
      </c>
      <c r="C653" s="411">
        <v>2650</v>
      </c>
      <c r="D653" s="412">
        <v>45449</v>
      </c>
      <c r="E653" s="424" t="s">
        <v>11865</v>
      </c>
    </row>
    <row r="654" spans="2:5">
      <c r="B654" s="418" t="s">
        <v>11326</v>
      </c>
      <c r="C654" s="411">
        <v>2649</v>
      </c>
      <c r="D654" s="412">
        <v>45449</v>
      </c>
      <c r="E654" s="424" t="s">
        <v>11962</v>
      </c>
    </row>
    <row r="655" spans="2:5">
      <c r="B655" s="418" t="s">
        <v>11326</v>
      </c>
      <c r="C655" s="411">
        <v>2648</v>
      </c>
      <c r="D655" s="412">
        <v>45449</v>
      </c>
      <c r="E655" s="424" t="s">
        <v>11866</v>
      </c>
    </row>
    <row r="656" spans="2:5">
      <c r="B656" s="418" t="s">
        <v>11326</v>
      </c>
      <c r="C656" s="411">
        <v>2645</v>
      </c>
      <c r="D656" s="412">
        <v>45449</v>
      </c>
      <c r="E656" s="424" t="s">
        <v>11963</v>
      </c>
    </row>
    <row r="657" spans="2:5">
      <c r="B657" s="418" t="s">
        <v>11326</v>
      </c>
      <c r="C657" s="411">
        <v>2642</v>
      </c>
      <c r="D657" s="412">
        <v>45449</v>
      </c>
      <c r="E657" s="424" t="s">
        <v>11867</v>
      </c>
    </row>
    <row r="658" spans="2:5">
      <c r="B658" s="418" t="s">
        <v>11326</v>
      </c>
      <c r="C658" s="411">
        <v>2638</v>
      </c>
      <c r="D658" s="412">
        <v>45449</v>
      </c>
      <c r="E658" s="424" t="s">
        <v>11868</v>
      </c>
    </row>
    <row r="659" spans="2:5">
      <c r="B659" s="418" t="s">
        <v>11326</v>
      </c>
      <c r="C659" s="411">
        <v>2635</v>
      </c>
      <c r="D659" s="412">
        <v>45449</v>
      </c>
      <c r="E659" s="424" t="s">
        <v>11869</v>
      </c>
    </row>
    <row r="660" spans="2:5">
      <c r="B660" s="418" t="s">
        <v>11326</v>
      </c>
      <c r="C660" s="411">
        <v>2633</v>
      </c>
      <c r="D660" s="412">
        <v>45449</v>
      </c>
      <c r="E660" s="424" t="s">
        <v>11964</v>
      </c>
    </row>
    <row r="661" spans="2:5">
      <c r="B661" s="418" t="s">
        <v>11326</v>
      </c>
      <c r="C661" s="411">
        <v>2632</v>
      </c>
      <c r="D661" s="412">
        <v>45449</v>
      </c>
      <c r="E661" s="424" t="s">
        <v>11965</v>
      </c>
    </row>
    <row r="662" spans="2:5">
      <c r="B662" s="418" t="s">
        <v>11326</v>
      </c>
      <c r="C662" s="411">
        <v>2629</v>
      </c>
      <c r="D662" s="412">
        <v>45449</v>
      </c>
      <c r="E662" s="424" t="s">
        <v>11966</v>
      </c>
    </row>
    <row r="663" spans="2:5">
      <c r="B663" s="418" t="s">
        <v>11326</v>
      </c>
      <c r="C663" s="411">
        <v>2628</v>
      </c>
      <c r="D663" s="412">
        <v>45449</v>
      </c>
      <c r="E663" s="424" t="s">
        <v>11967</v>
      </c>
    </row>
    <row r="664" spans="2:5">
      <c r="B664" s="418" t="s">
        <v>11326</v>
      </c>
      <c r="C664" s="411">
        <v>2625</v>
      </c>
      <c r="D664" s="412">
        <v>45449</v>
      </c>
      <c r="E664" s="424" t="s">
        <v>11870</v>
      </c>
    </row>
    <row r="665" spans="2:5">
      <c r="B665" s="418" t="s">
        <v>11326</v>
      </c>
      <c r="C665" s="411">
        <v>2619</v>
      </c>
      <c r="D665" s="412">
        <v>45449</v>
      </c>
      <c r="E665" s="424" t="s">
        <v>11968</v>
      </c>
    </row>
    <row r="666" spans="2:5">
      <c r="B666" s="418" t="s">
        <v>11326</v>
      </c>
      <c r="C666" s="411">
        <v>2616</v>
      </c>
      <c r="D666" s="412">
        <v>45449</v>
      </c>
      <c r="E666" s="424" t="s">
        <v>11871</v>
      </c>
    </row>
    <row r="667" spans="2:5">
      <c r="B667" s="418" t="s">
        <v>11326</v>
      </c>
      <c r="C667" s="411">
        <v>2615</v>
      </c>
      <c r="D667" s="412">
        <v>45449</v>
      </c>
      <c r="E667" s="424" t="s">
        <v>11872</v>
      </c>
    </row>
    <row r="668" spans="2:5">
      <c r="B668" s="418" t="s">
        <v>11326</v>
      </c>
      <c r="C668" s="411">
        <v>2614</v>
      </c>
      <c r="D668" s="412">
        <v>45449</v>
      </c>
      <c r="E668" s="424" t="s">
        <v>11873</v>
      </c>
    </row>
    <row r="669" spans="2:5">
      <c r="B669" s="418" t="s">
        <v>11326</v>
      </c>
      <c r="C669" s="411">
        <v>2613</v>
      </c>
      <c r="D669" s="412">
        <v>45449</v>
      </c>
      <c r="E669" s="424" t="s">
        <v>11876</v>
      </c>
    </row>
    <row r="670" spans="2:5">
      <c r="B670" s="418" t="s">
        <v>11326</v>
      </c>
      <c r="C670" s="411">
        <v>2612</v>
      </c>
      <c r="D670" s="412">
        <v>45449</v>
      </c>
      <c r="E670" s="424" t="s">
        <v>11875</v>
      </c>
    </row>
    <row r="671" spans="2:5">
      <c r="B671" s="418" t="s">
        <v>11326</v>
      </c>
      <c r="C671" s="411">
        <v>2611</v>
      </c>
      <c r="D671" s="412">
        <v>45449</v>
      </c>
      <c r="E671" s="424" t="s">
        <v>11874</v>
      </c>
    </row>
    <row r="672" spans="2:5">
      <c r="B672" s="418" t="s">
        <v>11326</v>
      </c>
      <c r="C672" s="411">
        <v>2610</v>
      </c>
      <c r="D672" s="412">
        <v>45449</v>
      </c>
      <c r="E672" s="424" t="s">
        <v>11969</v>
      </c>
    </row>
    <row r="673" spans="2:5">
      <c r="B673" s="418" t="s">
        <v>11326</v>
      </c>
      <c r="C673" s="411">
        <v>2609</v>
      </c>
      <c r="D673" s="412">
        <v>45449</v>
      </c>
      <c r="E673" s="424" t="s">
        <v>11877</v>
      </c>
    </row>
    <row r="674" spans="2:5">
      <c r="B674" s="418" t="s">
        <v>11326</v>
      </c>
      <c r="C674" s="411">
        <v>2608</v>
      </c>
      <c r="D674" s="412">
        <v>45449</v>
      </c>
      <c r="E674" s="424" t="s">
        <v>11970</v>
      </c>
    </row>
    <row r="675" spans="2:5">
      <c r="B675" s="418" t="s">
        <v>11326</v>
      </c>
      <c r="C675" s="411">
        <v>2606</v>
      </c>
      <c r="D675" s="412">
        <v>45449</v>
      </c>
      <c r="E675" s="424" t="s">
        <v>11971</v>
      </c>
    </row>
    <row r="676" spans="2:5">
      <c r="B676" s="418" t="s">
        <v>11326</v>
      </c>
      <c r="C676" s="411">
        <v>2605</v>
      </c>
      <c r="D676" s="412">
        <v>45449</v>
      </c>
      <c r="E676" s="424" t="s">
        <v>11972</v>
      </c>
    </row>
    <row r="677" spans="2:5">
      <c r="B677" s="418" t="s">
        <v>11326</v>
      </c>
      <c r="C677" s="411">
        <v>2604</v>
      </c>
      <c r="D677" s="412">
        <v>45449</v>
      </c>
      <c r="E677" s="424" t="s">
        <v>11880</v>
      </c>
    </row>
    <row r="678" spans="2:5">
      <c r="B678" s="418" t="s">
        <v>11326</v>
      </c>
      <c r="C678" s="411">
        <v>2603</v>
      </c>
      <c r="D678" s="412">
        <v>45449</v>
      </c>
      <c r="E678" s="424" t="s">
        <v>11973</v>
      </c>
    </row>
    <row r="679" spans="2:5">
      <c r="B679" s="418" t="s">
        <v>11326</v>
      </c>
      <c r="C679" s="411">
        <v>2602</v>
      </c>
      <c r="D679" s="412">
        <v>45449</v>
      </c>
      <c r="E679" s="424" t="s">
        <v>11879</v>
      </c>
    </row>
    <row r="680" spans="2:5">
      <c r="B680" s="418" t="s">
        <v>11326</v>
      </c>
      <c r="C680" s="411">
        <v>2601</v>
      </c>
      <c r="D680" s="412">
        <v>45449</v>
      </c>
      <c r="E680" s="424" t="s">
        <v>11878</v>
      </c>
    </row>
    <row r="681" spans="2:5">
      <c r="B681" s="418" t="s">
        <v>11326</v>
      </c>
      <c r="C681" s="411">
        <v>2600</v>
      </c>
      <c r="D681" s="412">
        <v>45449</v>
      </c>
      <c r="E681" s="424" t="s">
        <v>11881</v>
      </c>
    </row>
    <row r="682" spans="2:5">
      <c r="B682" s="418" t="s">
        <v>11326</v>
      </c>
      <c r="C682" s="411">
        <v>2598</v>
      </c>
      <c r="D682" s="412">
        <v>45449</v>
      </c>
      <c r="E682" s="424" t="s">
        <v>11882</v>
      </c>
    </row>
    <row r="683" spans="2:5">
      <c r="B683" s="418" t="s">
        <v>11326</v>
      </c>
      <c r="C683" s="411">
        <v>2597</v>
      </c>
      <c r="D683" s="412">
        <v>45449</v>
      </c>
      <c r="E683" s="424" t="s">
        <v>11883</v>
      </c>
    </row>
    <row r="684" spans="2:5">
      <c r="B684" s="418" t="s">
        <v>11326</v>
      </c>
      <c r="C684" s="411">
        <v>2596</v>
      </c>
      <c r="D684" s="412">
        <v>45449</v>
      </c>
      <c r="E684" s="424" t="s">
        <v>11884</v>
      </c>
    </row>
    <row r="685" spans="2:5">
      <c r="B685" s="418" t="s">
        <v>11326</v>
      </c>
      <c r="C685" s="411">
        <v>2594</v>
      </c>
      <c r="D685" s="412">
        <v>45449</v>
      </c>
      <c r="E685" s="424" t="s">
        <v>11885</v>
      </c>
    </row>
    <row r="686" spans="2:5">
      <c r="B686" s="418" t="s">
        <v>11326</v>
      </c>
      <c r="C686" s="411">
        <v>2592</v>
      </c>
      <c r="D686" s="412">
        <v>45449</v>
      </c>
      <c r="E686" s="424" t="s">
        <v>11886</v>
      </c>
    </row>
    <row r="687" spans="2:5">
      <c r="B687" s="418" t="s">
        <v>11326</v>
      </c>
      <c r="C687" s="411">
        <v>2591</v>
      </c>
      <c r="D687" s="412">
        <v>45449</v>
      </c>
      <c r="E687" s="424" t="s">
        <v>11887</v>
      </c>
    </row>
    <row r="688" spans="2:5">
      <c r="B688" s="418" t="s">
        <v>11326</v>
      </c>
      <c r="C688" s="411">
        <v>2587</v>
      </c>
      <c r="D688" s="412">
        <v>45449</v>
      </c>
      <c r="E688" s="424" t="s">
        <v>11888</v>
      </c>
    </row>
    <row r="689" spans="2:5">
      <c r="B689" s="418" t="s">
        <v>11326</v>
      </c>
      <c r="C689" s="411">
        <v>2585</v>
      </c>
      <c r="D689" s="412">
        <v>45449</v>
      </c>
      <c r="E689" s="424" t="s">
        <v>11889</v>
      </c>
    </row>
    <row r="690" spans="2:5">
      <c r="B690" s="418" t="s">
        <v>11326</v>
      </c>
      <c r="C690" s="411">
        <v>2584</v>
      </c>
      <c r="D690" s="412">
        <v>45449</v>
      </c>
      <c r="E690" s="424" t="s">
        <v>11890</v>
      </c>
    </row>
    <row r="691" spans="2:5">
      <c r="B691" s="418" t="s">
        <v>11326</v>
      </c>
      <c r="C691" s="411">
        <v>2583</v>
      </c>
      <c r="D691" s="412">
        <v>45449</v>
      </c>
      <c r="E691" s="424" t="s">
        <v>11891</v>
      </c>
    </row>
    <row r="692" spans="2:5">
      <c r="B692" s="418" t="s">
        <v>11326</v>
      </c>
      <c r="C692" s="411">
        <v>2582</v>
      </c>
      <c r="D692" s="412">
        <v>45449</v>
      </c>
      <c r="E692" s="424" t="s">
        <v>11892</v>
      </c>
    </row>
    <row r="693" spans="2:5">
      <c r="B693" s="418" t="s">
        <v>11326</v>
      </c>
      <c r="C693" s="411">
        <v>2581</v>
      </c>
      <c r="D693" s="412">
        <v>45449</v>
      </c>
      <c r="E693" s="424" t="s">
        <v>11893</v>
      </c>
    </row>
    <row r="694" spans="2:5">
      <c r="B694" s="418" t="s">
        <v>11326</v>
      </c>
      <c r="C694" s="411">
        <v>2580</v>
      </c>
      <c r="D694" s="412">
        <v>45449</v>
      </c>
      <c r="E694" s="424" t="s">
        <v>11974</v>
      </c>
    </row>
    <row r="695" spans="2:5">
      <c r="B695" s="418" t="s">
        <v>11326</v>
      </c>
      <c r="C695" s="411">
        <v>2579</v>
      </c>
      <c r="D695" s="412">
        <v>45449</v>
      </c>
      <c r="E695" s="424" t="s">
        <v>11975</v>
      </c>
    </row>
    <row r="696" spans="2:5">
      <c r="B696" s="418" t="s">
        <v>11326</v>
      </c>
      <c r="C696" s="411">
        <v>2578</v>
      </c>
      <c r="D696" s="412">
        <v>45449</v>
      </c>
      <c r="E696" s="424" t="s">
        <v>11894</v>
      </c>
    </row>
    <row r="697" spans="2:5">
      <c r="B697" s="418" t="s">
        <v>11326</v>
      </c>
      <c r="C697" s="411">
        <v>2577</v>
      </c>
      <c r="D697" s="412">
        <v>45449</v>
      </c>
      <c r="E697" s="424" t="s">
        <v>11976</v>
      </c>
    </row>
    <row r="698" spans="2:5">
      <c r="B698" s="418" t="s">
        <v>11326</v>
      </c>
      <c r="C698" s="411">
        <v>2575</v>
      </c>
      <c r="D698" s="412">
        <v>45449</v>
      </c>
      <c r="E698" s="424" t="s">
        <v>11977</v>
      </c>
    </row>
    <row r="699" spans="2:5">
      <c r="B699" s="418" t="s">
        <v>11326</v>
      </c>
      <c r="C699" s="411">
        <v>2572</v>
      </c>
      <c r="D699" s="412">
        <v>45449</v>
      </c>
      <c r="E699" s="424" t="s">
        <v>11978</v>
      </c>
    </row>
    <row r="700" spans="2:5">
      <c r="B700" s="418" t="s">
        <v>11326</v>
      </c>
      <c r="C700" s="411">
        <v>2566</v>
      </c>
      <c r="D700" s="412">
        <v>45449</v>
      </c>
      <c r="E700" s="424" t="s">
        <v>11979</v>
      </c>
    </row>
    <row r="701" spans="2:5">
      <c r="B701" s="418" t="s">
        <v>11326</v>
      </c>
      <c r="C701" s="411">
        <v>2560</v>
      </c>
      <c r="D701" s="412">
        <v>45449</v>
      </c>
      <c r="E701" s="424" t="s">
        <v>11980</v>
      </c>
    </row>
    <row r="702" spans="2:5">
      <c r="B702" s="418" t="s">
        <v>11326</v>
      </c>
      <c r="C702" s="411">
        <v>2554</v>
      </c>
      <c r="D702" s="412">
        <v>45449</v>
      </c>
      <c r="E702" s="428" t="s">
        <v>11981</v>
      </c>
    </row>
    <row r="703" spans="2:5">
      <c r="B703" s="418" t="s">
        <v>11326</v>
      </c>
      <c r="C703" s="411">
        <v>2550</v>
      </c>
      <c r="D703" s="412">
        <v>45448</v>
      </c>
      <c r="E703" s="418" t="s">
        <v>11327</v>
      </c>
    </row>
    <row r="704" spans="2:5">
      <c r="B704" s="418" t="s">
        <v>11326</v>
      </c>
      <c r="C704" s="411">
        <v>2545</v>
      </c>
      <c r="D704" s="412">
        <v>45448</v>
      </c>
      <c r="E704" s="418" t="s">
        <v>11328</v>
      </c>
    </row>
    <row r="705" spans="2:5">
      <c r="B705" s="418" t="s">
        <v>11326</v>
      </c>
      <c r="C705" s="411">
        <v>2543</v>
      </c>
      <c r="D705" s="412">
        <v>45448</v>
      </c>
      <c r="E705" s="418" t="s">
        <v>11329</v>
      </c>
    </row>
    <row r="706" spans="2:5">
      <c r="B706" s="418" t="s">
        <v>11326</v>
      </c>
      <c r="C706" s="411">
        <v>2542</v>
      </c>
      <c r="D706" s="412">
        <v>45448</v>
      </c>
      <c r="E706" s="418" t="s">
        <v>11330</v>
      </c>
    </row>
    <row r="707" spans="2:5">
      <c r="B707" s="418" t="s">
        <v>11326</v>
      </c>
      <c r="C707" s="411">
        <v>2539</v>
      </c>
      <c r="D707" s="412">
        <v>45448</v>
      </c>
      <c r="E707" s="418" t="s">
        <v>11439</v>
      </c>
    </row>
    <row r="708" spans="2:5">
      <c r="B708" s="418" t="s">
        <v>11326</v>
      </c>
      <c r="C708" s="411">
        <v>2537</v>
      </c>
      <c r="D708" s="412">
        <v>45448</v>
      </c>
      <c r="E708" s="418" t="s">
        <v>11440</v>
      </c>
    </row>
    <row r="709" spans="2:5">
      <c r="B709" s="418" t="s">
        <v>11326</v>
      </c>
      <c r="C709" s="411">
        <v>2536</v>
      </c>
      <c r="D709" s="412">
        <v>45448</v>
      </c>
      <c r="E709" s="419" t="s">
        <v>11441</v>
      </c>
    </row>
    <row r="710" spans="2:5">
      <c r="B710" s="418" t="s">
        <v>11326</v>
      </c>
      <c r="C710" s="411">
        <v>2534</v>
      </c>
      <c r="D710" s="412">
        <v>45448</v>
      </c>
      <c r="E710" s="419" t="s">
        <v>11442</v>
      </c>
    </row>
    <row r="711" spans="2:5">
      <c r="B711" s="418" t="s">
        <v>11326</v>
      </c>
      <c r="C711" s="411">
        <v>2529</v>
      </c>
      <c r="D711" s="412">
        <v>45448</v>
      </c>
      <c r="E711" s="419" t="s">
        <v>11443</v>
      </c>
    </row>
    <row r="712" spans="2:5">
      <c r="B712" s="418" t="s">
        <v>11326</v>
      </c>
      <c r="C712" s="411">
        <v>2524</v>
      </c>
      <c r="D712" s="412">
        <v>45453</v>
      </c>
      <c r="E712" s="424" t="s">
        <v>12389</v>
      </c>
    </row>
    <row r="713" spans="2:5">
      <c r="B713" s="418" t="s">
        <v>11326</v>
      </c>
      <c r="C713" s="411">
        <v>2523</v>
      </c>
      <c r="D713" s="412">
        <v>45448</v>
      </c>
      <c r="E713" s="419" t="s">
        <v>11444</v>
      </c>
    </row>
    <row r="714" spans="2:5">
      <c r="B714" s="418" t="s">
        <v>11326</v>
      </c>
      <c r="C714" s="411">
        <v>2515</v>
      </c>
      <c r="D714" s="412">
        <v>45448</v>
      </c>
      <c r="E714" s="418" t="s">
        <v>11331</v>
      </c>
    </row>
    <row r="715" spans="2:5">
      <c r="B715" s="418" t="s">
        <v>11326</v>
      </c>
      <c r="C715" s="411">
        <v>2510</v>
      </c>
      <c r="D715" s="412">
        <v>45448</v>
      </c>
      <c r="E715" s="418" t="s">
        <v>11332</v>
      </c>
    </row>
    <row r="716" spans="2:5">
      <c r="B716" s="418" t="s">
        <v>11326</v>
      </c>
      <c r="C716" s="411">
        <v>2507</v>
      </c>
      <c r="D716" s="412">
        <v>45448</v>
      </c>
      <c r="E716" s="418" t="s">
        <v>11445</v>
      </c>
    </row>
    <row r="717" spans="2:5">
      <c r="B717" s="418" t="s">
        <v>11326</v>
      </c>
      <c r="C717" s="411">
        <v>2500</v>
      </c>
      <c r="D717" s="412">
        <v>45448</v>
      </c>
      <c r="E717" s="418" t="s">
        <v>11333</v>
      </c>
    </row>
    <row r="718" spans="2:5">
      <c r="B718" s="418" t="s">
        <v>11326</v>
      </c>
      <c r="C718" s="411">
        <v>2497</v>
      </c>
      <c r="D718" s="412">
        <v>45448</v>
      </c>
      <c r="E718" s="418" t="s">
        <v>11446</v>
      </c>
    </row>
    <row r="719" spans="2:5">
      <c r="B719" s="418" t="s">
        <v>11326</v>
      </c>
      <c r="C719" s="411">
        <v>2496</v>
      </c>
      <c r="D719" s="412">
        <v>45448</v>
      </c>
      <c r="E719" s="418" t="s">
        <v>11334</v>
      </c>
    </row>
    <row r="720" spans="2:5">
      <c r="B720" s="418" t="s">
        <v>11326</v>
      </c>
      <c r="C720" s="411">
        <v>2490</v>
      </c>
      <c r="D720" s="412">
        <v>45448</v>
      </c>
      <c r="E720" s="418" t="s">
        <v>11335</v>
      </c>
    </row>
    <row r="721" spans="2:5">
      <c r="B721" s="418" t="s">
        <v>11326</v>
      </c>
      <c r="C721" s="411">
        <v>2486</v>
      </c>
      <c r="D721" s="412">
        <v>45448</v>
      </c>
      <c r="E721" s="418" t="s">
        <v>11336</v>
      </c>
    </row>
    <row r="722" spans="2:5">
      <c r="B722" s="418" t="s">
        <v>11326</v>
      </c>
      <c r="C722" s="411">
        <v>2479</v>
      </c>
      <c r="D722" s="412">
        <v>45448</v>
      </c>
      <c r="E722" s="418" t="s">
        <v>11337</v>
      </c>
    </row>
    <row r="723" spans="2:5">
      <c r="B723" s="418" t="s">
        <v>11326</v>
      </c>
      <c r="C723" s="411">
        <v>2477</v>
      </c>
      <c r="D723" s="412">
        <v>45448</v>
      </c>
      <c r="E723" s="418" t="s">
        <v>11447</v>
      </c>
    </row>
    <row r="724" spans="2:5">
      <c r="B724" s="418" t="s">
        <v>11326</v>
      </c>
      <c r="C724" s="411">
        <v>2470</v>
      </c>
      <c r="D724" s="412">
        <v>45448</v>
      </c>
      <c r="E724" s="418" t="s">
        <v>11448</v>
      </c>
    </row>
    <row r="725" spans="2:5">
      <c r="B725" s="418" t="s">
        <v>11326</v>
      </c>
      <c r="C725" s="411">
        <v>2469</v>
      </c>
      <c r="D725" s="412">
        <v>45448</v>
      </c>
      <c r="E725" s="418" t="s">
        <v>11338</v>
      </c>
    </row>
    <row r="726" spans="2:5">
      <c r="B726" s="418" t="s">
        <v>11326</v>
      </c>
      <c r="C726" s="411">
        <v>2465</v>
      </c>
      <c r="D726" s="412">
        <v>45448</v>
      </c>
      <c r="E726" s="418" t="s">
        <v>11339</v>
      </c>
    </row>
    <row r="727" spans="2:5">
      <c r="B727" s="418" t="s">
        <v>11326</v>
      </c>
      <c r="C727" s="411">
        <v>2464</v>
      </c>
      <c r="D727" s="412">
        <v>45448</v>
      </c>
      <c r="E727" s="418" t="s">
        <v>11340</v>
      </c>
    </row>
    <row r="728" spans="2:5">
      <c r="B728" s="418" t="s">
        <v>11326</v>
      </c>
      <c r="C728" s="411">
        <v>2457</v>
      </c>
      <c r="D728" s="412">
        <v>45448</v>
      </c>
      <c r="E728" s="418" t="s">
        <v>11449</v>
      </c>
    </row>
    <row r="729" spans="2:5">
      <c r="B729" s="418" t="s">
        <v>11326</v>
      </c>
      <c r="C729" s="411">
        <v>2456</v>
      </c>
      <c r="D729" s="412">
        <v>45448</v>
      </c>
      <c r="E729" s="418" t="s">
        <v>11341</v>
      </c>
    </row>
    <row r="730" spans="2:5">
      <c r="B730" s="418" t="s">
        <v>11326</v>
      </c>
      <c r="C730" s="411">
        <v>2450</v>
      </c>
      <c r="D730" s="412">
        <v>45448</v>
      </c>
      <c r="E730" s="418" t="s">
        <v>11344</v>
      </c>
    </row>
    <row r="731" spans="2:5">
      <c r="B731" s="418" t="s">
        <v>11326</v>
      </c>
      <c r="C731" s="411">
        <v>2447</v>
      </c>
      <c r="D731" s="412">
        <v>45448</v>
      </c>
      <c r="E731" s="418" t="s">
        <v>11343</v>
      </c>
    </row>
    <row r="732" spans="2:5">
      <c r="B732" s="418" t="s">
        <v>11326</v>
      </c>
      <c r="C732" s="411">
        <v>2432</v>
      </c>
      <c r="D732" s="412">
        <v>45448</v>
      </c>
      <c r="E732" s="418" t="s">
        <v>11450</v>
      </c>
    </row>
    <row r="733" spans="2:5">
      <c r="B733" s="418" t="s">
        <v>11326</v>
      </c>
      <c r="C733" s="411">
        <v>2431</v>
      </c>
      <c r="D733" s="412">
        <v>45448</v>
      </c>
      <c r="E733" s="418" t="s">
        <v>11451</v>
      </c>
    </row>
    <row r="734" spans="2:5">
      <c r="B734" s="418" t="s">
        <v>11326</v>
      </c>
      <c r="C734" s="411">
        <v>2428</v>
      </c>
      <c r="D734" s="412">
        <v>45448</v>
      </c>
      <c r="E734" s="418" t="s">
        <v>11342</v>
      </c>
    </row>
    <row r="735" spans="2:5">
      <c r="B735" s="418" t="s">
        <v>11326</v>
      </c>
      <c r="C735" s="411">
        <v>2426</v>
      </c>
      <c r="D735" s="412">
        <v>45448</v>
      </c>
      <c r="E735" s="418" t="s">
        <v>11452</v>
      </c>
    </row>
    <row r="736" spans="2:5">
      <c r="B736" s="418" t="s">
        <v>11326</v>
      </c>
      <c r="C736" s="411">
        <v>2424</v>
      </c>
      <c r="D736" s="412">
        <v>45448</v>
      </c>
      <c r="E736" s="418" t="s">
        <v>11345</v>
      </c>
    </row>
    <row r="737" spans="2:5">
      <c r="B737" s="418" t="s">
        <v>11326</v>
      </c>
      <c r="C737" s="411">
        <v>2422</v>
      </c>
      <c r="D737" s="412">
        <v>45448</v>
      </c>
      <c r="E737" s="418" t="s">
        <v>11453</v>
      </c>
    </row>
    <row r="738" spans="2:5">
      <c r="B738" s="418" t="s">
        <v>11326</v>
      </c>
      <c r="C738" s="411">
        <v>2421</v>
      </c>
      <c r="D738" s="412">
        <v>45448</v>
      </c>
      <c r="E738" s="418" t="s">
        <v>11454</v>
      </c>
    </row>
    <row r="739" spans="2:5">
      <c r="B739" s="418" t="s">
        <v>11326</v>
      </c>
      <c r="C739" s="411">
        <v>2416</v>
      </c>
      <c r="D739" s="412">
        <v>45448</v>
      </c>
      <c r="E739" s="418" t="s">
        <v>11346</v>
      </c>
    </row>
    <row r="740" spans="2:5">
      <c r="B740" s="418" t="s">
        <v>11326</v>
      </c>
      <c r="C740" s="411">
        <v>2395</v>
      </c>
      <c r="D740" s="412">
        <v>45448</v>
      </c>
      <c r="E740" s="418" t="s">
        <v>11347</v>
      </c>
    </row>
    <row r="741" spans="2:5">
      <c r="B741" s="418" t="s">
        <v>11326</v>
      </c>
      <c r="C741" s="411">
        <v>2394</v>
      </c>
      <c r="D741" s="412">
        <v>45448</v>
      </c>
      <c r="E741" s="418" t="s">
        <v>11455</v>
      </c>
    </row>
    <row r="742" spans="2:5">
      <c r="B742" s="418" t="s">
        <v>11326</v>
      </c>
      <c r="C742" s="411">
        <v>2383</v>
      </c>
      <c r="D742" s="412">
        <v>45448</v>
      </c>
      <c r="E742" s="418" t="s">
        <v>11456</v>
      </c>
    </row>
    <row r="743" spans="2:5">
      <c r="B743" s="418" t="s">
        <v>11326</v>
      </c>
      <c r="C743" s="411">
        <v>2366</v>
      </c>
      <c r="D743" s="412">
        <v>45448</v>
      </c>
      <c r="E743" s="418" t="s">
        <v>11348</v>
      </c>
    </row>
    <row r="744" spans="2:5">
      <c r="B744" s="418" t="s">
        <v>11326</v>
      </c>
      <c r="C744" s="411">
        <v>2362</v>
      </c>
      <c r="D744" s="412">
        <v>45448</v>
      </c>
      <c r="E744" s="418" t="s">
        <v>11349</v>
      </c>
    </row>
    <row r="745" spans="2:5">
      <c r="B745" s="418" t="s">
        <v>11326</v>
      </c>
      <c r="C745" s="411">
        <v>2361</v>
      </c>
      <c r="D745" s="412">
        <v>45448</v>
      </c>
      <c r="E745" s="418" t="s">
        <v>11350</v>
      </c>
    </row>
    <row r="746" spans="2:5">
      <c r="B746" s="418" t="s">
        <v>11326</v>
      </c>
      <c r="C746" s="411">
        <v>2357</v>
      </c>
      <c r="D746" s="412">
        <v>45448</v>
      </c>
      <c r="E746" s="418" t="s">
        <v>11457</v>
      </c>
    </row>
    <row r="747" spans="2:5">
      <c r="B747" s="418" t="s">
        <v>11326</v>
      </c>
      <c r="C747" s="411">
        <v>2356</v>
      </c>
      <c r="D747" s="412">
        <v>45448</v>
      </c>
      <c r="E747" s="418" t="s">
        <v>11351</v>
      </c>
    </row>
    <row r="748" spans="2:5">
      <c r="B748" s="418" t="s">
        <v>11326</v>
      </c>
      <c r="C748" s="411">
        <v>2355</v>
      </c>
      <c r="D748" s="412">
        <v>45448</v>
      </c>
      <c r="E748" s="418" t="s">
        <v>11458</v>
      </c>
    </row>
    <row r="749" spans="2:5">
      <c r="B749" s="418" t="s">
        <v>11326</v>
      </c>
      <c r="C749" s="411">
        <v>2354</v>
      </c>
      <c r="D749" s="412">
        <v>45448</v>
      </c>
      <c r="E749" s="418" t="s">
        <v>11352</v>
      </c>
    </row>
    <row r="750" spans="2:5">
      <c r="B750" s="418" t="s">
        <v>11326</v>
      </c>
      <c r="C750" s="411">
        <v>2352</v>
      </c>
      <c r="D750" s="412">
        <v>45448</v>
      </c>
      <c r="E750" s="418" t="s">
        <v>11353</v>
      </c>
    </row>
    <row r="751" spans="2:5">
      <c r="B751" s="418" t="s">
        <v>11326</v>
      </c>
      <c r="C751" s="411">
        <v>2348</v>
      </c>
      <c r="D751" s="412">
        <v>45448</v>
      </c>
      <c r="E751" s="418" t="s">
        <v>11354</v>
      </c>
    </row>
    <row r="752" spans="2:5">
      <c r="B752" s="49" t="s">
        <v>11326</v>
      </c>
      <c r="C752" s="413">
        <v>2347</v>
      </c>
      <c r="D752" s="414">
        <v>45448</v>
      </c>
      <c r="E752" s="49" t="s">
        <v>11459</v>
      </c>
    </row>
    <row r="753" spans="2:5">
      <c r="B753" s="418" t="s">
        <v>11326</v>
      </c>
      <c r="C753" s="411">
        <v>2345</v>
      </c>
      <c r="D753" s="412">
        <v>45448</v>
      </c>
      <c r="E753" s="418" t="s">
        <v>11460</v>
      </c>
    </row>
    <row r="754" spans="2:5">
      <c r="B754" s="418" t="s">
        <v>11326</v>
      </c>
      <c r="C754" s="411">
        <v>2344</v>
      </c>
      <c r="D754" s="412">
        <v>45448</v>
      </c>
      <c r="E754" s="418" t="s">
        <v>11355</v>
      </c>
    </row>
    <row r="755" spans="2:5">
      <c r="B755" s="418" t="s">
        <v>11326</v>
      </c>
      <c r="C755" s="411">
        <v>2343</v>
      </c>
      <c r="D755" s="412">
        <v>45448</v>
      </c>
      <c r="E755" s="418" t="s">
        <v>11356</v>
      </c>
    </row>
    <row r="756" spans="2:5">
      <c r="B756" s="418" t="s">
        <v>11326</v>
      </c>
      <c r="C756" s="411">
        <v>2336</v>
      </c>
      <c r="D756" s="412">
        <v>45448</v>
      </c>
      <c r="E756" s="418" t="s">
        <v>11357</v>
      </c>
    </row>
    <row r="757" spans="2:5">
      <c r="B757" s="418" t="s">
        <v>11326</v>
      </c>
      <c r="C757" s="411">
        <v>2333</v>
      </c>
      <c r="D757" s="412">
        <v>45448</v>
      </c>
      <c r="E757" s="418" t="s">
        <v>11461</v>
      </c>
    </row>
    <row r="758" spans="2:5">
      <c r="B758" s="418" t="s">
        <v>11326</v>
      </c>
      <c r="C758" s="411">
        <v>2332</v>
      </c>
      <c r="D758" s="412">
        <v>45448</v>
      </c>
      <c r="E758" s="418" t="s">
        <v>11358</v>
      </c>
    </row>
    <row r="759" spans="2:5">
      <c r="B759" s="418" t="s">
        <v>11326</v>
      </c>
      <c r="C759" s="411">
        <v>2329</v>
      </c>
      <c r="D759" s="412">
        <v>45448</v>
      </c>
      <c r="E759" s="418" t="s">
        <v>11462</v>
      </c>
    </row>
    <row r="760" spans="2:5">
      <c r="B760" s="418" t="s">
        <v>11326</v>
      </c>
      <c r="C760" s="411">
        <v>2327</v>
      </c>
      <c r="D760" s="412">
        <v>45448</v>
      </c>
      <c r="E760" s="418" t="s">
        <v>11463</v>
      </c>
    </row>
    <row r="761" spans="2:5">
      <c r="B761" s="418" t="s">
        <v>11326</v>
      </c>
      <c r="C761" s="411">
        <v>2322</v>
      </c>
      <c r="D761" s="412">
        <v>45448</v>
      </c>
      <c r="E761" s="418" t="s">
        <v>11359</v>
      </c>
    </row>
    <row r="762" spans="2:5">
      <c r="B762" s="418" t="s">
        <v>11326</v>
      </c>
      <c r="C762" s="411">
        <v>2318</v>
      </c>
      <c r="D762" s="412">
        <v>45448</v>
      </c>
      <c r="E762" s="418" t="s">
        <v>11360</v>
      </c>
    </row>
    <row r="763" spans="2:5">
      <c r="B763" s="418" t="s">
        <v>11326</v>
      </c>
      <c r="C763" s="411">
        <v>2317</v>
      </c>
      <c r="D763" s="412">
        <v>45448</v>
      </c>
      <c r="E763" s="418" t="s">
        <v>11361</v>
      </c>
    </row>
    <row r="764" spans="2:5">
      <c r="B764" s="418" t="s">
        <v>11326</v>
      </c>
      <c r="C764" s="411">
        <v>2315</v>
      </c>
      <c r="D764" s="412">
        <v>45448</v>
      </c>
      <c r="E764" s="418" t="s">
        <v>11464</v>
      </c>
    </row>
    <row r="765" spans="2:5">
      <c r="B765" s="418" t="s">
        <v>11326</v>
      </c>
      <c r="C765" s="411">
        <v>2313</v>
      </c>
      <c r="D765" s="412">
        <v>45448</v>
      </c>
      <c r="E765" s="418" t="s">
        <v>11465</v>
      </c>
    </row>
    <row r="766" spans="2:5">
      <c r="B766" s="418" t="s">
        <v>11326</v>
      </c>
      <c r="C766" s="411">
        <v>2310</v>
      </c>
      <c r="D766" s="412">
        <v>45448</v>
      </c>
      <c r="E766" s="418" t="s">
        <v>11362</v>
      </c>
    </row>
    <row r="767" spans="2:5">
      <c r="B767" s="418" t="s">
        <v>11326</v>
      </c>
      <c r="C767" s="411">
        <v>2309</v>
      </c>
      <c r="D767" s="412">
        <v>45448</v>
      </c>
      <c r="E767" s="418" t="s">
        <v>11363</v>
      </c>
    </row>
    <row r="768" spans="2:5">
      <c r="B768" s="418" t="s">
        <v>11326</v>
      </c>
      <c r="C768" s="411">
        <v>2300</v>
      </c>
      <c r="D768" s="412">
        <v>45448</v>
      </c>
      <c r="E768" s="418" t="s">
        <v>11466</v>
      </c>
    </row>
    <row r="769" spans="2:5">
      <c r="B769" s="418" t="s">
        <v>11326</v>
      </c>
      <c r="C769" s="411">
        <v>2298</v>
      </c>
      <c r="D769" s="412">
        <v>45448</v>
      </c>
      <c r="E769" s="423" t="s">
        <v>11467</v>
      </c>
    </row>
    <row r="770" spans="2:5">
      <c r="B770" s="418" t="s">
        <v>11326</v>
      </c>
      <c r="C770" s="411">
        <v>2296</v>
      </c>
      <c r="D770" s="412">
        <v>45448</v>
      </c>
      <c r="E770" s="418" t="s">
        <v>11364</v>
      </c>
    </row>
    <row r="771" spans="2:5">
      <c r="B771" s="418" t="s">
        <v>11326</v>
      </c>
      <c r="C771" s="411">
        <v>2295</v>
      </c>
      <c r="D771" s="412">
        <v>45448</v>
      </c>
      <c r="E771" s="418" t="s">
        <v>11365</v>
      </c>
    </row>
    <row r="772" spans="2:5">
      <c r="B772" s="418" t="s">
        <v>11326</v>
      </c>
      <c r="C772" s="411">
        <v>2294</v>
      </c>
      <c r="D772" s="412">
        <v>45448</v>
      </c>
      <c r="E772" s="418" t="s">
        <v>11366</v>
      </c>
    </row>
    <row r="773" spans="2:5">
      <c r="B773" s="418" t="s">
        <v>11326</v>
      </c>
      <c r="C773" s="411">
        <v>2293</v>
      </c>
      <c r="D773" s="412">
        <v>45448</v>
      </c>
      <c r="E773" s="418" t="s">
        <v>11468</v>
      </c>
    </row>
    <row r="774" spans="2:5">
      <c r="B774" s="418" t="s">
        <v>11326</v>
      </c>
      <c r="C774" s="411">
        <v>2292</v>
      </c>
      <c r="D774" s="412">
        <v>45448</v>
      </c>
      <c r="E774" s="418" t="s">
        <v>11367</v>
      </c>
    </row>
    <row r="775" spans="2:5">
      <c r="B775" s="418" t="s">
        <v>11326</v>
      </c>
      <c r="C775" s="411">
        <v>2290</v>
      </c>
      <c r="D775" s="412">
        <v>45448</v>
      </c>
      <c r="E775" s="418" t="s">
        <v>11368</v>
      </c>
    </row>
    <row r="776" spans="2:5">
      <c r="B776" s="418" t="s">
        <v>11326</v>
      </c>
      <c r="C776" s="411">
        <v>2285</v>
      </c>
      <c r="D776" s="412">
        <v>45448</v>
      </c>
      <c r="E776" s="418" t="s">
        <v>11469</v>
      </c>
    </row>
    <row r="777" spans="2:5">
      <c r="B777" s="418" t="s">
        <v>11326</v>
      </c>
      <c r="C777" s="411">
        <v>2282</v>
      </c>
      <c r="D777" s="412">
        <v>45448</v>
      </c>
      <c r="E777" s="418" t="s">
        <v>11369</v>
      </c>
    </row>
    <row r="778" spans="2:5">
      <c r="B778" s="418" t="s">
        <v>11326</v>
      </c>
      <c r="C778" s="411">
        <v>2273</v>
      </c>
      <c r="D778" s="412">
        <v>45448</v>
      </c>
      <c r="E778" s="418" t="s">
        <v>11470</v>
      </c>
    </row>
    <row r="779" spans="2:5">
      <c r="B779" s="418" t="s">
        <v>11326</v>
      </c>
      <c r="C779" s="411">
        <v>2269</v>
      </c>
      <c r="D779" s="412">
        <v>45448</v>
      </c>
      <c r="E779" s="418" t="s">
        <v>11471</v>
      </c>
    </row>
    <row r="780" spans="2:5">
      <c r="B780" s="418" t="s">
        <v>11326</v>
      </c>
      <c r="C780" s="411">
        <v>2268</v>
      </c>
      <c r="D780" s="412">
        <v>45448</v>
      </c>
      <c r="E780" s="418" t="s">
        <v>11370</v>
      </c>
    </row>
    <row r="781" spans="2:5">
      <c r="B781" s="418" t="s">
        <v>11326</v>
      </c>
      <c r="C781" s="411">
        <v>2258</v>
      </c>
      <c r="D781" s="412">
        <v>45448</v>
      </c>
      <c r="E781" s="418" t="s">
        <v>11371</v>
      </c>
    </row>
    <row r="782" spans="2:5">
      <c r="B782" s="418" t="s">
        <v>11326</v>
      </c>
      <c r="C782" s="411">
        <v>2255</v>
      </c>
      <c r="D782" s="412">
        <v>45448</v>
      </c>
      <c r="E782" s="419" t="s">
        <v>11472</v>
      </c>
    </row>
    <row r="783" spans="2:5">
      <c r="B783" s="418" t="s">
        <v>11326</v>
      </c>
      <c r="C783" s="411">
        <v>2245</v>
      </c>
      <c r="D783" s="412">
        <v>45448</v>
      </c>
      <c r="E783" s="419" t="s">
        <v>11473</v>
      </c>
    </row>
    <row r="784" spans="2:5">
      <c r="B784" s="418" t="s">
        <v>11326</v>
      </c>
      <c r="C784" s="411">
        <v>2234</v>
      </c>
      <c r="D784" s="412">
        <v>45448</v>
      </c>
      <c r="E784" s="418" t="s">
        <v>11373</v>
      </c>
    </row>
    <row r="785" spans="2:5">
      <c r="B785" s="418" t="s">
        <v>11326</v>
      </c>
      <c r="C785" s="411">
        <v>2225</v>
      </c>
      <c r="D785" s="412">
        <v>45448</v>
      </c>
      <c r="E785" s="418" t="s">
        <v>11474</v>
      </c>
    </row>
    <row r="786" spans="2:5">
      <c r="B786" s="418" t="s">
        <v>11326</v>
      </c>
      <c r="C786" s="411">
        <v>2223</v>
      </c>
      <c r="D786" s="412">
        <v>45448</v>
      </c>
      <c r="E786" s="418" t="s">
        <v>11475</v>
      </c>
    </row>
    <row r="787" spans="2:5">
      <c r="B787" s="418" t="s">
        <v>11326</v>
      </c>
      <c r="C787" s="411">
        <v>2214</v>
      </c>
      <c r="D787" s="412">
        <v>45448</v>
      </c>
      <c r="E787" s="418" t="s">
        <v>11372</v>
      </c>
    </row>
    <row r="788" spans="2:5">
      <c r="B788" s="418" t="s">
        <v>11326</v>
      </c>
      <c r="C788" s="411">
        <v>2213</v>
      </c>
      <c r="D788" s="412">
        <v>45448</v>
      </c>
      <c r="E788" s="418" t="s">
        <v>11376</v>
      </c>
    </row>
    <row r="789" spans="2:5">
      <c r="B789" s="418" t="s">
        <v>11326</v>
      </c>
      <c r="C789" s="411">
        <v>2204</v>
      </c>
      <c r="D789" s="412">
        <v>45448</v>
      </c>
      <c r="E789" s="418" t="s">
        <v>11476</v>
      </c>
    </row>
    <row r="790" spans="2:5">
      <c r="B790" s="418" t="s">
        <v>11326</v>
      </c>
      <c r="C790" s="411">
        <v>2191</v>
      </c>
      <c r="D790" s="412">
        <v>45448</v>
      </c>
      <c r="E790" s="418" t="s">
        <v>11477</v>
      </c>
    </row>
    <row r="791" spans="2:5">
      <c r="B791" s="418" t="s">
        <v>11326</v>
      </c>
      <c r="C791" s="411">
        <v>2189</v>
      </c>
      <c r="D791" s="412">
        <v>45448</v>
      </c>
      <c r="E791" s="418" t="s">
        <v>11375</v>
      </c>
    </row>
    <row r="792" spans="2:5">
      <c r="B792" s="418" t="s">
        <v>11326</v>
      </c>
      <c r="C792" s="411">
        <v>2187</v>
      </c>
      <c r="D792" s="412">
        <v>45448</v>
      </c>
      <c r="E792" s="418" t="s">
        <v>11374</v>
      </c>
    </row>
    <row r="793" spans="2:5">
      <c r="B793" s="418" t="s">
        <v>11326</v>
      </c>
      <c r="C793" s="411">
        <v>2180</v>
      </c>
      <c r="D793" s="412">
        <v>45448</v>
      </c>
      <c r="E793" s="418" t="s">
        <v>11377</v>
      </c>
    </row>
    <row r="794" spans="2:5">
      <c r="B794" s="418" t="s">
        <v>11326</v>
      </c>
      <c r="C794" s="411">
        <v>2177</v>
      </c>
      <c r="D794" s="412">
        <v>45448</v>
      </c>
      <c r="E794" s="418" t="s">
        <v>11378</v>
      </c>
    </row>
    <row r="795" spans="2:5">
      <c r="B795" s="418" t="s">
        <v>11326</v>
      </c>
      <c r="C795" s="411">
        <v>2176</v>
      </c>
      <c r="D795" s="412">
        <v>45448</v>
      </c>
      <c r="E795" s="418" t="s">
        <v>11379</v>
      </c>
    </row>
    <row r="796" spans="2:5">
      <c r="B796" s="418" t="s">
        <v>11326</v>
      </c>
      <c r="C796" s="411">
        <v>2175</v>
      </c>
      <c r="D796" s="412">
        <v>45448</v>
      </c>
      <c r="E796" s="418" t="s">
        <v>11380</v>
      </c>
    </row>
    <row r="797" spans="2:5">
      <c r="B797" s="418" t="s">
        <v>11326</v>
      </c>
      <c r="C797" s="411">
        <v>2173</v>
      </c>
      <c r="D797" s="412">
        <v>45448</v>
      </c>
      <c r="E797" s="418" t="s">
        <v>11478</v>
      </c>
    </row>
    <row r="798" spans="2:5">
      <c r="B798" s="418" t="s">
        <v>11326</v>
      </c>
      <c r="C798" s="411">
        <v>2165</v>
      </c>
      <c r="D798" s="412">
        <v>45448</v>
      </c>
      <c r="E798" s="418" t="s">
        <v>11381</v>
      </c>
    </row>
    <row r="799" spans="2:5">
      <c r="B799" s="418" t="s">
        <v>11326</v>
      </c>
      <c r="C799" s="411">
        <v>2158</v>
      </c>
      <c r="D799" s="412">
        <v>45448</v>
      </c>
      <c r="E799" s="418" t="s">
        <v>11479</v>
      </c>
    </row>
    <row r="800" spans="2:5">
      <c r="B800" s="418" t="s">
        <v>11326</v>
      </c>
      <c r="C800" s="411">
        <v>2157</v>
      </c>
      <c r="D800" s="412">
        <v>45448</v>
      </c>
      <c r="E800" s="418" t="s">
        <v>11480</v>
      </c>
    </row>
    <row r="801" spans="2:5">
      <c r="B801" s="418" t="s">
        <v>11326</v>
      </c>
      <c r="C801" s="411">
        <v>2156</v>
      </c>
      <c r="D801" s="412">
        <v>45448</v>
      </c>
      <c r="E801" s="418" t="s">
        <v>11481</v>
      </c>
    </row>
    <row r="802" spans="2:5">
      <c r="B802" s="418" t="s">
        <v>11326</v>
      </c>
      <c r="C802" s="411">
        <v>2154</v>
      </c>
      <c r="D802" s="412">
        <v>45448</v>
      </c>
      <c r="E802" s="418" t="s">
        <v>11482</v>
      </c>
    </row>
    <row r="803" spans="2:5">
      <c r="B803" s="418" t="s">
        <v>11326</v>
      </c>
      <c r="C803" s="411">
        <v>2146</v>
      </c>
      <c r="D803" s="412">
        <v>45448</v>
      </c>
      <c r="E803" s="418" t="s">
        <v>11382</v>
      </c>
    </row>
    <row r="804" spans="2:5">
      <c r="B804" s="418" t="s">
        <v>11326</v>
      </c>
      <c r="C804" s="411">
        <v>2140</v>
      </c>
      <c r="D804" s="412">
        <v>45448</v>
      </c>
      <c r="E804" s="418" t="s">
        <v>11483</v>
      </c>
    </row>
    <row r="805" spans="2:5">
      <c r="B805" s="49" t="s">
        <v>11326</v>
      </c>
      <c r="C805" s="413">
        <v>2133</v>
      </c>
      <c r="D805" s="414">
        <v>45448</v>
      </c>
      <c r="E805" s="49" t="s">
        <v>11484</v>
      </c>
    </row>
    <row r="806" spans="2:5">
      <c r="B806" s="418" t="s">
        <v>11326</v>
      </c>
      <c r="C806" s="411">
        <v>2131</v>
      </c>
      <c r="D806" s="412">
        <v>45448</v>
      </c>
      <c r="E806" s="418" t="s">
        <v>11383</v>
      </c>
    </row>
    <row r="807" spans="2:5">
      <c r="B807" s="418" t="s">
        <v>11326</v>
      </c>
      <c r="C807" s="411">
        <v>2128</v>
      </c>
      <c r="D807" s="412">
        <v>45448</v>
      </c>
      <c r="E807" s="418" t="s">
        <v>11384</v>
      </c>
    </row>
    <row r="808" spans="2:5">
      <c r="B808" s="418" t="s">
        <v>11326</v>
      </c>
      <c r="C808" s="411">
        <v>2126</v>
      </c>
      <c r="D808" s="412">
        <v>45448</v>
      </c>
      <c r="E808" s="418" t="s">
        <v>11485</v>
      </c>
    </row>
    <row r="809" spans="2:5">
      <c r="B809" s="418" t="s">
        <v>11326</v>
      </c>
      <c r="C809" s="411">
        <v>2105</v>
      </c>
      <c r="D809" s="412">
        <v>45448</v>
      </c>
      <c r="E809" s="418" t="s">
        <v>11385</v>
      </c>
    </row>
    <row r="810" spans="2:5">
      <c r="B810" s="418" t="s">
        <v>11326</v>
      </c>
      <c r="C810" s="411">
        <v>2092</v>
      </c>
      <c r="D810" s="412">
        <v>45448</v>
      </c>
      <c r="E810" s="418" t="s">
        <v>11486</v>
      </c>
    </row>
    <row r="811" spans="2:5">
      <c r="B811" s="418" t="s">
        <v>11326</v>
      </c>
      <c r="C811" s="411">
        <v>2081</v>
      </c>
      <c r="D811" s="412">
        <v>45448</v>
      </c>
      <c r="E811" s="418" t="s">
        <v>11487</v>
      </c>
    </row>
    <row r="812" spans="2:5">
      <c r="B812" s="418" t="s">
        <v>11326</v>
      </c>
      <c r="C812" s="411">
        <v>2080</v>
      </c>
      <c r="D812" s="412">
        <v>45448</v>
      </c>
      <c r="E812" s="418" t="s">
        <v>11488</v>
      </c>
    </row>
    <row r="813" spans="2:5">
      <c r="B813" s="418" t="s">
        <v>11326</v>
      </c>
      <c r="C813" s="411">
        <v>2077</v>
      </c>
      <c r="D813" s="412">
        <v>45453</v>
      </c>
      <c r="E813" s="424" t="s">
        <v>12489</v>
      </c>
    </row>
    <row r="814" spans="2:5">
      <c r="B814" s="418" t="s">
        <v>11326</v>
      </c>
      <c r="C814" s="411">
        <v>2075</v>
      </c>
      <c r="D814" s="412">
        <v>45448</v>
      </c>
      <c r="E814" s="418" t="s">
        <v>11386</v>
      </c>
    </row>
    <row r="815" spans="2:5">
      <c r="B815" s="418" t="s">
        <v>11326</v>
      </c>
      <c r="C815" s="411">
        <v>2066</v>
      </c>
      <c r="D815" s="412">
        <v>45448</v>
      </c>
      <c r="E815" s="418" t="s">
        <v>11387</v>
      </c>
    </row>
    <row r="816" spans="2:5">
      <c r="B816" s="418" t="s">
        <v>11326</v>
      </c>
      <c r="C816" s="411">
        <v>2064</v>
      </c>
      <c r="D816" s="412">
        <v>45448</v>
      </c>
      <c r="E816" s="418" t="s">
        <v>11388</v>
      </c>
    </row>
    <row r="817" spans="2:5">
      <c r="B817" s="418" t="s">
        <v>11326</v>
      </c>
      <c r="C817" s="411">
        <v>2061</v>
      </c>
      <c r="D817" s="412">
        <v>45448</v>
      </c>
      <c r="E817" s="418" t="s">
        <v>11389</v>
      </c>
    </row>
    <row r="818" spans="2:5">
      <c r="B818" s="418" t="s">
        <v>11326</v>
      </c>
      <c r="C818" s="411">
        <v>2059</v>
      </c>
      <c r="D818" s="412">
        <v>45448</v>
      </c>
      <c r="E818" s="418" t="s">
        <v>11390</v>
      </c>
    </row>
    <row r="819" spans="2:5">
      <c r="B819" s="418" t="s">
        <v>11326</v>
      </c>
      <c r="C819" s="411">
        <v>2057</v>
      </c>
      <c r="D819" s="412">
        <v>45448</v>
      </c>
      <c r="E819" s="418" t="s">
        <v>11489</v>
      </c>
    </row>
    <row r="820" spans="2:5">
      <c r="B820" s="418" t="s">
        <v>11326</v>
      </c>
      <c r="C820" s="411">
        <v>2056</v>
      </c>
      <c r="D820" s="412">
        <v>45448</v>
      </c>
      <c r="E820" s="418" t="s">
        <v>11391</v>
      </c>
    </row>
    <row r="821" spans="2:5">
      <c r="B821" s="418" t="s">
        <v>11326</v>
      </c>
      <c r="C821" s="411">
        <v>2052</v>
      </c>
      <c r="D821" s="412">
        <v>45448</v>
      </c>
      <c r="E821" s="418" t="s">
        <v>11392</v>
      </c>
    </row>
    <row r="822" spans="2:5">
      <c r="B822" s="418" t="s">
        <v>11326</v>
      </c>
      <c r="C822" s="411">
        <v>2049</v>
      </c>
      <c r="D822" s="412">
        <v>45448</v>
      </c>
      <c r="E822" s="418" t="s">
        <v>11490</v>
      </c>
    </row>
    <row r="823" spans="2:5">
      <c r="B823" s="418" t="s">
        <v>11326</v>
      </c>
      <c r="C823" s="411">
        <v>2044</v>
      </c>
      <c r="D823" s="412">
        <v>45448</v>
      </c>
      <c r="E823" s="418" t="s">
        <v>11491</v>
      </c>
    </row>
    <row r="824" spans="2:5">
      <c r="B824" s="418" t="s">
        <v>11326</v>
      </c>
      <c r="C824" s="411">
        <v>2040</v>
      </c>
      <c r="D824" s="412">
        <v>45448</v>
      </c>
      <c r="E824" s="418" t="s">
        <v>11393</v>
      </c>
    </row>
    <row r="825" spans="2:5">
      <c r="B825" s="418" t="s">
        <v>11326</v>
      </c>
      <c r="C825" s="411">
        <v>2035</v>
      </c>
      <c r="D825" s="412">
        <v>45448</v>
      </c>
      <c r="E825" s="418" t="s">
        <v>11394</v>
      </c>
    </row>
    <row r="826" spans="2:5">
      <c r="B826" s="418" t="s">
        <v>11326</v>
      </c>
      <c r="C826" s="411">
        <v>2027</v>
      </c>
      <c r="D826" s="412">
        <v>45448</v>
      </c>
      <c r="E826" s="418" t="s">
        <v>11395</v>
      </c>
    </row>
    <row r="827" spans="2:5">
      <c r="B827" s="418" t="s">
        <v>11326</v>
      </c>
      <c r="C827" s="411">
        <v>2024</v>
      </c>
      <c r="D827" s="412">
        <v>45448</v>
      </c>
      <c r="E827" s="418" t="s">
        <v>11397</v>
      </c>
    </row>
    <row r="828" spans="2:5">
      <c r="B828" s="418" t="s">
        <v>11326</v>
      </c>
      <c r="C828" s="411">
        <v>2021</v>
      </c>
      <c r="D828" s="412">
        <v>45448</v>
      </c>
      <c r="E828" s="418" t="s">
        <v>11492</v>
      </c>
    </row>
    <row r="829" spans="2:5">
      <c r="B829" s="418" t="s">
        <v>11326</v>
      </c>
      <c r="C829" s="411">
        <v>2017</v>
      </c>
      <c r="D829" s="412">
        <v>45448</v>
      </c>
      <c r="E829" s="418" t="s">
        <v>11396</v>
      </c>
    </row>
    <row r="830" spans="2:5">
      <c r="B830" s="418" t="s">
        <v>11326</v>
      </c>
      <c r="C830" s="411">
        <v>2016</v>
      </c>
      <c r="D830" s="412">
        <v>45448</v>
      </c>
      <c r="E830" s="418" t="s">
        <v>11493</v>
      </c>
    </row>
    <row r="831" spans="2:5">
      <c r="B831" s="418" t="s">
        <v>11326</v>
      </c>
      <c r="C831" s="411">
        <v>2015</v>
      </c>
      <c r="D831" s="412">
        <v>45448</v>
      </c>
      <c r="E831" s="418" t="s">
        <v>11400</v>
      </c>
    </row>
    <row r="832" spans="2:5">
      <c r="B832" s="418" t="s">
        <v>11326</v>
      </c>
      <c r="C832" s="411">
        <v>2014</v>
      </c>
      <c r="D832" s="412">
        <v>45448</v>
      </c>
      <c r="E832" s="418" t="s">
        <v>11494</v>
      </c>
    </row>
    <row r="833" spans="2:5">
      <c r="B833" s="418" t="s">
        <v>11326</v>
      </c>
      <c r="C833" s="411">
        <v>2013</v>
      </c>
      <c r="D833" s="412">
        <v>45448</v>
      </c>
      <c r="E833" s="418" t="s">
        <v>11399</v>
      </c>
    </row>
    <row r="834" spans="2:5">
      <c r="B834" s="418" t="s">
        <v>11326</v>
      </c>
      <c r="C834" s="411">
        <v>1996</v>
      </c>
      <c r="D834" s="412">
        <v>45448</v>
      </c>
      <c r="E834" s="418" t="s">
        <v>11398</v>
      </c>
    </row>
    <row r="835" spans="2:5">
      <c r="B835" s="418" t="s">
        <v>11326</v>
      </c>
      <c r="C835" s="411">
        <v>1977</v>
      </c>
      <c r="D835" s="412">
        <v>45448</v>
      </c>
      <c r="E835" s="418" t="s">
        <v>11401</v>
      </c>
    </row>
    <row r="836" spans="2:5">
      <c r="B836" s="418" t="s">
        <v>11326</v>
      </c>
      <c r="C836" s="411">
        <v>1975</v>
      </c>
      <c r="D836" s="412">
        <v>45448</v>
      </c>
      <c r="E836" s="418" t="s">
        <v>11402</v>
      </c>
    </row>
    <row r="837" spans="2:5">
      <c r="B837" s="418" t="s">
        <v>11326</v>
      </c>
      <c r="C837" s="411">
        <v>1969</v>
      </c>
      <c r="D837" s="412">
        <v>45448</v>
      </c>
      <c r="E837" s="418" t="s">
        <v>11403</v>
      </c>
    </row>
    <row r="838" spans="2:5">
      <c r="B838" s="418" t="s">
        <v>11326</v>
      </c>
      <c r="C838" s="411">
        <v>1967</v>
      </c>
      <c r="D838" s="412">
        <v>45448</v>
      </c>
      <c r="E838" s="419" t="s">
        <v>11495</v>
      </c>
    </row>
    <row r="839" spans="2:5">
      <c r="B839" s="418" t="s">
        <v>11326</v>
      </c>
      <c r="C839" s="411">
        <v>1960</v>
      </c>
      <c r="D839" s="412">
        <v>45448</v>
      </c>
      <c r="E839" s="418" t="s">
        <v>11404</v>
      </c>
    </row>
    <row r="840" spans="2:5">
      <c r="B840" s="418" t="s">
        <v>11326</v>
      </c>
      <c r="C840" s="411">
        <v>1959</v>
      </c>
      <c r="D840" s="412">
        <v>45448</v>
      </c>
      <c r="E840" s="418" t="s">
        <v>11496</v>
      </c>
    </row>
    <row r="841" spans="2:5">
      <c r="B841" s="418" t="s">
        <v>11326</v>
      </c>
      <c r="C841" s="411">
        <v>1950</v>
      </c>
      <c r="D841" s="412">
        <v>45448</v>
      </c>
      <c r="E841" s="418" t="s">
        <v>11405</v>
      </c>
    </row>
    <row r="842" spans="2:5">
      <c r="B842" s="418" t="s">
        <v>11326</v>
      </c>
      <c r="C842" s="411">
        <v>1947</v>
      </c>
      <c r="D842" s="412">
        <v>45448</v>
      </c>
      <c r="E842" s="418" t="s">
        <v>11497</v>
      </c>
    </row>
    <row r="843" spans="2:5">
      <c r="B843" s="418" t="s">
        <v>11326</v>
      </c>
      <c r="C843" s="411">
        <v>1940</v>
      </c>
      <c r="D843" s="412">
        <v>45448</v>
      </c>
      <c r="E843" s="418" t="s">
        <v>11498</v>
      </c>
    </row>
    <row r="844" spans="2:5">
      <c r="B844" s="418" t="s">
        <v>11326</v>
      </c>
      <c r="C844" s="411">
        <v>1939</v>
      </c>
      <c r="D844" s="412">
        <v>45448</v>
      </c>
      <c r="E844" s="418" t="s">
        <v>11499</v>
      </c>
    </row>
    <row r="845" spans="2:5">
      <c r="B845" s="418" t="s">
        <v>11326</v>
      </c>
      <c r="C845" s="411">
        <v>1933</v>
      </c>
      <c r="D845" s="412">
        <v>45448</v>
      </c>
      <c r="E845" s="418" t="s">
        <v>11500</v>
      </c>
    </row>
    <row r="846" spans="2:5">
      <c r="B846" s="418" t="s">
        <v>11326</v>
      </c>
      <c r="C846" s="411">
        <v>1913</v>
      </c>
      <c r="D846" s="412">
        <v>45448</v>
      </c>
      <c r="E846" s="418" t="s">
        <v>11406</v>
      </c>
    </row>
    <row r="847" spans="2:5">
      <c r="B847" s="418" t="s">
        <v>11326</v>
      </c>
      <c r="C847" s="411">
        <v>1909</v>
      </c>
      <c r="D847" s="412">
        <v>45448</v>
      </c>
      <c r="E847" s="418" t="s">
        <v>11407</v>
      </c>
    </row>
    <row r="848" spans="2:5">
      <c r="B848" s="418" t="s">
        <v>11326</v>
      </c>
      <c r="C848" s="411">
        <v>1908</v>
      </c>
      <c r="D848" s="412">
        <v>45448</v>
      </c>
      <c r="E848" s="418" t="s">
        <v>11408</v>
      </c>
    </row>
    <row r="849" spans="2:5">
      <c r="B849" s="418" t="s">
        <v>11326</v>
      </c>
      <c r="C849" s="411">
        <v>1901</v>
      </c>
      <c r="D849" s="412">
        <v>45448</v>
      </c>
      <c r="E849" s="418" t="s">
        <v>11409</v>
      </c>
    </row>
    <row r="850" spans="2:5">
      <c r="B850" s="418" t="s">
        <v>11326</v>
      </c>
      <c r="C850" s="411">
        <v>1899</v>
      </c>
      <c r="D850" s="412">
        <v>45448</v>
      </c>
      <c r="E850" s="418" t="s">
        <v>11410</v>
      </c>
    </row>
    <row r="851" spans="2:5">
      <c r="B851" s="418" t="s">
        <v>11326</v>
      </c>
      <c r="C851" s="411">
        <v>1895</v>
      </c>
      <c r="D851" s="412">
        <v>45448</v>
      </c>
      <c r="E851" s="418" t="s">
        <v>11411</v>
      </c>
    </row>
    <row r="852" spans="2:5">
      <c r="B852" s="418" t="s">
        <v>11326</v>
      </c>
      <c r="C852" s="411">
        <v>1876</v>
      </c>
      <c r="D852" s="412">
        <v>45448</v>
      </c>
      <c r="E852" s="418" t="s">
        <v>11501</v>
      </c>
    </row>
    <row r="853" spans="2:5">
      <c r="B853" s="418" t="s">
        <v>11326</v>
      </c>
      <c r="C853" s="411">
        <v>1873</v>
      </c>
      <c r="D853" s="412">
        <v>45448</v>
      </c>
      <c r="E853" s="418" t="s">
        <v>11502</v>
      </c>
    </row>
    <row r="854" spans="2:5">
      <c r="B854" s="418" t="s">
        <v>11326</v>
      </c>
      <c r="C854" s="411">
        <v>1870</v>
      </c>
      <c r="D854" s="412">
        <v>45448</v>
      </c>
      <c r="E854" s="418" t="s">
        <v>11412</v>
      </c>
    </row>
    <row r="855" spans="2:5">
      <c r="B855" s="418" t="s">
        <v>11326</v>
      </c>
      <c r="C855" s="411">
        <v>1857</v>
      </c>
      <c r="D855" s="412">
        <v>45448</v>
      </c>
      <c r="E855" s="418" t="s">
        <v>11413</v>
      </c>
    </row>
    <row r="856" spans="2:5">
      <c r="B856" s="418" t="s">
        <v>11326</v>
      </c>
      <c r="C856" s="411">
        <v>1853</v>
      </c>
      <c r="D856" s="412">
        <v>45448</v>
      </c>
      <c r="E856" s="418" t="s">
        <v>11414</v>
      </c>
    </row>
    <row r="857" spans="2:5">
      <c r="B857" s="418" t="s">
        <v>11326</v>
      </c>
      <c r="C857" s="411">
        <v>1852</v>
      </c>
      <c r="D857" s="412">
        <v>45448</v>
      </c>
      <c r="E857" s="418" t="s">
        <v>11503</v>
      </c>
    </row>
    <row r="858" spans="2:5">
      <c r="B858" s="418" t="s">
        <v>11326</v>
      </c>
      <c r="C858" s="411">
        <v>1838</v>
      </c>
      <c r="D858" s="412">
        <v>45448</v>
      </c>
      <c r="E858" s="418" t="s">
        <v>11415</v>
      </c>
    </row>
    <row r="859" spans="2:5">
      <c r="B859" s="418" t="s">
        <v>11326</v>
      </c>
      <c r="C859" s="411">
        <v>1833</v>
      </c>
      <c r="D859" s="412">
        <v>45448</v>
      </c>
      <c r="E859" s="418" t="s">
        <v>11416</v>
      </c>
    </row>
    <row r="860" spans="2:5">
      <c r="B860" s="49" t="s">
        <v>11326</v>
      </c>
      <c r="C860" s="413">
        <v>1829</v>
      </c>
      <c r="D860" s="414">
        <v>45448</v>
      </c>
      <c r="E860" s="49" t="s">
        <v>11504</v>
      </c>
    </row>
    <row r="861" spans="2:5">
      <c r="B861" s="418" t="s">
        <v>11326</v>
      </c>
      <c r="C861" s="411">
        <v>1825</v>
      </c>
      <c r="D861" s="412">
        <v>45448</v>
      </c>
      <c r="E861" s="418" t="s">
        <v>11417</v>
      </c>
    </row>
    <row r="862" spans="2:5">
      <c r="B862" s="418" t="s">
        <v>11326</v>
      </c>
      <c r="C862" s="411">
        <v>1823</v>
      </c>
      <c r="D862" s="412">
        <v>45448</v>
      </c>
      <c r="E862" s="418" t="s">
        <v>11418</v>
      </c>
    </row>
    <row r="863" spans="2:5">
      <c r="B863" s="418" t="s">
        <v>11326</v>
      </c>
      <c r="C863" s="411">
        <v>1813</v>
      </c>
      <c r="D863" s="412">
        <v>45448</v>
      </c>
      <c r="E863" s="418" t="s">
        <v>11505</v>
      </c>
    </row>
    <row r="864" spans="2:5">
      <c r="B864" s="418" t="s">
        <v>11326</v>
      </c>
      <c r="C864" s="411">
        <v>1808</v>
      </c>
      <c r="D864" s="412">
        <v>45448</v>
      </c>
      <c r="E864" s="418" t="s">
        <v>11419</v>
      </c>
    </row>
    <row r="865" spans="2:5">
      <c r="B865" s="418" t="s">
        <v>11326</v>
      </c>
      <c r="C865" s="411">
        <v>1805</v>
      </c>
      <c r="D865" s="412">
        <v>45448</v>
      </c>
      <c r="E865" s="418" t="s">
        <v>11420</v>
      </c>
    </row>
    <row r="866" spans="2:5">
      <c r="B866" s="418" t="s">
        <v>11326</v>
      </c>
      <c r="C866" s="411">
        <v>1801</v>
      </c>
      <c r="D866" s="412">
        <v>45448</v>
      </c>
      <c r="E866" s="418" t="s">
        <v>11506</v>
      </c>
    </row>
    <row r="867" spans="2:5">
      <c r="B867" s="418" t="s">
        <v>11326</v>
      </c>
      <c r="C867" s="411">
        <v>1799</v>
      </c>
      <c r="D867" s="412">
        <v>45448</v>
      </c>
      <c r="E867" s="418" t="s">
        <v>11421</v>
      </c>
    </row>
    <row r="868" spans="2:5">
      <c r="B868" s="418" t="s">
        <v>11326</v>
      </c>
      <c r="C868" s="411">
        <v>1793</v>
      </c>
      <c r="D868" s="412">
        <v>45448</v>
      </c>
      <c r="E868" s="418" t="s">
        <v>11422</v>
      </c>
    </row>
    <row r="869" spans="2:5">
      <c r="B869" s="418" t="s">
        <v>11326</v>
      </c>
      <c r="C869" s="411">
        <v>1789</v>
      </c>
      <c r="D869" s="412">
        <v>45448</v>
      </c>
      <c r="E869" s="418" t="s">
        <v>11423</v>
      </c>
    </row>
    <row r="870" spans="2:5">
      <c r="B870" s="418" t="s">
        <v>11326</v>
      </c>
      <c r="C870" s="411">
        <v>1782</v>
      </c>
      <c r="D870" s="412">
        <v>45448</v>
      </c>
      <c r="E870" s="418" t="s">
        <v>11507</v>
      </c>
    </row>
    <row r="871" spans="2:5">
      <c r="B871" s="418" t="s">
        <v>11326</v>
      </c>
      <c r="C871" s="411">
        <v>1781</v>
      </c>
      <c r="D871" s="412">
        <v>45448</v>
      </c>
      <c r="E871" s="418" t="s">
        <v>11424</v>
      </c>
    </row>
    <row r="872" spans="2:5">
      <c r="B872" s="418" t="s">
        <v>11326</v>
      </c>
      <c r="C872" s="411">
        <v>1774</v>
      </c>
      <c r="D872" s="412">
        <v>45448</v>
      </c>
      <c r="E872" s="418" t="s">
        <v>11508</v>
      </c>
    </row>
    <row r="873" spans="2:5">
      <c r="B873" s="418" t="s">
        <v>11326</v>
      </c>
      <c r="C873" s="411">
        <v>1766</v>
      </c>
      <c r="D873" s="412">
        <v>45448</v>
      </c>
      <c r="E873" s="418" t="s">
        <v>11425</v>
      </c>
    </row>
    <row r="874" spans="2:5">
      <c r="B874" s="418" t="s">
        <v>11326</v>
      </c>
      <c r="C874" s="411">
        <v>1762</v>
      </c>
      <c r="D874" s="412">
        <v>45448</v>
      </c>
      <c r="E874" s="418" t="s">
        <v>11426</v>
      </c>
    </row>
    <row r="875" spans="2:5">
      <c r="B875" s="418" t="s">
        <v>11326</v>
      </c>
      <c r="C875" s="411">
        <v>1757</v>
      </c>
      <c r="D875" s="412">
        <v>45448</v>
      </c>
      <c r="E875" s="418" t="s">
        <v>11427</v>
      </c>
    </row>
    <row r="876" spans="2:5">
      <c r="B876" s="418" t="s">
        <v>11326</v>
      </c>
      <c r="C876" s="411">
        <v>1755</v>
      </c>
      <c r="D876" s="412">
        <v>45448</v>
      </c>
      <c r="E876" s="419" t="s">
        <v>11428</v>
      </c>
    </row>
    <row r="877" spans="2:5">
      <c r="B877" s="418" t="s">
        <v>11326</v>
      </c>
      <c r="C877" s="411">
        <v>1753</v>
      </c>
      <c r="D877" s="412">
        <v>45448</v>
      </c>
      <c r="E877" s="419" t="s">
        <v>11429</v>
      </c>
    </row>
    <row r="878" spans="2:5">
      <c r="B878" s="418" t="s">
        <v>11326</v>
      </c>
      <c r="C878" s="411">
        <v>1733</v>
      </c>
      <c r="D878" s="412">
        <v>45448</v>
      </c>
      <c r="E878" s="419" t="s">
        <v>11430</v>
      </c>
    </row>
    <row r="879" spans="2:5">
      <c r="B879" s="418" t="s">
        <v>11326</v>
      </c>
      <c r="C879" s="411">
        <v>1727</v>
      </c>
      <c r="D879" s="412">
        <v>45448</v>
      </c>
      <c r="E879" s="419" t="s">
        <v>11431</v>
      </c>
    </row>
    <row r="880" spans="2:5">
      <c r="B880" s="418" t="s">
        <v>11326</v>
      </c>
      <c r="C880" s="411">
        <v>1708</v>
      </c>
      <c r="D880" s="412">
        <v>45448</v>
      </c>
      <c r="E880" s="419" t="s">
        <v>11509</v>
      </c>
    </row>
    <row r="881" spans="2:5">
      <c r="B881" s="418" t="s">
        <v>11326</v>
      </c>
      <c r="C881" s="411">
        <v>1698</v>
      </c>
      <c r="D881" s="412">
        <v>45448</v>
      </c>
      <c r="E881" s="419" t="s">
        <v>11510</v>
      </c>
    </row>
    <row r="882" spans="2:5">
      <c r="B882" s="418" t="s">
        <v>11326</v>
      </c>
      <c r="C882" s="411">
        <v>1663</v>
      </c>
      <c r="D882" s="412">
        <v>45448</v>
      </c>
      <c r="E882" s="419" t="s">
        <v>11511</v>
      </c>
    </row>
    <row r="883" spans="2:5">
      <c r="B883" s="418" t="s">
        <v>11326</v>
      </c>
      <c r="C883" s="411">
        <v>1661</v>
      </c>
      <c r="D883" s="412">
        <v>45448</v>
      </c>
      <c r="E883" s="419" t="s">
        <v>11432</v>
      </c>
    </row>
    <row r="884" spans="2:5">
      <c r="B884" s="418" t="s">
        <v>11326</v>
      </c>
      <c r="C884" s="411">
        <v>1660</v>
      </c>
      <c r="D884" s="412">
        <v>45448</v>
      </c>
      <c r="E884" s="419" t="s">
        <v>11433</v>
      </c>
    </row>
    <row r="885" spans="2:5">
      <c r="B885" s="418" t="s">
        <v>11326</v>
      </c>
      <c r="C885" s="411">
        <v>1655</v>
      </c>
      <c r="D885" s="412">
        <v>45448</v>
      </c>
      <c r="E885" s="419" t="s">
        <v>11512</v>
      </c>
    </row>
    <row r="886" spans="2:5">
      <c r="B886" s="418" t="s">
        <v>11326</v>
      </c>
      <c r="C886" s="411">
        <v>1653</v>
      </c>
      <c r="D886" s="412">
        <v>45448</v>
      </c>
      <c r="E886" s="419" t="s">
        <v>11513</v>
      </c>
    </row>
    <row r="887" spans="2:5">
      <c r="B887" s="418" t="s">
        <v>11326</v>
      </c>
      <c r="C887" s="411">
        <v>1652</v>
      </c>
      <c r="D887" s="412">
        <v>45448</v>
      </c>
      <c r="E887" s="419" t="s">
        <v>11514</v>
      </c>
    </row>
    <row r="888" spans="2:5">
      <c r="B888" s="418" t="s">
        <v>11326</v>
      </c>
      <c r="C888" s="411">
        <v>1651</v>
      </c>
      <c r="D888" s="412">
        <v>45448</v>
      </c>
      <c r="E888" s="419" t="s">
        <v>11515</v>
      </c>
    </row>
    <row r="889" spans="2:5">
      <c r="B889" s="418" t="s">
        <v>11326</v>
      </c>
      <c r="C889" s="411">
        <v>1650</v>
      </c>
      <c r="D889" s="412">
        <v>45448</v>
      </c>
      <c r="E889" s="419" t="s">
        <v>11516</v>
      </c>
    </row>
    <row r="890" spans="2:5">
      <c r="B890" s="418" t="s">
        <v>11326</v>
      </c>
      <c r="C890" s="411">
        <v>1649</v>
      </c>
      <c r="D890" s="412">
        <v>45448</v>
      </c>
      <c r="E890" s="419" t="s">
        <v>11434</v>
      </c>
    </row>
    <row r="891" spans="2:5">
      <c r="B891" s="418" t="s">
        <v>11326</v>
      </c>
      <c r="C891" s="411">
        <v>1647</v>
      </c>
      <c r="D891" s="412">
        <v>45448</v>
      </c>
      <c r="E891" s="419" t="s">
        <v>11435</v>
      </c>
    </row>
    <row r="892" spans="2:5">
      <c r="B892" s="418" t="s">
        <v>11326</v>
      </c>
      <c r="C892" s="411">
        <v>1646</v>
      </c>
      <c r="D892" s="412">
        <v>45448</v>
      </c>
      <c r="E892" s="419" t="s">
        <v>11436</v>
      </c>
    </row>
    <row r="893" spans="2:5">
      <c r="B893" s="418" t="s">
        <v>11326</v>
      </c>
      <c r="C893" s="411">
        <v>1645</v>
      </c>
      <c r="D893" s="412">
        <v>45448</v>
      </c>
      <c r="E893" s="419" t="s">
        <v>11437</v>
      </c>
    </row>
    <row r="894" spans="2:5">
      <c r="B894" s="418" t="s">
        <v>11326</v>
      </c>
      <c r="C894" s="411">
        <v>1638</v>
      </c>
      <c r="D894" s="412">
        <v>45448</v>
      </c>
      <c r="E894" s="419" t="s">
        <v>11438</v>
      </c>
    </row>
    <row r="895" spans="2:5">
      <c r="B895" s="418" t="s">
        <v>11326</v>
      </c>
      <c r="C895" s="411">
        <v>1633</v>
      </c>
      <c r="D895" s="412">
        <v>45448</v>
      </c>
      <c r="E895" s="419" t="s">
        <v>11517</v>
      </c>
    </row>
    <row r="896" spans="2:5">
      <c r="B896" s="418" t="s">
        <v>11326</v>
      </c>
      <c r="C896" s="411">
        <v>1631</v>
      </c>
      <c r="D896" s="412">
        <v>45448</v>
      </c>
      <c r="E896" s="419" t="s">
        <v>11518</v>
      </c>
    </row>
    <row r="897" spans="2:5">
      <c r="B897" s="418" t="s">
        <v>11326</v>
      </c>
      <c r="C897" s="411">
        <v>1630</v>
      </c>
      <c r="D897" s="412">
        <v>45448</v>
      </c>
      <c r="E897" s="419" t="s">
        <v>11519</v>
      </c>
    </row>
    <row r="898" spans="2:5">
      <c r="B898" s="418" t="s">
        <v>11326</v>
      </c>
      <c r="C898" s="411">
        <v>1627</v>
      </c>
      <c r="D898" s="412">
        <v>45448</v>
      </c>
      <c r="E898" s="419" t="s">
        <v>11520</v>
      </c>
    </row>
    <row r="899" spans="2:5">
      <c r="B899" s="418" t="s">
        <v>11326</v>
      </c>
      <c r="C899" s="411">
        <v>1624</v>
      </c>
      <c r="D899" s="412">
        <v>45448</v>
      </c>
      <c r="E899" s="419" t="s">
        <v>11521</v>
      </c>
    </row>
    <row r="900" spans="2:5">
      <c r="B900" s="418" t="s">
        <v>11326</v>
      </c>
      <c r="C900" s="411">
        <v>1622</v>
      </c>
      <c r="D900" s="412">
        <v>45448</v>
      </c>
      <c r="E900" s="419" t="s">
        <v>11522</v>
      </c>
    </row>
    <row r="901" spans="2:5">
      <c r="B901" s="418" t="s">
        <v>11326</v>
      </c>
      <c r="C901" s="411">
        <v>1617</v>
      </c>
      <c r="D901" s="412">
        <v>45448</v>
      </c>
      <c r="E901" s="419" t="s">
        <v>11523</v>
      </c>
    </row>
    <row r="902" spans="2:5">
      <c r="B902" s="418" t="s">
        <v>11326</v>
      </c>
      <c r="C902" s="411">
        <v>1611</v>
      </c>
      <c r="D902" s="412">
        <v>45448</v>
      </c>
      <c r="E902" s="419" t="s">
        <v>11524</v>
      </c>
    </row>
    <row r="903" spans="2:5">
      <c r="B903" s="418" t="s">
        <v>11326</v>
      </c>
      <c r="C903" s="411">
        <v>1609</v>
      </c>
      <c r="D903" s="412">
        <v>45448</v>
      </c>
      <c r="E903" s="419" t="s">
        <v>11525</v>
      </c>
    </row>
    <row r="904" spans="2:5">
      <c r="B904" s="418" t="s">
        <v>11326</v>
      </c>
      <c r="C904" s="411">
        <v>1603</v>
      </c>
      <c r="D904" s="412">
        <v>45448</v>
      </c>
      <c r="E904" s="419" t="s">
        <v>11526</v>
      </c>
    </row>
    <row r="905" spans="2:5">
      <c r="B905" s="418" t="s">
        <v>11326</v>
      </c>
      <c r="C905" s="411">
        <v>1601</v>
      </c>
      <c r="D905" s="412">
        <v>45448</v>
      </c>
      <c r="E905" s="419" t="s">
        <v>11527</v>
      </c>
    </row>
    <row r="906" spans="2:5">
      <c r="B906" s="418" t="s">
        <v>11326</v>
      </c>
      <c r="C906" s="411">
        <v>1599</v>
      </c>
      <c r="D906" s="412">
        <v>45448</v>
      </c>
      <c r="E906" s="419" t="s">
        <v>11528</v>
      </c>
    </row>
    <row r="907" spans="2:5">
      <c r="B907" s="418" t="s">
        <v>11326</v>
      </c>
      <c r="C907" s="411">
        <v>1594</v>
      </c>
      <c r="D907" s="412">
        <v>45447</v>
      </c>
      <c r="E907" s="424" t="s">
        <v>12136</v>
      </c>
    </row>
    <row r="908" spans="2:5">
      <c r="B908" s="418" t="s">
        <v>11326</v>
      </c>
      <c r="C908" s="411">
        <v>1592</v>
      </c>
      <c r="D908" s="412">
        <v>45447</v>
      </c>
      <c r="E908" s="424" t="s">
        <v>12137</v>
      </c>
    </row>
    <row r="909" spans="2:5">
      <c r="B909" s="418" t="s">
        <v>11326</v>
      </c>
      <c r="C909" s="411">
        <v>1589</v>
      </c>
      <c r="D909" s="412">
        <v>45447</v>
      </c>
      <c r="E909" s="424" t="s">
        <v>12138</v>
      </c>
    </row>
    <row r="910" spans="2:5">
      <c r="B910" s="418" t="s">
        <v>11326</v>
      </c>
      <c r="C910" s="411">
        <v>1588</v>
      </c>
      <c r="D910" s="412">
        <v>45447</v>
      </c>
      <c r="E910" s="419" t="s">
        <v>11535</v>
      </c>
    </row>
    <row r="911" spans="2:5">
      <c r="B911" s="418" t="s">
        <v>11326</v>
      </c>
      <c r="C911" s="411">
        <v>1583</v>
      </c>
      <c r="D911" s="412">
        <v>45447</v>
      </c>
      <c r="E911" s="424" t="s">
        <v>12139</v>
      </c>
    </row>
    <row r="912" spans="2:5">
      <c r="B912" s="418" t="s">
        <v>11326</v>
      </c>
      <c r="C912" s="411">
        <v>1581</v>
      </c>
      <c r="D912" s="412">
        <v>45447</v>
      </c>
      <c r="E912" s="419" t="s">
        <v>11536</v>
      </c>
    </row>
    <row r="913" spans="2:5">
      <c r="B913" s="418" t="s">
        <v>11326</v>
      </c>
      <c r="C913" s="411">
        <v>1577</v>
      </c>
      <c r="D913" s="412">
        <v>45447</v>
      </c>
      <c r="E913" s="419" t="s">
        <v>11537</v>
      </c>
    </row>
    <row r="914" spans="2:5">
      <c r="B914" s="418" t="s">
        <v>11326</v>
      </c>
      <c r="C914" s="411">
        <v>1575</v>
      </c>
      <c r="D914" s="412">
        <v>45447</v>
      </c>
      <c r="E914" s="424" t="s">
        <v>12140</v>
      </c>
    </row>
    <row r="915" spans="2:5">
      <c r="B915" s="49" t="s">
        <v>11326</v>
      </c>
      <c r="C915" s="413">
        <v>1572</v>
      </c>
      <c r="D915" s="414">
        <v>45447</v>
      </c>
      <c r="E915" s="428" t="s">
        <v>11538</v>
      </c>
    </row>
    <row r="916" spans="2:5">
      <c r="B916" s="418" t="s">
        <v>11326</v>
      </c>
      <c r="C916" s="411">
        <v>1570</v>
      </c>
      <c r="D916" s="412">
        <v>45447</v>
      </c>
      <c r="E916" s="419" t="s">
        <v>11539</v>
      </c>
    </row>
    <row r="917" spans="2:5">
      <c r="B917" s="418" t="s">
        <v>11326</v>
      </c>
      <c r="C917" s="411">
        <v>1566</v>
      </c>
      <c r="D917" s="412">
        <v>45447</v>
      </c>
      <c r="E917" s="424" t="s">
        <v>12141</v>
      </c>
    </row>
    <row r="918" spans="2:5">
      <c r="B918" s="418" t="s">
        <v>11326</v>
      </c>
      <c r="C918" s="411">
        <v>1562</v>
      </c>
      <c r="D918" s="412">
        <v>45447</v>
      </c>
      <c r="E918" s="419" t="s">
        <v>11540</v>
      </c>
    </row>
    <row r="919" spans="2:5">
      <c r="B919" s="49" t="s">
        <v>11326</v>
      </c>
      <c r="C919" s="413">
        <v>1561</v>
      </c>
      <c r="D919" s="414">
        <v>45447</v>
      </c>
      <c r="E919" s="428" t="s">
        <v>12142</v>
      </c>
    </row>
    <row r="920" spans="2:5">
      <c r="B920" s="423" t="s">
        <v>11326</v>
      </c>
      <c r="C920" s="426">
        <v>1552</v>
      </c>
      <c r="D920" s="427">
        <v>45447</v>
      </c>
      <c r="E920" s="424" t="s">
        <v>12143</v>
      </c>
    </row>
    <row r="921" spans="2:5">
      <c r="B921" s="423" t="s">
        <v>11326</v>
      </c>
      <c r="C921" s="426">
        <v>1544</v>
      </c>
      <c r="D921" s="427">
        <v>45447</v>
      </c>
      <c r="E921" s="424" t="s">
        <v>12144</v>
      </c>
    </row>
    <row r="922" spans="2:5">
      <c r="B922" s="418" t="s">
        <v>11326</v>
      </c>
      <c r="C922" s="411">
        <v>1539</v>
      </c>
      <c r="D922" s="412">
        <v>45447</v>
      </c>
      <c r="E922" s="419" t="s">
        <v>11541</v>
      </c>
    </row>
    <row r="923" spans="2:5">
      <c r="B923" s="418" t="s">
        <v>11326</v>
      </c>
      <c r="C923" s="411">
        <v>1529</v>
      </c>
      <c r="D923" s="412">
        <v>45447</v>
      </c>
      <c r="E923" s="419" t="s">
        <v>11542</v>
      </c>
    </row>
    <row r="924" spans="2:5">
      <c r="B924" s="418" t="s">
        <v>11326</v>
      </c>
      <c r="C924" s="411">
        <v>1528</v>
      </c>
      <c r="D924" s="412">
        <v>45447</v>
      </c>
      <c r="E924" s="419" t="s">
        <v>11543</v>
      </c>
    </row>
    <row r="925" spans="2:5">
      <c r="B925" s="418" t="s">
        <v>11326</v>
      </c>
      <c r="C925" s="411">
        <v>1521</v>
      </c>
      <c r="D925" s="412">
        <v>45447</v>
      </c>
      <c r="E925" s="419" t="s">
        <v>11544</v>
      </c>
    </row>
    <row r="926" spans="2:5">
      <c r="B926" s="418" t="s">
        <v>11326</v>
      </c>
      <c r="C926" s="411">
        <v>1517</v>
      </c>
      <c r="D926" s="412">
        <v>45447</v>
      </c>
      <c r="E926" s="424" t="s">
        <v>12145</v>
      </c>
    </row>
    <row r="927" spans="2:5">
      <c r="B927" s="418" t="s">
        <v>11326</v>
      </c>
      <c r="C927" s="411">
        <v>1506</v>
      </c>
      <c r="D927" s="412">
        <v>45447</v>
      </c>
      <c r="E927" s="424" t="s">
        <v>12146</v>
      </c>
    </row>
    <row r="928" spans="2:5">
      <c r="B928" s="418" t="s">
        <v>11326</v>
      </c>
      <c r="C928" s="411">
        <v>1494</v>
      </c>
      <c r="D928" s="412">
        <v>45447</v>
      </c>
      <c r="E928" s="424" t="s">
        <v>12147</v>
      </c>
    </row>
    <row r="929" spans="2:5">
      <c r="B929" s="418" t="s">
        <v>11326</v>
      </c>
      <c r="C929" s="411">
        <v>1484</v>
      </c>
      <c r="D929" s="412">
        <v>45447</v>
      </c>
      <c r="E929" s="424" t="s">
        <v>12148</v>
      </c>
    </row>
    <row r="930" spans="2:5">
      <c r="B930" s="418" t="s">
        <v>11326</v>
      </c>
      <c r="C930" s="411">
        <v>1481</v>
      </c>
      <c r="D930" s="412">
        <v>45447</v>
      </c>
      <c r="E930" s="419" t="s">
        <v>11545</v>
      </c>
    </row>
    <row r="931" spans="2:5">
      <c r="B931" s="418" t="s">
        <v>11326</v>
      </c>
      <c r="C931" s="411">
        <v>1478</v>
      </c>
      <c r="D931" s="412">
        <v>45447</v>
      </c>
      <c r="E931" s="424" t="s">
        <v>12149</v>
      </c>
    </row>
    <row r="932" spans="2:5">
      <c r="B932" s="418" t="s">
        <v>11326</v>
      </c>
      <c r="C932" s="411">
        <v>1477</v>
      </c>
      <c r="D932" s="412">
        <v>45447</v>
      </c>
      <c r="E932" s="419" t="s">
        <v>11546</v>
      </c>
    </row>
    <row r="933" spans="2:5">
      <c r="B933" s="418" t="s">
        <v>11326</v>
      </c>
      <c r="C933" s="411">
        <v>1471</v>
      </c>
      <c r="D933" s="412">
        <v>45447</v>
      </c>
      <c r="E933" s="419" t="s">
        <v>11547</v>
      </c>
    </row>
    <row r="934" spans="2:5">
      <c r="B934" s="418" t="s">
        <v>11326</v>
      </c>
      <c r="C934" s="411">
        <v>1468</v>
      </c>
      <c r="D934" s="412">
        <v>45447</v>
      </c>
      <c r="E934" s="424" t="s">
        <v>12150</v>
      </c>
    </row>
    <row r="935" spans="2:5">
      <c r="B935" s="418" t="s">
        <v>11326</v>
      </c>
      <c r="C935" s="411">
        <v>1462</v>
      </c>
      <c r="D935" s="412">
        <v>45447</v>
      </c>
      <c r="E935" s="419" t="s">
        <v>11548</v>
      </c>
    </row>
    <row r="936" spans="2:5">
      <c r="B936" s="418" t="s">
        <v>11326</v>
      </c>
      <c r="C936" s="421" t="s">
        <v>11549</v>
      </c>
      <c r="D936" s="412">
        <v>45447</v>
      </c>
      <c r="E936" s="419" t="s">
        <v>11550</v>
      </c>
    </row>
    <row r="937" spans="2:5">
      <c r="B937" s="418" t="s">
        <v>11326</v>
      </c>
      <c r="C937" s="421">
        <v>1457</v>
      </c>
      <c r="D937" s="412">
        <v>45447</v>
      </c>
      <c r="E937" s="419" t="s">
        <v>11551</v>
      </c>
    </row>
    <row r="938" spans="2:5">
      <c r="B938" s="418" t="s">
        <v>11326</v>
      </c>
      <c r="C938" s="421">
        <v>1455</v>
      </c>
      <c r="D938" s="412">
        <v>45447</v>
      </c>
      <c r="E938" s="424" t="s">
        <v>12151</v>
      </c>
    </row>
    <row r="939" spans="2:5">
      <c r="B939" s="418" t="s">
        <v>11326</v>
      </c>
      <c r="C939" s="421">
        <v>1446</v>
      </c>
      <c r="D939" s="412">
        <v>45447</v>
      </c>
      <c r="E939" s="424" t="s">
        <v>12152</v>
      </c>
    </row>
    <row r="940" spans="2:5">
      <c r="B940" s="418" t="s">
        <v>11326</v>
      </c>
      <c r="C940" s="421">
        <v>1439</v>
      </c>
      <c r="D940" s="412">
        <v>45447</v>
      </c>
      <c r="E940" s="419" t="s">
        <v>11552</v>
      </c>
    </row>
    <row r="941" spans="2:5">
      <c r="B941" s="418" t="s">
        <v>11326</v>
      </c>
      <c r="C941" s="421">
        <v>1438</v>
      </c>
      <c r="D941" s="412">
        <v>45447</v>
      </c>
      <c r="E941" s="424" t="s">
        <v>11983</v>
      </c>
    </row>
    <row r="942" spans="2:5">
      <c r="B942" s="418" t="s">
        <v>11326</v>
      </c>
      <c r="C942" s="421">
        <v>1435</v>
      </c>
      <c r="D942" s="412">
        <v>45447</v>
      </c>
      <c r="E942" s="424" t="s">
        <v>11984</v>
      </c>
    </row>
    <row r="943" spans="2:5">
      <c r="B943" s="418" t="s">
        <v>11326</v>
      </c>
      <c r="C943" s="421">
        <v>1424</v>
      </c>
      <c r="D943" s="412">
        <v>45447</v>
      </c>
      <c r="E943" s="424" t="s">
        <v>11985</v>
      </c>
    </row>
    <row r="944" spans="2:5">
      <c r="B944" s="418" t="s">
        <v>11326</v>
      </c>
      <c r="C944" s="421">
        <v>1423</v>
      </c>
      <c r="D944" s="412">
        <v>45447</v>
      </c>
      <c r="E944" s="424" t="s">
        <v>11986</v>
      </c>
    </row>
    <row r="945" spans="2:5">
      <c r="B945" s="418" t="s">
        <v>11326</v>
      </c>
      <c r="C945" s="421">
        <v>1421</v>
      </c>
      <c r="D945" s="412">
        <v>45447</v>
      </c>
      <c r="E945" s="424" t="s">
        <v>12153</v>
      </c>
    </row>
    <row r="946" spans="2:5">
      <c r="B946" s="418" t="s">
        <v>11326</v>
      </c>
      <c r="C946" s="421">
        <v>1417</v>
      </c>
      <c r="D946" s="412">
        <v>45447</v>
      </c>
      <c r="E946" s="424" t="s">
        <v>11987</v>
      </c>
    </row>
    <row r="947" spans="2:5">
      <c r="B947" s="418" t="s">
        <v>11326</v>
      </c>
      <c r="C947" s="421">
        <v>1416</v>
      </c>
      <c r="D947" s="412">
        <v>45447</v>
      </c>
      <c r="E947" s="424" t="s">
        <v>11988</v>
      </c>
    </row>
    <row r="948" spans="2:5">
      <c r="B948" s="418" t="s">
        <v>11326</v>
      </c>
      <c r="C948" s="421">
        <v>1414</v>
      </c>
      <c r="D948" s="412">
        <v>45447</v>
      </c>
      <c r="E948" s="424" t="s">
        <v>11989</v>
      </c>
    </row>
    <row r="949" spans="2:5">
      <c r="B949" s="418" t="s">
        <v>11326</v>
      </c>
      <c r="C949" s="421">
        <v>1411</v>
      </c>
      <c r="D949" s="412">
        <v>45447</v>
      </c>
      <c r="E949" s="424" t="s">
        <v>11990</v>
      </c>
    </row>
    <row r="950" spans="2:5">
      <c r="B950" s="418" t="s">
        <v>11326</v>
      </c>
      <c r="C950" s="421">
        <v>1402</v>
      </c>
      <c r="D950" s="412">
        <v>45447</v>
      </c>
      <c r="E950" s="424" t="s">
        <v>12154</v>
      </c>
    </row>
    <row r="951" spans="2:5">
      <c r="B951" s="418" t="s">
        <v>11326</v>
      </c>
      <c r="C951" s="421">
        <v>1400</v>
      </c>
      <c r="D951" s="412">
        <v>45447</v>
      </c>
      <c r="E951" s="424" t="s">
        <v>12155</v>
      </c>
    </row>
    <row r="952" spans="2:5">
      <c r="B952" s="418" t="s">
        <v>11326</v>
      </c>
      <c r="C952" s="421">
        <v>1389</v>
      </c>
      <c r="D952" s="412">
        <v>45447</v>
      </c>
      <c r="E952" s="424" t="s">
        <v>11991</v>
      </c>
    </row>
    <row r="953" spans="2:5">
      <c r="B953" s="418" t="s">
        <v>11326</v>
      </c>
      <c r="C953" s="421">
        <v>1386</v>
      </c>
      <c r="D953" s="412">
        <v>45447</v>
      </c>
      <c r="E953" s="424" t="s">
        <v>11992</v>
      </c>
    </row>
    <row r="954" spans="2:5">
      <c r="B954" s="418" t="s">
        <v>11326</v>
      </c>
      <c r="C954" s="421">
        <v>1378</v>
      </c>
      <c r="D954" s="412">
        <v>45447</v>
      </c>
      <c r="E954" s="424" t="s">
        <v>11993</v>
      </c>
    </row>
    <row r="955" spans="2:5">
      <c r="B955" s="418" t="s">
        <v>11326</v>
      </c>
      <c r="C955" s="421">
        <v>1365</v>
      </c>
      <c r="D955" s="412">
        <v>45447</v>
      </c>
      <c r="E955" s="424" t="s">
        <v>12156</v>
      </c>
    </row>
    <row r="956" spans="2:5">
      <c r="B956" s="418" t="s">
        <v>11326</v>
      </c>
      <c r="C956" s="421">
        <v>1361</v>
      </c>
      <c r="D956" s="412">
        <v>45447</v>
      </c>
      <c r="E956" s="424" t="s">
        <v>11994</v>
      </c>
    </row>
    <row r="957" spans="2:5">
      <c r="B957" s="418" t="s">
        <v>11326</v>
      </c>
      <c r="C957" s="421">
        <v>1345</v>
      </c>
      <c r="D957" s="412">
        <v>45447</v>
      </c>
      <c r="E957" s="424" t="s">
        <v>11995</v>
      </c>
    </row>
    <row r="958" spans="2:5">
      <c r="B958" s="49" t="s">
        <v>11326</v>
      </c>
      <c r="C958" s="429">
        <v>1321</v>
      </c>
      <c r="D958" s="414">
        <v>45447</v>
      </c>
      <c r="E958" s="428" t="s">
        <v>12157</v>
      </c>
    </row>
    <row r="959" spans="2:5">
      <c r="B959" s="418" t="s">
        <v>11326</v>
      </c>
      <c r="C959" s="421">
        <v>1317</v>
      </c>
      <c r="D959" s="412">
        <v>45447</v>
      </c>
      <c r="E959" s="424" t="s">
        <v>11996</v>
      </c>
    </row>
    <row r="960" spans="2:5">
      <c r="B960" s="418" t="s">
        <v>11326</v>
      </c>
      <c r="C960" s="421">
        <v>1315</v>
      </c>
      <c r="D960" s="412">
        <v>45447</v>
      </c>
      <c r="E960" s="424" t="s">
        <v>12158</v>
      </c>
    </row>
    <row r="961" spans="2:5">
      <c r="B961" s="418" t="s">
        <v>11326</v>
      </c>
      <c r="C961" s="421">
        <v>1304</v>
      </c>
      <c r="D961" s="412">
        <v>45453</v>
      </c>
      <c r="E961" s="424" t="s">
        <v>12548</v>
      </c>
    </row>
    <row r="962" spans="2:5">
      <c r="B962" s="418" t="s">
        <v>11326</v>
      </c>
      <c r="C962" s="421">
        <v>1290</v>
      </c>
      <c r="D962" s="412">
        <v>45447</v>
      </c>
      <c r="E962" s="424" t="s">
        <v>11997</v>
      </c>
    </row>
    <row r="963" spans="2:5">
      <c r="B963" s="418" t="s">
        <v>11326</v>
      </c>
      <c r="C963" s="421">
        <v>1288</v>
      </c>
      <c r="D963" s="412">
        <v>45447</v>
      </c>
      <c r="E963" s="424" t="s">
        <v>12159</v>
      </c>
    </row>
    <row r="964" spans="2:5">
      <c r="B964" s="418" t="s">
        <v>11326</v>
      </c>
      <c r="C964" s="421">
        <v>1285</v>
      </c>
      <c r="D964" s="412">
        <v>45447</v>
      </c>
      <c r="E964" s="424" t="s">
        <v>12160</v>
      </c>
    </row>
    <row r="965" spans="2:5">
      <c r="B965" s="418" t="s">
        <v>11326</v>
      </c>
      <c r="C965" s="421">
        <v>1282</v>
      </c>
      <c r="D965" s="412">
        <v>45447</v>
      </c>
      <c r="E965" s="424" t="s">
        <v>11998</v>
      </c>
    </row>
    <row r="966" spans="2:5">
      <c r="B966" s="418" t="s">
        <v>11326</v>
      </c>
      <c r="C966" s="421">
        <v>1278</v>
      </c>
      <c r="D966" s="412">
        <v>45447</v>
      </c>
      <c r="E966" s="424" t="s">
        <v>12161</v>
      </c>
    </row>
    <row r="967" spans="2:5">
      <c r="B967" s="418" t="s">
        <v>11326</v>
      </c>
      <c r="C967" s="421">
        <v>1275</v>
      </c>
      <c r="D967" s="412">
        <v>45447</v>
      </c>
      <c r="E967" s="424" t="s">
        <v>12162</v>
      </c>
    </row>
    <row r="968" spans="2:5">
      <c r="B968" s="418" t="s">
        <v>11326</v>
      </c>
      <c r="C968" s="421">
        <v>1274</v>
      </c>
      <c r="D968" s="412">
        <v>45447</v>
      </c>
      <c r="E968" s="424" t="s">
        <v>11999</v>
      </c>
    </row>
    <row r="969" spans="2:5">
      <c r="B969" s="418" t="s">
        <v>11326</v>
      </c>
      <c r="C969" s="421">
        <v>1257</v>
      </c>
      <c r="D969" s="412">
        <v>45447</v>
      </c>
      <c r="E969" s="424" t="s">
        <v>12000</v>
      </c>
    </row>
    <row r="970" spans="2:5">
      <c r="B970" s="418" t="s">
        <v>11326</v>
      </c>
      <c r="C970" s="421">
        <v>1255</v>
      </c>
      <c r="D970" s="412">
        <v>45447</v>
      </c>
      <c r="E970" s="424" t="s">
        <v>12001</v>
      </c>
    </row>
    <row r="971" spans="2:5">
      <c r="B971" s="418" t="s">
        <v>11326</v>
      </c>
      <c r="C971" s="421">
        <v>1250</v>
      </c>
      <c r="D971" s="412">
        <v>45447</v>
      </c>
      <c r="E971" s="424" t="s">
        <v>12163</v>
      </c>
    </row>
    <row r="972" spans="2:5">
      <c r="B972" s="418" t="s">
        <v>11326</v>
      </c>
      <c r="C972" s="421">
        <v>1249</v>
      </c>
      <c r="D972" s="412">
        <v>45447</v>
      </c>
      <c r="E972" s="424" t="s">
        <v>12002</v>
      </c>
    </row>
    <row r="973" spans="2:5">
      <c r="B973" s="418" t="s">
        <v>11326</v>
      </c>
      <c r="C973" s="421">
        <v>1234</v>
      </c>
      <c r="D973" s="412">
        <v>45447</v>
      </c>
      <c r="E973" s="424" t="s">
        <v>12003</v>
      </c>
    </row>
    <row r="974" spans="2:5">
      <c r="B974" s="418" t="s">
        <v>11326</v>
      </c>
      <c r="C974" s="421">
        <v>1229</v>
      </c>
      <c r="D974" s="412">
        <v>45447</v>
      </c>
      <c r="E974" s="424" t="s">
        <v>12004</v>
      </c>
    </row>
    <row r="975" spans="2:5">
      <c r="B975" s="418" t="s">
        <v>11326</v>
      </c>
      <c r="C975" s="421">
        <v>1205</v>
      </c>
      <c r="D975" s="412">
        <v>45447</v>
      </c>
      <c r="E975" s="424" t="s">
        <v>12164</v>
      </c>
    </row>
    <row r="976" spans="2:5">
      <c r="B976" s="418" t="s">
        <v>11326</v>
      </c>
      <c r="C976" s="421">
        <v>1203</v>
      </c>
      <c r="D976" s="412">
        <v>45447</v>
      </c>
      <c r="E976" s="424" t="s">
        <v>12165</v>
      </c>
    </row>
    <row r="977" spans="2:5">
      <c r="B977" s="418" t="s">
        <v>11326</v>
      </c>
      <c r="C977" s="421">
        <v>1192</v>
      </c>
      <c r="D977" s="412">
        <v>45447</v>
      </c>
      <c r="E977" s="424" t="s">
        <v>12005</v>
      </c>
    </row>
    <row r="978" spans="2:5">
      <c r="B978" s="418" t="s">
        <v>11326</v>
      </c>
      <c r="C978" s="421">
        <v>1191</v>
      </c>
      <c r="D978" s="412">
        <v>45447</v>
      </c>
      <c r="E978" s="424" t="s">
        <v>12166</v>
      </c>
    </row>
    <row r="979" spans="2:5">
      <c r="B979" s="418" t="s">
        <v>11326</v>
      </c>
      <c r="C979" s="421">
        <v>1189</v>
      </c>
      <c r="D979" s="412">
        <v>45447</v>
      </c>
      <c r="E979" s="424" t="s">
        <v>12006</v>
      </c>
    </row>
    <row r="980" spans="2:5">
      <c r="B980" s="418" t="s">
        <v>11326</v>
      </c>
      <c r="C980" s="421">
        <v>1187</v>
      </c>
      <c r="D980" s="412">
        <v>45447</v>
      </c>
      <c r="E980" s="424" t="s">
        <v>12167</v>
      </c>
    </row>
    <row r="981" spans="2:5">
      <c r="B981" s="418" t="s">
        <v>11326</v>
      </c>
      <c r="C981" s="421">
        <v>1183</v>
      </c>
      <c r="D981" s="412">
        <v>45447</v>
      </c>
      <c r="E981" s="424" t="s">
        <v>12007</v>
      </c>
    </row>
    <row r="982" spans="2:5">
      <c r="B982" s="418" t="s">
        <v>11326</v>
      </c>
      <c r="C982" s="421">
        <v>1178</v>
      </c>
      <c r="D982" s="412">
        <v>45447</v>
      </c>
      <c r="E982" s="424" t="s">
        <v>12008</v>
      </c>
    </row>
    <row r="983" spans="2:5">
      <c r="B983" s="418" t="s">
        <v>11326</v>
      </c>
      <c r="C983" s="421">
        <v>1175</v>
      </c>
      <c r="D983" s="412">
        <v>45447</v>
      </c>
      <c r="E983" s="424" t="s">
        <v>12009</v>
      </c>
    </row>
    <row r="984" spans="2:5">
      <c r="B984" s="418" t="s">
        <v>11326</v>
      </c>
      <c r="C984" s="421">
        <v>1163</v>
      </c>
      <c r="D984" s="412">
        <v>45447</v>
      </c>
      <c r="E984" s="424" t="s">
        <v>12010</v>
      </c>
    </row>
    <row r="985" spans="2:5">
      <c r="B985" s="418" t="s">
        <v>11326</v>
      </c>
      <c r="C985" s="421">
        <v>1162</v>
      </c>
      <c r="D985" s="412">
        <v>45447</v>
      </c>
      <c r="E985" s="424" t="s">
        <v>12011</v>
      </c>
    </row>
    <row r="986" spans="2:5">
      <c r="B986" s="418" t="s">
        <v>11326</v>
      </c>
      <c r="C986" s="411">
        <v>1157</v>
      </c>
      <c r="D986" s="412">
        <v>45448</v>
      </c>
      <c r="E986" s="419" t="s">
        <v>11529</v>
      </c>
    </row>
    <row r="987" spans="2:5">
      <c r="B987" s="418" t="s">
        <v>11326</v>
      </c>
      <c r="C987" s="411">
        <v>1150</v>
      </c>
      <c r="D987" s="412">
        <v>45447</v>
      </c>
      <c r="E987" s="424" t="s">
        <v>12012</v>
      </c>
    </row>
    <row r="988" spans="2:5">
      <c r="B988" s="418" t="s">
        <v>11326</v>
      </c>
      <c r="C988" s="411">
        <v>1149</v>
      </c>
      <c r="D988" s="412">
        <v>45447</v>
      </c>
      <c r="E988" s="424" t="s">
        <v>12168</v>
      </c>
    </row>
    <row r="989" spans="2:5">
      <c r="B989" s="418" t="s">
        <v>11326</v>
      </c>
      <c r="C989" s="411">
        <v>1136</v>
      </c>
      <c r="D989" s="412">
        <v>45449</v>
      </c>
      <c r="E989" s="424" t="s">
        <v>11982</v>
      </c>
    </row>
    <row r="990" spans="2:5">
      <c r="B990" s="418" t="s">
        <v>11326</v>
      </c>
      <c r="C990" s="411">
        <v>1130</v>
      </c>
      <c r="D990" s="412">
        <v>45447</v>
      </c>
      <c r="E990" s="424" t="s">
        <v>12013</v>
      </c>
    </row>
    <row r="991" spans="2:5">
      <c r="B991" s="418" t="s">
        <v>11326</v>
      </c>
      <c r="C991" s="411">
        <v>1124</v>
      </c>
      <c r="D991" s="412">
        <v>45447</v>
      </c>
      <c r="E991" s="424" t="s">
        <v>12014</v>
      </c>
    </row>
    <row r="992" spans="2:5">
      <c r="B992" s="418" t="s">
        <v>11326</v>
      </c>
      <c r="C992" s="411">
        <v>1116</v>
      </c>
      <c r="D992" s="412">
        <v>45447</v>
      </c>
      <c r="E992" s="424" t="s">
        <v>12015</v>
      </c>
    </row>
    <row r="993" spans="2:5">
      <c r="B993" s="418" t="s">
        <v>11326</v>
      </c>
      <c r="C993" s="411">
        <v>1115</v>
      </c>
      <c r="D993" s="412">
        <v>45447</v>
      </c>
      <c r="E993" s="424" t="s">
        <v>12016</v>
      </c>
    </row>
    <row r="994" spans="2:5">
      <c r="B994" s="418" t="s">
        <v>11326</v>
      </c>
      <c r="C994" s="425" t="s">
        <v>12017</v>
      </c>
      <c r="D994" s="412">
        <v>45447</v>
      </c>
      <c r="E994" s="424" t="s">
        <v>12018</v>
      </c>
    </row>
    <row r="995" spans="2:5">
      <c r="B995" s="418" t="s">
        <v>11326</v>
      </c>
      <c r="C995" s="425">
        <v>1099</v>
      </c>
      <c r="D995" s="412">
        <v>45447</v>
      </c>
      <c r="E995" s="424" t="s">
        <v>12019</v>
      </c>
    </row>
    <row r="996" spans="2:5">
      <c r="B996" s="418" t="s">
        <v>11326</v>
      </c>
      <c r="C996" s="425">
        <v>1098</v>
      </c>
      <c r="D996" s="412">
        <v>45447</v>
      </c>
      <c r="E996" s="424" t="s">
        <v>12020</v>
      </c>
    </row>
    <row r="997" spans="2:5">
      <c r="B997" s="418" t="s">
        <v>11326</v>
      </c>
      <c r="C997" s="425">
        <v>1096</v>
      </c>
      <c r="D997" s="412">
        <v>45447</v>
      </c>
      <c r="E997" s="424" t="s">
        <v>12169</v>
      </c>
    </row>
    <row r="998" spans="2:5">
      <c r="B998" s="418" t="s">
        <v>11326</v>
      </c>
      <c r="C998" s="425" t="s">
        <v>12021</v>
      </c>
      <c r="D998" s="412">
        <v>45447</v>
      </c>
      <c r="E998" s="424" t="s">
        <v>12022</v>
      </c>
    </row>
    <row r="999" spans="2:5">
      <c r="B999" s="418" t="s">
        <v>11326</v>
      </c>
      <c r="C999" s="425">
        <v>1080</v>
      </c>
      <c r="D999" s="412">
        <v>45447</v>
      </c>
      <c r="E999" s="424" t="s">
        <v>12170</v>
      </c>
    </row>
    <row r="1000" spans="2:5">
      <c r="B1000" s="418" t="s">
        <v>11326</v>
      </c>
      <c r="C1000" s="425">
        <v>1076</v>
      </c>
      <c r="D1000" s="412">
        <v>45447</v>
      </c>
      <c r="E1000" s="424" t="s">
        <v>12171</v>
      </c>
    </row>
    <row r="1001" spans="2:5">
      <c r="B1001" s="418" t="s">
        <v>11326</v>
      </c>
      <c r="C1001" s="425">
        <v>1071</v>
      </c>
      <c r="D1001" s="412">
        <v>45447</v>
      </c>
      <c r="E1001" s="424" t="s">
        <v>12172</v>
      </c>
    </row>
    <row r="1002" spans="2:5">
      <c r="B1002" s="418" t="s">
        <v>11326</v>
      </c>
      <c r="C1002" s="425">
        <v>1066</v>
      </c>
      <c r="D1002" s="412">
        <v>45447</v>
      </c>
      <c r="E1002" s="424" t="s">
        <v>12023</v>
      </c>
    </row>
    <row r="1003" spans="2:5">
      <c r="B1003" s="418" t="s">
        <v>11326</v>
      </c>
      <c r="C1003" s="425">
        <v>1065</v>
      </c>
      <c r="D1003" s="412">
        <v>45447</v>
      </c>
      <c r="E1003" s="424" t="s">
        <v>12024</v>
      </c>
    </row>
    <row r="1004" spans="2:5">
      <c r="B1004" s="418" t="s">
        <v>11326</v>
      </c>
      <c r="C1004" s="425">
        <v>1056</v>
      </c>
      <c r="D1004" s="412">
        <v>45447</v>
      </c>
      <c r="E1004" s="424" t="s">
        <v>12173</v>
      </c>
    </row>
    <row r="1005" spans="2:5">
      <c r="B1005" s="418" t="s">
        <v>11326</v>
      </c>
      <c r="C1005" s="425">
        <v>1054</v>
      </c>
      <c r="D1005" s="412">
        <v>45447</v>
      </c>
      <c r="E1005" s="424" t="s">
        <v>12025</v>
      </c>
    </row>
    <row r="1006" spans="2:5">
      <c r="B1006" s="418" t="s">
        <v>11326</v>
      </c>
      <c r="C1006" s="425">
        <v>1047</v>
      </c>
      <c r="D1006" s="412">
        <v>45447</v>
      </c>
      <c r="E1006" s="424" t="s">
        <v>12174</v>
      </c>
    </row>
    <row r="1007" spans="2:5">
      <c r="B1007" s="418" t="s">
        <v>11326</v>
      </c>
      <c r="C1007" s="425">
        <v>1033</v>
      </c>
      <c r="D1007" s="412">
        <v>45447</v>
      </c>
      <c r="E1007" s="424" t="s">
        <v>12175</v>
      </c>
    </row>
    <row r="1008" spans="2:5">
      <c r="B1008" s="418" t="s">
        <v>11326</v>
      </c>
      <c r="C1008" s="425">
        <v>1032</v>
      </c>
      <c r="D1008" s="412">
        <v>45447</v>
      </c>
      <c r="E1008" s="424" t="s">
        <v>12026</v>
      </c>
    </row>
    <row r="1009" spans="2:5">
      <c r="B1009" s="418" t="s">
        <v>11326</v>
      </c>
      <c r="C1009" s="425">
        <v>1027</v>
      </c>
      <c r="D1009" s="412">
        <v>45447</v>
      </c>
      <c r="E1009" s="424" t="s">
        <v>12176</v>
      </c>
    </row>
    <row r="1010" spans="2:5">
      <c r="B1010" s="418" t="s">
        <v>11326</v>
      </c>
      <c r="C1010" s="425">
        <v>1018</v>
      </c>
      <c r="D1010" s="412">
        <v>45447</v>
      </c>
      <c r="E1010" s="424" t="s">
        <v>12177</v>
      </c>
    </row>
    <row r="1011" spans="2:5">
      <c r="B1011" s="418" t="s">
        <v>11326</v>
      </c>
      <c r="C1011" s="425">
        <v>1013</v>
      </c>
      <c r="D1011" s="412">
        <v>45447</v>
      </c>
      <c r="E1011" s="424" t="s">
        <v>12027</v>
      </c>
    </row>
    <row r="1012" spans="2:5">
      <c r="B1012" s="418" t="s">
        <v>11326</v>
      </c>
      <c r="C1012" s="425">
        <v>1012</v>
      </c>
      <c r="D1012" s="412">
        <v>45447</v>
      </c>
      <c r="E1012" s="424" t="s">
        <v>12028</v>
      </c>
    </row>
    <row r="1013" spans="2:5">
      <c r="B1013" s="418" t="s">
        <v>11326</v>
      </c>
      <c r="C1013" s="425">
        <v>999</v>
      </c>
      <c r="D1013" s="412">
        <v>45447</v>
      </c>
      <c r="E1013" s="424" t="s">
        <v>12029</v>
      </c>
    </row>
    <row r="1014" spans="2:5">
      <c r="B1014" s="418" t="s">
        <v>11326</v>
      </c>
      <c r="C1014" s="425">
        <v>998</v>
      </c>
      <c r="D1014" s="412">
        <v>45447</v>
      </c>
      <c r="E1014" s="424" t="s">
        <v>12178</v>
      </c>
    </row>
    <row r="1015" spans="2:5">
      <c r="B1015" s="49" t="s">
        <v>11326</v>
      </c>
      <c r="C1015" s="429">
        <v>990</v>
      </c>
      <c r="D1015" s="414">
        <v>45447</v>
      </c>
      <c r="E1015" s="428" t="s">
        <v>12030</v>
      </c>
    </row>
    <row r="1016" spans="2:5">
      <c r="B1016" s="418" t="s">
        <v>11326</v>
      </c>
      <c r="C1016" s="425">
        <v>987</v>
      </c>
      <c r="D1016" s="427">
        <v>45447</v>
      </c>
      <c r="E1016" s="424" t="s">
        <v>12031</v>
      </c>
    </row>
    <row r="1017" spans="2:5">
      <c r="B1017" s="418" t="s">
        <v>11326</v>
      </c>
      <c r="C1017" s="425">
        <v>973</v>
      </c>
      <c r="D1017" s="427">
        <v>45447</v>
      </c>
      <c r="E1017" s="424" t="s">
        <v>12179</v>
      </c>
    </row>
    <row r="1018" spans="2:5">
      <c r="B1018" s="418" t="s">
        <v>11326</v>
      </c>
      <c r="C1018" s="425">
        <v>958</v>
      </c>
      <c r="D1018" s="427">
        <v>45447</v>
      </c>
      <c r="E1018" s="424" t="s">
        <v>12032</v>
      </c>
    </row>
    <row r="1019" spans="2:5">
      <c r="B1019" s="418" t="s">
        <v>11326</v>
      </c>
      <c r="C1019" s="425">
        <v>956</v>
      </c>
      <c r="D1019" s="427">
        <v>45447</v>
      </c>
      <c r="E1019" s="424" t="s">
        <v>12180</v>
      </c>
    </row>
    <row r="1020" spans="2:5">
      <c r="B1020" s="418" t="s">
        <v>11326</v>
      </c>
      <c r="C1020" s="425">
        <v>943</v>
      </c>
      <c r="D1020" s="427">
        <v>45447</v>
      </c>
      <c r="E1020" s="424" t="s">
        <v>12033</v>
      </c>
    </row>
    <row r="1021" spans="2:5">
      <c r="B1021" s="418" t="s">
        <v>11326</v>
      </c>
      <c r="C1021" s="425">
        <v>924</v>
      </c>
      <c r="D1021" s="427">
        <v>45447</v>
      </c>
      <c r="E1021" s="424" t="s">
        <v>12034</v>
      </c>
    </row>
    <row r="1022" spans="2:5">
      <c r="B1022" s="418" t="s">
        <v>11326</v>
      </c>
      <c r="C1022" s="425">
        <v>920</v>
      </c>
      <c r="D1022" s="427">
        <v>45447</v>
      </c>
      <c r="E1022" s="424" t="s">
        <v>12181</v>
      </c>
    </row>
    <row r="1023" spans="2:5">
      <c r="B1023" s="418" t="s">
        <v>11326</v>
      </c>
      <c r="C1023" s="425">
        <v>918</v>
      </c>
      <c r="D1023" s="427">
        <v>45447</v>
      </c>
      <c r="E1023" s="424" t="s">
        <v>12182</v>
      </c>
    </row>
    <row r="1024" spans="2:5">
      <c r="B1024" s="418" t="s">
        <v>11326</v>
      </c>
      <c r="C1024" s="425">
        <v>907</v>
      </c>
      <c r="D1024" s="427">
        <v>45447</v>
      </c>
      <c r="E1024" s="424" t="s">
        <v>12183</v>
      </c>
    </row>
    <row r="1025" spans="1:5">
      <c r="B1025" s="418" t="s">
        <v>11326</v>
      </c>
      <c r="C1025" s="425">
        <v>901</v>
      </c>
      <c r="D1025" s="427">
        <v>45447</v>
      </c>
      <c r="E1025" s="424" t="s">
        <v>12184</v>
      </c>
    </row>
    <row r="1026" spans="1:5">
      <c r="B1026" s="418" t="s">
        <v>11326</v>
      </c>
      <c r="C1026" s="425">
        <v>894</v>
      </c>
      <c r="D1026" s="427">
        <v>45447</v>
      </c>
      <c r="E1026" s="424" t="s">
        <v>12035</v>
      </c>
    </row>
    <row r="1027" spans="1:5">
      <c r="B1027" s="418" t="s">
        <v>11326</v>
      </c>
      <c r="C1027" s="425" t="s">
        <v>12036</v>
      </c>
      <c r="D1027" s="427">
        <v>45447</v>
      </c>
      <c r="E1027" s="424" t="s">
        <v>12037</v>
      </c>
    </row>
    <row r="1028" spans="1:5">
      <c r="B1028" s="418" t="s">
        <v>11326</v>
      </c>
      <c r="C1028" s="425">
        <v>879</v>
      </c>
      <c r="D1028" s="427">
        <v>45447</v>
      </c>
      <c r="E1028" s="424" t="s">
        <v>12185</v>
      </c>
    </row>
    <row r="1029" spans="1:5">
      <c r="B1029" s="418" t="s">
        <v>11326</v>
      </c>
      <c r="C1029" s="425">
        <v>877</v>
      </c>
      <c r="D1029" s="427">
        <v>45447</v>
      </c>
      <c r="E1029" s="424" t="s">
        <v>12038</v>
      </c>
    </row>
    <row r="1030" spans="1:5">
      <c r="B1030" s="418" t="s">
        <v>11326</v>
      </c>
      <c r="C1030" s="425">
        <v>873</v>
      </c>
      <c r="D1030" s="427">
        <v>45447</v>
      </c>
      <c r="E1030" s="424" t="s">
        <v>12186</v>
      </c>
    </row>
    <row r="1031" spans="1:5">
      <c r="B1031" s="418" t="s">
        <v>11326</v>
      </c>
      <c r="C1031" s="425">
        <v>868</v>
      </c>
      <c r="D1031" s="427">
        <v>45447</v>
      </c>
      <c r="E1031" s="424" t="s">
        <v>12039</v>
      </c>
    </row>
    <row r="1032" spans="1:5">
      <c r="B1032" s="418" t="s">
        <v>11326</v>
      </c>
      <c r="C1032" s="425">
        <v>856</v>
      </c>
      <c r="D1032" s="427">
        <v>45447</v>
      </c>
      <c r="E1032" s="424" t="s">
        <v>12187</v>
      </c>
    </row>
    <row r="1033" spans="1:5">
      <c r="B1033" s="418" t="s">
        <v>11326</v>
      </c>
      <c r="C1033" s="425">
        <v>855</v>
      </c>
      <c r="D1033" s="427">
        <v>45447</v>
      </c>
      <c r="E1033" s="424" t="s">
        <v>12040</v>
      </c>
    </row>
    <row r="1034" spans="1:5">
      <c r="B1034" s="418" t="s">
        <v>11326</v>
      </c>
      <c r="C1034" s="425">
        <v>853</v>
      </c>
      <c r="D1034" s="427">
        <v>45447</v>
      </c>
      <c r="E1034" s="424" t="s">
        <v>12188</v>
      </c>
    </row>
    <row r="1035" spans="1:5">
      <c r="B1035" s="418" t="s">
        <v>11326</v>
      </c>
      <c r="C1035" s="425">
        <v>846</v>
      </c>
      <c r="D1035" s="427">
        <v>45447</v>
      </c>
      <c r="E1035" s="424" t="s">
        <v>12041</v>
      </c>
    </row>
    <row r="1036" spans="1:5">
      <c r="B1036" s="418" t="s">
        <v>11326</v>
      </c>
      <c r="C1036" s="425">
        <v>843</v>
      </c>
      <c r="D1036" s="427">
        <v>45447</v>
      </c>
      <c r="E1036" s="424" t="s">
        <v>12189</v>
      </c>
    </row>
    <row r="1037" spans="1:5">
      <c r="B1037" s="418" t="s">
        <v>11326</v>
      </c>
      <c r="C1037" s="425">
        <v>832</v>
      </c>
      <c r="D1037" s="427">
        <v>45447</v>
      </c>
      <c r="E1037" s="424" t="s">
        <v>12190</v>
      </c>
    </row>
    <row r="1038" spans="1:5">
      <c r="B1038" s="418" t="s">
        <v>11326</v>
      </c>
      <c r="C1038" s="425">
        <v>826</v>
      </c>
      <c r="D1038" s="427">
        <v>45447</v>
      </c>
      <c r="E1038" s="424" t="s">
        <v>12042</v>
      </c>
    </row>
    <row r="1039" spans="1:5">
      <c r="B1039" s="418" t="s">
        <v>11326</v>
      </c>
      <c r="C1039" s="425">
        <v>823</v>
      </c>
      <c r="D1039" s="427">
        <v>45447</v>
      </c>
      <c r="E1039" s="424" t="s">
        <v>12191</v>
      </c>
    </row>
    <row r="1040" spans="1:5">
      <c r="A1040" s="49"/>
      <c r="B1040" s="49" t="s">
        <v>11326</v>
      </c>
      <c r="C1040" s="429">
        <v>816</v>
      </c>
      <c r="D1040" s="414">
        <v>45447</v>
      </c>
      <c r="E1040" s="428" t="s">
        <v>12043</v>
      </c>
    </row>
    <row r="1041" spans="2:5">
      <c r="B1041" s="418" t="s">
        <v>11326</v>
      </c>
      <c r="C1041" s="425">
        <v>814</v>
      </c>
      <c r="D1041" s="427">
        <v>45447</v>
      </c>
      <c r="E1041" s="424" t="s">
        <v>12044</v>
      </c>
    </row>
    <row r="1042" spans="2:5">
      <c r="B1042" s="418" t="s">
        <v>11326</v>
      </c>
      <c r="C1042" s="425">
        <v>812</v>
      </c>
      <c r="D1042" s="427">
        <v>45447</v>
      </c>
      <c r="E1042" s="424" t="s">
        <v>12192</v>
      </c>
    </row>
    <row r="1043" spans="2:5">
      <c r="B1043" s="418" t="s">
        <v>11326</v>
      </c>
      <c r="C1043" s="425">
        <v>809</v>
      </c>
      <c r="D1043" s="427">
        <v>45447</v>
      </c>
      <c r="E1043" s="424" t="s">
        <v>12193</v>
      </c>
    </row>
    <row r="1044" spans="2:5">
      <c r="B1044" s="418" t="s">
        <v>11326</v>
      </c>
      <c r="C1044" s="425">
        <v>806</v>
      </c>
      <c r="D1044" s="427">
        <v>45447</v>
      </c>
      <c r="E1044" s="424" t="s">
        <v>12045</v>
      </c>
    </row>
    <row r="1045" spans="2:5">
      <c r="B1045" s="418" t="s">
        <v>11326</v>
      </c>
      <c r="C1045" s="425">
        <v>805</v>
      </c>
      <c r="D1045" s="427">
        <v>45447</v>
      </c>
      <c r="E1045" s="424" t="s">
        <v>12046</v>
      </c>
    </row>
    <row r="1046" spans="2:5">
      <c r="B1046" s="418" t="s">
        <v>11326</v>
      </c>
      <c r="C1046" s="425">
        <v>801</v>
      </c>
      <c r="D1046" s="427">
        <v>45447</v>
      </c>
      <c r="E1046" s="424" t="s">
        <v>12047</v>
      </c>
    </row>
    <row r="1047" spans="2:5">
      <c r="B1047" s="418" t="s">
        <v>11326</v>
      </c>
      <c r="C1047" s="425">
        <v>800</v>
      </c>
      <c r="D1047" s="427">
        <v>45447</v>
      </c>
      <c r="E1047" s="424" t="s">
        <v>12048</v>
      </c>
    </row>
    <row r="1048" spans="2:5">
      <c r="B1048" s="418" t="s">
        <v>11326</v>
      </c>
      <c r="C1048" s="425">
        <v>793</v>
      </c>
      <c r="D1048" s="427">
        <v>45447</v>
      </c>
      <c r="E1048" s="424" t="s">
        <v>12194</v>
      </c>
    </row>
    <row r="1049" spans="2:5">
      <c r="B1049" s="418" t="s">
        <v>11326</v>
      </c>
      <c r="C1049" s="425">
        <v>779</v>
      </c>
      <c r="D1049" s="427">
        <v>45447</v>
      </c>
      <c r="E1049" s="424" t="s">
        <v>12049</v>
      </c>
    </row>
    <row r="1050" spans="2:5">
      <c r="B1050" s="418" t="s">
        <v>11326</v>
      </c>
      <c r="C1050" s="425">
        <v>778</v>
      </c>
      <c r="D1050" s="427">
        <v>45447</v>
      </c>
      <c r="E1050" s="424" t="s">
        <v>12195</v>
      </c>
    </row>
    <row r="1051" spans="2:5">
      <c r="B1051" s="418" t="s">
        <v>11326</v>
      </c>
      <c r="C1051" s="425">
        <v>775</v>
      </c>
      <c r="D1051" s="427">
        <v>45447</v>
      </c>
      <c r="E1051" s="424" t="s">
        <v>12050</v>
      </c>
    </row>
    <row r="1052" spans="2:5">
      <c r="B1052" s="418" t="s">
        <v>11326</v>
      </c>
      <c r="C1052" s="425">
        <v>773</v>
      </c>
      <c r="D1052" s="427">
        <v>45447</v>
      </c>
      <c r="E1052" s="424" t="s">
        <v>12051</v>
      </c>
    </row>
    <row r="1053" spans="2:5">
      <c r="B1053" s="418" t="s">
        <v>11326</v>
      </c>
      <c r="C1053" s="425">
        <v>766</v>
      </c>
      <c r="D1053" s="427">
        <v>45447</v>
      </c>
      <c r="E1053" s="424" t="s">
        <v>12052</v>
      </c>
    </row>
    <row r="1054" spans="2:5">
      <c r="B1054" s="418" t="s">
        <v>11326</v>
      </c>
      <c r="C1054" s="425">
        <v>764</v>
      </c>
      <c r="D1054" s="427">
        <v>45447</v>
      </c>
      <c r="E1054" s="424" t="s">
        <v>12053</v>
      </c>
    </row>
    <row r="1055" spans="2:5">
      <c r="B1055" s="418" t="s">
        <v>11326</v>
      </c>
      <c r="C1055" s="425">
        <v>761</v>
      </c>
      <c r="D1055" s="427">
        <v>45447</v>
      </c>
      <c r="E1055" s="424" t="s">
        <v>12054</v>
      </c>
    </row>
    <row r="1056" spans="2:5">
      <c r="B1056" s="418" t="s">
        <v>11326</v>
      </c>
      <c r="C1056" s="425">
        <v>755</v>
      </c>
      <c r="D1056" s="427">
        <v>45447</v>
      </c>
      <c r="E1056" s="424" t="s">
        <v>12196</v>
      </c>
    </row>
    <row r="1057" spans="2:5">
      <c r="B1057" s="418" t="s">
        <v>11326</v>
      </c>
      <c r="C1057" s="425">
        <v>750</v>
      </c>
      <c r="D1057" s="427">
        <v>45447</v>
      </c>
      <c r="E1057" s="424" t="s">
        <v>12197</v>
      </c>
    </row>
    <row r="1058" spans="2:5">
      <c r="B1058" s="418" t="s">
        <v>11326</v>
      </c>
      <c r="C1058" s="425">
        <v>748</v>
      </c>
      <c r="D1058" s="427">
        <v>45447</v>
      </c>
      <c r="E1058" s="424" t="s">
        <v>12055</v>
      </c>
    </row>
    <row r="1059" spans="2:5">
      <c r="B1059" s="418" t="s">
        <v>11326</v>
      </c>
      <c r="C1059" s="425">
        <v>741</v>
      </c>
      <c r="D1059" s="427">
        <v>45447</v>
      </c>
      <c r="E1059" s="424" t="s">
        <v>12198</v>
      </c>
    </row>
    <row r="1060" spans="2:5">
      <c r="B1060" s="418" t="s">
        <v>11326</v>
      </c>
      <c r="C1060" s="425">
        <v>738</v>
      </c>
      <c r="D1060" s="427">
        <v>45447</v>
      </c>
      <c r="E1060" s="424" t="s">
        <v>12056</v>
      </c>
    </row>
    <row r="1061" spans="2:5">
      <c r="B1061" s="418" t="s">
        <v>11326</v>
      </c>
      <c r="C1061" s="425">
        <v>735</v>
      </c>
      <c r="D1061" s="427">
        <v>45447</v>
      </c>
      <c r="E1061" s="424" t="s">
        <v>12199</v>
      </c>
    </row>
    <row r="1062" spans="2:5">
      <c r="B1062" s="418" t="s">
        <v>11326</v>
      </c>
      <c r="C1062" s="425">
        <v>734</v>
      </c>
      <c r="D1062" s="427">
        <v>45447</v>
      </c>
      <c r="E1062" s="424" t="s">
        <v>12057</v>
      </c>
    </row>
    <row r="1063" spans="2:5">
      <c r="B1063" s="418" t="s">
        <v>11326</v>
      </c>
      <c r="C1063" s="425">
        <v>713</v>
      </c>
      <c r="D1063" s="427">
        <v>45447</v>
      </c>
      <c r="E1063" s="424" t="s">
        <v>12200</v>
      </c>
    </row>
    <row r="1064" spans="2:5">
      <c r="B1064" s="418" t="s">
        <v>11326</v>
      </c>
      <c r="C1064" s="425">
        <v>704</v>
      </c>
      <c r="D1064" s="427">
        <v>45447</v>
      </c>
      <c r="E1064" s="424" t="s">
        <v>12201</v>
      </c>
    </row>
    <row r="1065" spans="2:5">
      <c r="B1065" s="418" t="s">
        <v>11326</v>
      </c>
      <c r="C1065" s="425">
        <v>695</v>
      </c>
      <c r="D1065" s="427">
        <v>45447</v>
      </c>
      <c r="E1065" s="424" t="s">
        <v>12202</v>
      </c>
    </row>
    <row r="1066" spans="2:5">
      <c r="B1066" s="418" t="s">
        <v>11326</v>
      </c>
      <c r="C1066" s="425">
        <v>685</v>
      </c>
      <c r="D1066" s="427">
        <v>45447</v>
      </c>
      <c r="E1066" s="424" t="s">
        <v>12203</v>
      </c>
    </row>
    <row r="1067" spans="2:5">
      <c r="B1067" s="418" t="s">
        <v>11326</v>
      </c>
      <c r="C1067" s="425">
        <v>681</v>
      </c>
      <c r="D1067" s="427">
        <v>45447</v>
      </c>
      <c r="E1067" s="424" t="s">
        <v>12058</v>
      </c>
    </row>
    <row r="1068" spans="2:5">
      <c r="B1068" s="418" t="s">
        <v>11326</v>
      </c>
      <c r="C1068" s="425">
        <v>667</v>
      </c>
      <c r="D1068" s="427">
        <v>45447</v>
      </c>
      <c r="E1068" s="424" t="s">
        <v>12204</v>
      </c>
    </row>
    <row r="1069" spans="2:5">
      <c r="B1069" s="418" t="s">
        <v>11326</v>
      </c>
      <c r="C1069" s="425">
        <v>663</v>
      </c>
      <c r="D1069" s="427">
        <v>45447</v>
      </c>
      <c r="E1069" s="424" t="s">
        <v>12205</v>
      </c>
    </row>
    <row r="1070" spans="2:5">
      <c r="B1070" s="418" t="s">
        <v>11326</v>
      </c>
      <c r="C1070" s="425">
        <v>661</v>
      </c>
      <c r="D1070" s="427">
        <v>45447</v>
      </c>
      <c r="E1070" s="424" t="s">
        <v>12059</v>
      </c>
    </row>
    <row r="1071" spans="2:5">
      <c r="B1071" s="418" t="s">
        <v>11326</v>
      </c>
      <c r="C1071" s="425">
        <v>655</v>
      </c>
      <c r="D1071" s="427">
        <v>45447</v>
      </c>
      <c r="E1071" s="424" t="s">
        <v>12060</v>
      </c>
    </row>
    <row r="1072" spans="2:5">
      <c r="B1072" s="418" t="s">
        <v>11326</v>
      </c>
      <c r="C1072" s="425">
        <v>645</v>
      </c>
      <c r="D1072" s="427">
        <v>45447</v>
      </c>
      <c r="E1072" s="424" t="s">
        <v>12061</v>
      </c>
    </row>
    <row r="1073" spans="1:5">
      <c r="A1073" s="49"/>
      <c r="B1073" s="49" t="s">
        <v>11326</v>
      </c>
      <c r="C1073" s="429">
        <v>633</v>
      </c>
      <c r="D1073" s="414">
        <v>45447</v>
      </c>
      <c r="E1073" s="428" t="s">
        <v>12062</v>
      </c>
    </row>
    <row r="1074" spans="1:5">
      <c r="A1074" s="49"/>
      <c r="B1074" s="418" t="s">
        <v>11326</v>
      </c>
      <c r="C1074" s="425">
        <v>630</v>
      </c>
      <c r="D1074" s="427">
        <v>45447</v>
      </c>
      <c r="E1074" s="424" t="s">
        <v>12206</v>
      </c>
    </row>
    <row r="1075" spans="1:5">
      <c r="A1075" s="49"/>
      <c r="B1075" s="418" t="s">
        <v>11326</v>
      </c>
      <c r="C1075" s="425">
        <v>628</v>
      </c>
      <c r="D1075" s="427">
        <v>45447</v>
      </c>
      <c r="E1075" s="424" t="s">
        <v>12207</v>
      </c>
    </row>
    <row r="1076" spans="1:5">
      <c r="B1076" s="418" t="s">
        <v>11326</v>
      </c>
      <c r="C1076" s="425">
        <v>619</v>
      </c>
      <c r="D1076" s="427">
        <v>45447</v>
      </c>
      <c r="E1076" s="424" t="s">
        <v>12063</v>
      </c>
    </row>
    <row r="1077" spans="1:5">
      <c r="B1077" s="418" t="s">
        <v>11326</v>
      </c>
      <c r="C1077" s="425">
        <v>615</v>
      </c>
      <c r="D1077" s="427">
        <v>45447</v>
      </c>
      <c r="E1077" s="424" t="s">
        <v>12208</v>
      </c>
    </row>
    <row r="1078" spans="1:5">
      <c r="B1078" s="418" t="s">
        <v>11326</v>
      </c>
      <c r="C1078" s="425">
        <v>614</v>
      </c>
      <c r="D1078" s="427">
        <v>45447</v>
      </c>
      <c r="E1078" s="424" t="s">
        <v>12064</v>
      </c>
    </row>
    <row r="1079" spans="1:5">
      <c r="B1079" s="418" t="s">
        <v>11326</v>
      </c>
      <c r="C1079" s="425">
        <v>611</v>
      </c>
      <c r="D1079" s="427">
        <v>45447</v>
      </c>
      <c r="E1079" s="424" t="s">
        <v>12065</v>
      </c>
    </row>
    <row r="1080" spans="1:5">
      <c r="B1080" s="418" t="s">
        <v>11326</v>
      </c>
      <c r="C1080" s="425">
        <v>599</v>
      </c>
      <c r="D1080" s="427">
        <v>45447</v>
      </c>
      <c r="E1080" s="424" t="s">
        <v>12066</v>
      </c>
    </row>
    <row r="1081" spans="1:5">
      <c r="B1081" s="418" t="s">
        <v>11326</v>
      </c>
      <c r="C1081" s="425">
        <v>596</v>
      </c>
      <c r="D1081" s="427">
        <v>45447</v>
      </c>
      <c r="E1081" s="424" t="s">
        <v>12067</v>
      </c>
    </row>
    <row r="1082" spans="1:5">
      <c r="B1082" s="418" t="s">
        <v>11326</v>
      </c>
      <c r="C1082" s="425">
        <v>588</v>
      </c>
      <c r="D1082" s="427">
        <v>45447</v>
      </c>
      <c r="E1082" s="424" t="s">
        <v>12068</v>
      </c>
    </row>
    <row r="1083" spans="1:5">
      <c r="B1083" s="418" t="s">
        <v>11326</v>
      </c>
      <c r="C1083" s="425">
        <v>578</v>
      </c>
      <c r="D1083" s="427">
        <v>45447</v>
      </c>
      <c r="E1083" s="424" t="s">
        <v>12069</v>
      </c>
    </row>
    <row r="1084" spans="1:5">
      <c r="B1084" s="418" t="s">
        <v>11326</v>
      </c>
      <c r="C1084" s="425">
        <v>573</v>
      </c>
      <c r="D1084" s="427">
        <v>45447</v>
      </c>
      <c r="E1084" s="424" t="s">
        <v>12070</v>
      </c>
    </row>
    <row r="1085" spans="1:5">
      <c r="B1085" s="418" t="s">
        <v>11326</v>
      </c>
      <c r="C1085" s="425">
        <v>570</v>
      </c>
      <c r="D1085" s="427">
        <v>45447</v>
      </c>
      <c r="E1085" s="424" t="s">
        <v>12071</v>
      </c>
    </row>
    <row r="1086" spans="1:5">
      <c r="B1086" s="418" t="s">
        <v>11326</v>
      </c>
      <c r="C1086" s="425">
        <v>569</v>
      </c>
      <c r="D1086" s="427">
        <v>45447</v>
      </c>
      <c r="E1086" s="424" t="s">
        <v>12072</v>
      </c>
    </row>
    <row r="1087" spans="1:5">
      <c r="B1087" s="418" t="s">
        <v>11326</v>
      </c>
      <c r="C1087" s="425">
        <v>566</v>
      </c>
      <c r="D1087" s="427">
        <v>45447</v>
      </c>
      <c r="E1087" s="424" t="s">
        <v>12073</v>
      </c>
    </row>
    <row r="1088" spans="1:5">
      <c r="B1088" s="49" t="s">
        <v>11326</v>
      </c>
      <c r="C1088" s="429">
        <v>561</v>
      </c>
      <c r="D1088" s="414">
        <v>45447</v>
      </c>
      <c r="E1088" s="428" t="s">
        <v>12074</v>
      </c>
    </row>
    <row r="1089" spans="2:5">
      <c r="B1089" s="418" t="s">
        <v>11326</v>
      </c>
      <c r="C1089" s="425">
        <v>552</v>
      </c>
      <c r="D1089" s="427">
        <v>45447</v>
      </c>
      <c r="E1089" s="424" t="s">
        <v>12075</v>
      </c>
    </row>
    <row r="1090" spans="2:5">
      <c r="B1090" s="418" t="s">
        <v>11326</v>
      </c>
      <c r="C1090" s="425">
        <v>551</v>
      </c>
      <c r="D1090" s="427">
        <v>45447</v>
      </c>
      <c r="E1090" s="424" t="s">
        <v>12076</v>
      </c>
    </row>
    <row r="1091" spans="2:5">
      <c r="B1091" s="418" t="s">
        <v>11326</v>
      </c>
      <c r="C1091" s="425">
        <v>548</v>
      </c>
      <c r="D1091" s="427">
        <v>45447</v>
      </c>
      <c r="E1091" s="424" t="s">
        <v>12077</v>
      </c>
    </row>
    <row r="1092" spans="2:5">
      <c r="B1092" s="418" t="s">
        <v>11326</v>
      </c>
      <c r="C1092" s="425">
        <v>544</v>
      </c>
      <c r="D1092" s="427">
        <v>45447</v>
      </c>
      <c r="E1092" s="424" t="s">
        <v>12078</v>
      </c>
    </row>
    <row r="1093" spans="2:5">
      <c r="B1093" s="418" t="s">
        <v>11326</v>
      </c>
      <c r="C1093" s="425">
        <v>539</v>
      </c>
      <c r="D1093" s="427">
        <v>45447</v>
      </c>
      <c r="E1093" s="424" t="s">
        <v>12079</v>
      </c>
    </row>
    <row r="1094" spans="2:5">
      <c r="B1094" s="418" t="s">
        <v>11326</v>
      </c>
      <c r="C1094" s="425">
        <v>535</v>
      </c>
      <c r="D1094" s="427">
        <v>45447</v>
      </c>
      <c r="E1094" s="424" t="s">
        <v>12080</v>
      </c>
    </row>
    <row r="1095" spans="2:5">
      <c r="B1095" s="418" t="s">
        <v>11326</v>
      </c>
      <c r="C1095" s="425">
        <v>532</v>
      </c>
      <c r="D1095" s="427">
        <v>45447</v>
      </c>
      <c r="E1095" s="424" t="s">
        <v>12209</v>
      </c>
    </row>
    <row r="1096" spans="2:5">
      <c r="B1096" s="418" t="s">
        <v>11326</v>
      </c>
      <c r="C1096" s="425">
        <v>529</v>
      </c>
      <c r="D1096" s="427">
        <v>45447</v>
      </c>
      <c r="E1096" s="424" t="s">
        <v>12081</v>
      </c>
    </row>
    <row r="1097" spans="2:5">
      <c r="B1097" s="418" t="s">
        <v>11326</v>
      </c>
      <c r="C1097" s="425">
        <v>524</v>
      </c>
      <c r="D1097" s="427">
        <v>45447</v>
      </c>
      <c r="E1097" s="424" t="s">
        <v>12082</v>
      </c>
    </row>
    <row r="1098" spans="2:5">
      <c r="B1098" s="418" t="s">
        <v>11326</v>
      </c>
      <c r="C1098" s="425">
        <v>519</v>
      </c>
      <c r="D1098" s="427">
        <v>45447</v>
      </c>
      <c r="E1098" s="424" t="s">
        <v>12083</v>
      </c>
    </row>
    <row r="1099" spans="2:5">
      <c r="B1099" s="418" t="s">
        <v>11326</v>
      </c>
      <c r="C1099" s="425">
        <v>518</v>
      </c>
      <c r="D1099" s="427">
        <v>45447</v>
      </c>
      <c r="E1099" s="424" t="s">
        <v>12210</v>
      </c>
    </row>
    <row r="1100" spans="2:5">
      <c r="B1100" s="418" t="s">
        <v>11326</v>
      </c>
      <c r="C1100" s="425">
        <v>509</v>
      </c>
      <c r="D1100" s="427">
        <v>45447</v>
      </c>
      <c r="E1100" s="424" t="s">
        <v>12084</v>
      </c>
    </row>
    <row r="1101" spans="2:5">
      <c r="B1101" s="418" t="s">
        <v>11326</v>
      </c>
      <c r="C1101" s="411">
        <v>503</v>
      </c>
      <c r="D1101" s="412">
        <v>45448</v>
      </c>
      <c r="E1101" s="419" t="s">
        <v>11530</v>
      </c>
    </row>
    <row r="1102" spans="2:5">
      <c r="B1102" s="418" t="s">
        <v>11326</v>
      </c>
      <c r="C1102" s="411">
        <v>502</v>
      </c>
      <c r="D1102" s="412">
        <v>45447</v>
      </c>
      <c r="E1102" s="424" t="s">
        <v>12211</v>
      </c>
    </row>
    <row r="1103" spans="2:5">
      <c r="B1103" s="418" t="s">
        <v>11326</v>
      </c>
      <c r="C1103" s="411">
        <v>501</v>
      </c>
      <c r="D1103" s="412">
        <v>45447</v>
      </c>
      <c r="E1103" s="424" t="s">
        <v>12212</v>
      </c>
    </row>
    <row r="1104" spans="2:5">
      <c r="B1104" s="418" t="s">
        <v>11326</v>
      </c>
      <c r="C1104" s="411">
        <v>499</v>
      </c>
      <c r="D1104" s="412">
        <v>45447</v>
      </c>
      <c r="E1104" s="424" t="s">
        <v>12085</v>
      </c>
    </row>
    <row r="1105" spans="2:5">
      <c r="B1105" s="418" t="s">
        <v>11326</v>
      </c>
      <c r="C1105" s="411">
        <v>494</v>
      </c>
      <c r="D1105" s="412">
        <v>45447</v>
      </c>
      <c r="E1105" s="424" t="s">
        <v>12086</v>
      </c>
    </row>
    <row r="1106" spans="2:5">
      <c r="B1106" s="418" t="s">
        <v>11326</v>
      </c>
      <c r="C1106" s="411">
        <v>492</v>
      </c>
      <c r="D1106" s="412">
        <v>45447</v>
      </c>
      <c r="E1106" s="424" t="s">
        <v>12213</v>
      </c>
    </row>
    <row r="1107" spans="2:5">
      <c r="B1107" s="418" t="s">
        <v>11326</v>
      </c>
      <c r="C1107" s="411">
        <v>489</v>
      </c>
      <c r="D1107" s="412">
        <v>45447</v>
      </c>
      <c r="E1107" s="424" t="s">
        <v>12087</v>
      </c>
    </row>
    <row r="1108" spans="2:5">
      <c r="B1108" s="418" t="s">
        <v>11326</v>
      </c>
      <c r="C1108" s="411">
        <v>488</v>
      </c>
      <c r="D1108" s="412">
        <v>45447</v>
      </c>
      <c r="E1108" s="424" t="s">
        <v>12088</v>
      </c>
    </row>
    <row r="1109" spans="2:5">
      <c r="B1109" s="418" t="s">
        <v>11326</v>
      </c>
      <c r="C1109" s="411">
        <v>487</v>
      </c>
      <c r="D1109" s="412">
        <v>45447</v>
      </c>
      <c r="E1109" s="424" t="s">
        <v>12089</v>
      </c>
    </row>
    <row r="1110" spans="2:5">
      <c r="B1110" s="418" t="s">
        <v>11326</v>
      </c>
      <c r="C1110" s="411">
        <v>483</v>
      </c>
      <c r="D1110" s="412">
        <v>45447</v>
      </c>
      <c r="E1110" s="424" t="s">
        <v>12090</v>
      </c>
    </row>
    <row r="1111" spans="2:5">
      <c r="B1111" s="418" t="s">
        <v>11326</v>
      </c>
      <c r="C1111" s="411">
        <v>469</v>
      </c>
      <c r="D1111" s="412">
        <v>45447</v>
      </c>
      <c r="E1111" s="424" t="s">
        <v>12091</v>
      </c>
    </row>
    <row r="1112" spans="2:5">
      <c r="B1112" s="418" t="s">
        <v>11326</v>
      </c>
      <c r="C1112" s="411">
        <v>456</v>
      </c>
      <c r="D1112" s="412">
        <v>45447</v>
      </c>
      <c r="E1112" s="424" t="s">
        <v>12092</v>
      </c>
    </row>
    <row r="1113" spans="2:5">
      <c r="B1113" s="418" t="s">
        <v>11326</v>
      </c>
      <c r="C1113" s="411">
        <v>452</v>
      </c>
      <c r="D1113" s="412">
        <v>45447</v>
      </c>
      <c r="E1113" s="424" t="s">
        <v>12093</v>
      </c>
    </row>
    <row r="1114" spans="2:5">
      <c r="B1114" s="418" t="s">
        <v>11326</v>
      </c>
      <c r="C1114" s="411">
        <v>447</v>
      </c>
      <c r="D1114" s="412">
        <v>45447</v>
      </c>
      <c r="E1114" s="424" t="s">
        <v>12214</v>
      </c>
    </row>
    <row r="1115" spans="2:5">
      <c r="B1115" s="418" t="s">
        <v>11326</v>
      </c>
      <c r="C1115" s="411">
        <v>441</v>
      </c>
      <c r="D1115" s="412">
        <v>45447</v>
      </c>
      <c r="E1115" s="424" t="s">
        <v>12215</v>
      </c>
    </row>
    <row r="1116" spans="2:5">
      <c r="B1116" s="418" t="s">
        <v>11326</v>
      </c>
      <c r="C1116" s="411">
        <v>438</v>
      </c>
      <c r="D1116" s="412">
        <v>45447</v>
      </c>
      <c r="E1116" s="424" t="s">
        <v>12094</v>
      </c>
    </row>
    <row r="1117" spans="2:5">
      <c r="B1117" s="418" t="s">
        <v>11326</v>
      </c>
      <c r="C1117" s="411">
        <v>431</v>
      </c>
      <c r="D1117" s="412">
        <v>45447</v>
      </c>
      <c r="E1117" s="424" t="s">
        <v>12095</v>
      </c>
    </row>
    <row r="1118" spans="2:5">
      <c r="B1118" s="418" t="s">
        <v>11326</v>
      </c>
      <c r="C1118" s="411">
        <v>426</v>
      </c>
      <c r="D1118" s="412">
        <v>45447</v>
      </c>
      <c r="E1118" s="424" t="s">
        <v>12096</v>
      </c>
    </row>
    <row r="1119" spans="2:5">
      <c r="B1119" s="418" t="s">
        <v>11326</v>
      </c>
      <c r="C1119" s="411">
        <v>424</v>
      </c>
      <c r="D1119" s="412">
        <v>45447</v>
      </c>
      <c r="E1119" s="424" t="s">
        <v>12216</v>
      </c>
    </row>
    <row r="1120" spans="2:5">
      <c r="B1120" s="418" t="s">
        <v>11326</v>
      </c>
      <c r="C1120" s="411">
        <v>423</v>
      </c>
      <c r="D1120" s="412">
        <v>45447</v>
      </c>
      <c r="E1120" s="424" t="s">
        <v>12217</v>
      </c>
    </row>
    <row r="1121" spans="2:5">
      <c r="B1121" s="418" t="s">
        <v>11326</v>
      </c>
      <c r="C1121" s="411">
        <v>418</v>
      </c>
      <c r="D1121" s="412">
        <v>45447</v>
      </c>
      <c r="E1121" s="424" t="s">
        <v>12097</v>
      </c>
    </row>
    <row r="1122" spans="2:5">
      <c r="B1122" s="418" t="s">
        <v>11326</v>
      </c>
      <c r="C1122" s="411">
        <v>416</v>
      </c>
      <c r="D1122" s="412">
        <v>45447</v>
      </c>
      <c r="E1122" s="424" t="s">
        <v>12218</v>
      </c>
    </row>
    <row r="1123" spans="2:5">
      <c r="B1123" s="418" t="s">
        <v>11326</v>
      </c>
      <c r="C1123" s="411">
        <v>410</v>
      </c>
      <c r="D1123" s="412">
        <v>45447</v>
      </c>
      <c r="E1123" s="424" t="s">
        <v>12098</v>
      </c>
    </row>
    <row r="1124" spans="2:5">
      <c r="B1124" s="418" t="s">
        <v>11326</v>
      </c>
      <c r="C1124" s="411">
        <v>409</v>
      </c>
      <c r="D1124" s="412">
        <v>45447</v>
      </c>
      <c r="E1124" s="424" t="s">
        <v>12219</v>
      </c>
    </row>
    <row r="1125" spans="2:5">
      <c r="B1125" s="418" t="s">
        <v>11326</v>
      </c>
      <c r="C1125" s="411">
        <v>403</v>
      </c>
      <c r="D1125" s="412">
        <v>45447</v>
      </c>
      <c r="E1125" s="424" t="s">
        <v>12099</v>
      </c>
    </row>
    <row r="1126" spans="2:5">
      <c r="B1126" s="418" t="s">
        <v>11326</v>
      </c>
      <c r="C1126" s="411">
        <v>396</v>
      </c>
      <c r="D1126" s="412">
        <v>45447</v>
      </c>
      <c r="E1126" s="424" t="s">
        <v>12100</v>
      </c>
    </row>
    <row r="1127" spans="2:5">
      <c r="B1127" s="418" t="s">
        <v>11326</v>
      </c>
      <c r="C1127" s="411">
        <v>394</v>
      </c>
      <c r="D1127" s="412">
        <v>45447</v>
      </c>
      <c r="E1127" s="424" t="s">
        <v>12101</v>
      </c>
    </row>
    <row r="1128" spans="2:5">
      <c r="B1128" s="418" t="s">
        <v>11326</v>
      </c>
      <c r="C1128" s="411">
        <v>389</v>
      </c>
      <c r="D1128" s="412">
        <v>45447</v>
      </c>
      <c r="E1128" s="424" t="s">
        <v>12220</v>
      </c>
    </row>
    <row r="1129" spans="2:5">
      <c r="B1129" s="418" t="s">
        <v>11326</v>
      </c>
      <c r="C1129" s="411">
        <v>371</v>
      </c>
      <c r="D1129" s="412">
        <v>45447</v>
      </c>
      <c r="E1129" s="424" t="s">
        <v>12102</v>
      </c>
    </row>
    <row r="1130" spans="2:5">
      <c r="B1130" s="418" t="s">
        <v>11326</v>
      </c>
      <c r="C1130" s="411">
        <v>368</v>
      </c>
      <c r="D1130" s="412">
        <v>45447</v>
      </c>
      <c r="E1130" s="424" t="s">
        <v>12103</v>
      </c>
    </row>
    <row r="1131" spans="2:5">
      <c r="B1131" s="418" t="s">
        <v>11326</v>
      </c>
      <c r="C1131" s="411">
        <v>345</v>
      </c>
      <c r="D1131" s="412">
        <v>45447</v>
      </c>
      <c r="E1131" s="424" t="s">
        <v>12221</v>
      </c>
    </row>
    <row r="1132" spans="2:5">
      <c r="B1132" s="418" t="s">
        <v>11326</v>
      </c>
      <c r="C1132" s="411">
        <v>339</v>
      </c>
      <c r="D1132" s="412">
        <v>45447</v>
      </c>
      <c r="E1132" s="424" t="s">
        <v>12222</v>
      </c>
    </row>
    <row r="1133" spans="2:5">
      <c r="B1133" s="418" t="s">
        <v>11326</v>
      </c>
      <c r="C1133" s="411">
        <v>335</v>
      </c>
      <c r="D1133" s="412">
        <v>45447</v>
      </c>
      <c r="E1133" s="424" t="s">
        <v>12104</v>
      </c>
    </row>
    <row r="1134" spans="2:5">
      <c r="B1134" s="418" t="s">
        <v>11326</v>
      </c>
      <c r="C1134" s="411">
        <v>332</v>
      </c>
      <c r="D1134" s="412">
        <v>45447</v>
      </c>
      <c r="E1134" s="424" t="s">
        <v>12105</v>
      </c>
    </row>
    <row r="1135" spans="2:5">
      <c r="B1135" s="418" t="s">
        <v>11326</v>
      </c>
      <c r="C1135" s="411">
        <v>329</v>
      </c>
      <c r="D1135" s="412">
        <v>45447</v>
      </c>
      <c r="E1135" s="424" t="s">
        <v>12223</v>
      </c>
    </row>
    <row r="1136" spans="2:5">
      <c r="B1136" s="418" t="s">
        <v>11326</v>
      </c>
      <c r="C1136" s="411">
        <v>328</v>
      </c>
      <c r="D1136" s="412">
        <v>45447</v>
      </c>
      <c r="E1136" s="424" t="s">
        <v>12224</v>
      </c>
    </row>
    <row r="1137" spans="2:5">
      <c r="B1137" s="418" t="s">
        <v>11326</v>
      </c>
      <c r="C1137" s="411">
        <v>324</v>
      </c>
      <c r="D1137" s="412">
        <v>45447</v>
      </c>
      <c r="E1137" s="424" t="s">
        <v>12106</v>
      </c>
    </row>
    <row r="1138" spans="2:5">
      <c r="B1138" s="418" t="s">
        <v>11326</v>
      </c>
      <c r="C1138" s="411">
        <v>318</v>
      </c>
      <c r="D1138" s="412">
        <v>45447</v>
      </c>
      <c r="E1138" s="424" t="s">
        <v>12107</v>
      </c>
    </row>
    <row r="1139" spans="2:5">
      <c r="B1139" s="418" t="s">
        <v>11326</v>
      </c>
      <c r="C1139" s="411">
        <v>317</v>
      </c>
      <c r="D1139" s="412">
        <v>45447</v>
      </c>
      <c r="E1139" s="424" t="s">
        <v>12225</v>
      </c>
    </row>
    <row r="1140" spans="2:5">
      <c r="B1140" s="418" t="s">
        <v>11326</v>
      </c>
      <c r="C1140" s="411">
        <v>314</v>
      </c>
      <c r="D1140" s="412">
        <v>45447</v>
      </c>
      <c r="E1140" s="424"/>
    </row>
    <row r="1141" spans="2:5">
      <c r="B1141" s="418" t="s">
        <v>11326</v>
      </c>
      <c r="C1141" s="411">
        <v>302</v>
      </c>
      <c r="D1141" s="412">
        <v>45447</v>
      </c>
      <c r="E1141" s="424" t="s">
        <v>12108</v>
      </c>
    </row>
    <row r="1142" spans="2:5">
      <c r="B1142" s="418" t="s">
        <v>11326</v>
      </c>
      <c r="C1142" s="411">
        <v>300</v>
      </c>
      <c r="D1142" s="412">
        <v>45447</v>
      </c>
      <c r="E1142" s="424" t="s">
        <v>12109</v>
      </c>
    </row>
    <row r="1143" spans="2:5">
      <c r="B1143" s="418" t="s">
        <v>11326</v>
      </c>
      <c r="C1143" s="411">
        <v>294</v>
      </c>
      <c r="D1143" s="412">
        <v>45447</v>
      </c>
      <c r="E1143" s="424"/>
    </row>
    <row r="1144" spans="2:5">
      <c r="B1144" s="418" t="s">
        <v>11326</v>
      </c>
      <c r="C1144" s="411">
        <v>291</v>
      </c>
      <c r="D1144" s="412">
        <v>45447</v>
      </c>
      <c r="E1144" s="424" t="s">
        <v>12110</v>
      </c>
    </row>
    <row r="1145" spans="2:5">
      <c r="B1145" s="418" t="s">
        <v>11326</v>
      </c>
      <c r="C1145" s="411">
        <v>290</v>
      </c>
      <c r="D1145" s="412">
        <v>45447</v>
      </c>
      <c r="E1145" s="424"/>
    </row>
    <row r="1146" spans="2:5">
      <c r="B1146" s="418" t="s">
        <v>11326</v>
      </c>
      <c r="C1146" s="411">
        <v>288</v>
      </c>
      <c r="D1146" s="412">
        <v>45447</v>
      </c>
      <c r="E1146" s="424" t="s">
        <v>12111</v>
      </c>
    </row>
    <row r="1147" spans="2:5">
      <c r="B1147" s="418" t="s">
        <v>11326</v>
      </c>
      <c r="C1147" s="411">
        <v>281</v>
      </c>
      <c r="D1147" s="412">
        <v>45447</v>
      </c>
      <c r="E1147" s="424" t="s">
        <v>12112</v>
      </c>
    </row>
    <row r="1148" spans="2:5">
      <c r="B1148" s="418" t="s">
        <v>11326</v>
      </c>
      <c r="C1148" s="411">
        <v>276</v>
      </c>
      <c r="D1148" s="412">
        <v>45447</v>
      </c>
      <c r="E1148" s="424" t="s">
        <v>12113</v>
      </c>
    </row>
    <row r="1149" spans="2:5">
      <c r="B1149" s="418" t="s">
        <v>11326</v>
      </c>
      <c r="C1149" s="411">
        <v>275</v>
      </c>
      <c r="D1149" s="412">
        <v>45447</v>
      </c>
      <c r="E1149" s="424"/>
    </row>
    <row r="1150" spans="2:5">
      <c r="B1150" s="418" t="s">
        <v>11326</v>
      </c>
      <c r="C1150" s="411">
        <v>262</v>
      </c>
      <c r="D1150" s="412">
        <v>45447</v>
      </c>
      <c r="E1150" s="424" t="s">
        <v>12114</v>
      </c>
    </row>
    <row r="1151" spans="2:5">
      <c r="B1151" s="418" t="s">
        <v>11326</v>
      </c>
      <c r="C1151" s="411">
        <v>249</v>
      </c>
      <c r="D1151" s="412">
        <v>45447</v>
      </c>
      <c r="E1151" s="424" t="s">
        <v>12115</v>
      </c>
    </row>
    <row r="1152" spans="2:5">
      <c r="B1152" s="418" t="s">
        <v>11326</v>
      </c>
      <c r="C1152" s="411">
        <v>240</v>
      </c>
      <c r="D1152" s="412">
        <v>45447</v>
      </c>
      <c r="E1152" s="424" t="s">
        <v>12116</v>
      </c>
    </row>
    <row r="1153" spans="2:5">
      <c r="B1153" s="418" t="s">
        <v>11326</v>
      </c>
      <c r="C1153" s="411">
        <v>239</v>
      </c>
      <c r="D1153" s="412">
        <v>45447</v>
      </c>
      <c r="E1153" s="424"/>
    </row>
    <row r="1154" spans="2:5">
      <c r="B1154" s="418" t="s">
        <v>11326</v>
      </c>
      <c r="C1154" s="411">
        <v>238</v>
      </c>
      <c r="D1154" s="412">
        <v>45447</v>
      </c>
      <c r="E1154" s="424"/>
    </row>
    <row r="1155" spans="2:5">
      <c r="B1155" s="418" t="s">
        <v>11326</v>
      </c>
      <c r="C1155" s="411">
        <v>237</v>
      </c>
      <c r="D1155" s="412">
        <v>45447</v>
      </c>
      <c r="E1155" s="424"/>
    </row>
    <row r="1156" spans="2:5">
      <c r="B1156" s="418" t="s">
        <v>11326</v>
      </c>
      <c r="C1156" s="411">
        <v>234</v>
      </c>
      <c r="D1156" s="412">
        <v>45447</v>
      </c>
      <c r="E1156" s="424" t="s">
        <v>12117</v>
      </c>
    </row>
    <row r="1157" spans="2:5">
      <c r="B1157" s="418" t="s">
        <v>11326</v>
      </c>
      <c r="C1157" s="411">
        <v>222</v>
      </c>
      <c r="D1157" s="412">
        <v>45447</v>
      </c>
      <c r="E1157" s="424"/>
    </row>
    <row r="1158" spans="2:5">
      <c r="B1158" s="418" t="s">
        <v>11326</v>
      </c>
      <c r="C1158" s="411">
        <v>209</v>
      </c>
      <c r="D1158" s="412">
        <v>45447</v>
      </c>
      <c r="E1158" s="424" t="s">
        <v>12118</v>
      </c>
    </row>
    <row r="1159" spans="2:5">
      <c r="B1159" s="418" t="s">
        <v>11326</v>
      </c>
      <c r="C1159" s="411">
        <v>198</v>
      </c>
      <c r="D1159" s="412">
        <v>45447</v>
      </c>
      <c r="E1159" s="424"/>
    </row>
    <row r="1160" spans="2:5">
      <c r="B1160" s="418" t="s">
        <v>11326</v>
      </c>
      <c r="C1160" s="411">
        <v>192</v>
      </c>
      <c r="D1160" s="412">
        <v>45447</v>
      </c>
      <c r="E1160" s="424"/>
    </row>
    <row r="1161" spans="2:5">
      <c r="B1161" s="418" t="s">
        <v>11326</v>
      </c>
      <c r="C1161" s="411">
        <v>183</v>
      </c>
      <c r="D1161" s="412">
        <v>45447</v>
      </c>
      <c r="E1161" s="424"/>
    </row>
    <row r="1162" spans="2:5">
      <c r="B1162" s="418" t="s">
        <v>11326</v>
      </c>
      <c r="C1162" s="411">
        <v>177</v>
      </c>
      <c r="D1162" s="412">
        <v>45447</v>
      </c>
      <c r="E1162" s="424" t="s">
        <v>12119</v>
      </c>
    </row>
    <row r="1163" spans="2:5">
      <c r="B1163" s="418" t="s">
        <v>11326</v>
      </c>
      <c r="C1163" s="411">
        <v>153</v>
      </c>
      <c r="D1163" s="412">
        <v>45447</v>
      </c>
      <c r="E1163" s="424" t="s">
        <v>12120</v>
      </c>
    </row>
    <row r="1164" spans="2:5">
      <c r="B1164" s="418" t="s">
        <v>11326</v>
      </c>
      <c r="C1164" s="411">
        <v>150</v>
      </c>
      <c r="D1164" s="412">
        <v>45447</v>
      </c>
      <c r="E1164" s="424" t="s">
        <v>12121</v>
      </c>
    </row>
    <row r="1165" spans="2:5">
      <c r="B1165" s="418" t="s">
        <v>11326</v>
      </c>
      <c r="C1165" s="411">
        <v>147</v>
      </c>
      <c r="D1165" s="412">
        <v>45447</v>
      </c>
      <c r="E1165" s="424"/>
    </row>
    <row r="1166" spans="2:5">
      <c r="B1166" s="418" t="s">
        <v>11326</v>
      </c>
      <c r="C1166" s="411">
        <v>146</v>
      </c>
      <c r="D1166" s="412">
        <v>45447</v>
      </c>
      <c r="E1166" s="424"/>
    </row>
    <row r="1167" spans="2:5">
      <c r="B1167" s="418" t="s">
        <v>11326</v>
      </c>
      <c r="C1167" s="411">
        <v>144</v>
      </c>
      <c r="D1167" s="412">
        <v>45447</v>
      </c>
      <c r="E1167" s="424" t="s">
        <v>12122</v>
      </c>
    </row>
    <row r="1168" spans="2:5">
      <c r="B1168" s="418" t="s">
        <v>11326</v>
      </c>
      <c r="C1168" s="411">
        <v>135</v>
      </c>
      <c r="D1168" s="412">
        <v>45447</v>
      </c>
      <c r="E1168" s="424"/>
    </row>
    <row r="1169" spans="2:5">
      <c r="B1169" s="418" t="s">
        <v>11326</v>
      </c>
      <c r="C1169" s="411">
        <v>134</v>
      </c>
      <c r="D1169" s="412">
        <v>45447</v>
      </c>
      <c r="E1169" s="424" t="s">
        <v>12123</v>
      </c>
    </row>
    <row r="1170" spans="2:5">
      <c r="B1170" s="418" t="s">
        <v>11326</v>
      </c>
      <c r="C1170" s="411">
        <v>133</v>
      </c>
      <c r="D1170" s="412">
        <v>45447</v>
      </c>
      <c r="E1170" s="424" t="s">
        <v>12124</v>
      </c>
    </row>
    <row r="1171" spans="2:5">
      <c r="B1171" s="418" t="s">
        <v>11326</v>
      </c>
      <c r="C1171" s="411">
        <v>132</v>
      </c>
      <c r="D1171" s="412">
        <v>45447</v>
      </c>
      <c r="E1171" s="424" t="s">
        <v>12125</v>
      </c>
    </row>
    <row r="1172" spans="2:5">
      <c r="B1172" s="418" t="s">
        <v>11326</v>
      </c>
      <c r="C1172" s="411">
        <v>131</v>
      </c>
      <c r="D1172" s="412">
        <v>45447</v>
      </c>
      <c r="E1172" s="424" t="s">
        <v>12126</v>
      </c>
    </row>
    <row r="1173" spans="2:5">
      <c r="B1173" s="418" t="s">
        <v>11326</v>
      </c>
      <c r="C1173" s="411">
        <v>127</v>
      </c>
      <c r="D1173" s="412">
        <v>45447</v>
      </c>
      <c r="E1173" s="424"/>
    </row>
    <row r="1174" spans="2:5">
      <c r="B1174" s="418" t="s">
        <v>11326</v>
      </c>
      <c r="C1174" s="411">
        <v>125</v>
      </c>
      <c r="D1174" s="412">
        <v>45447</v>
      </c>
      <c r="E1174" s="424"/>
    </row>
    <row r="1175" spans="2:5">
      <c r="B1175" s="418" t="s">
        <v>11326</v>
      </c>
      <c r="C1175" s="411">
        <v>120</v>
      </c>
      <c r="D1175" s="412">
        <v>45447</v>
      </c>
      <c r="E1175" s="424" t="s">
        <v>12127</v>
      </c>
    </row>
    <row r="1176" spans="2:5">
      <c r="B1176" s="418" t="s">
        <v>11326</v>
      </c>
      <c r="C1176" s="411">
        <v>118</v>
      </c>
      <c r="D1176" s="412">
        <v>45447</v>
      </c>
      <c r="E1176" s="424" t="s">
        <v>12128</v>
      </c>
    </row>
    <row r="1177" spans="2:5">
      <c r="B1177" s="418" t="s">
        <v>11326</v>
      </c>
      <c r="C1177" s="411">
        <v>116</v>
      </c>
      <c r="D1177" s="412">
        <v>45447</v>
      </c>
      <c r="E1177" s="424"/>
    </row>
    <row r="1178" spans="2:5">
      <c r="B1178" s="418" t="s">
        <v>11326</v>
      </c>
      <c r="C1178" s="411">
        <v>104</v>
      </c>
      <c r="D1178" s="412">
        <v>45447</v>
      </c>
      <c r="E1178" s="424" t="s">
        <v>12129</v>
      </c>
    </row>
    <row r="1179" spans="2:5">
      <c r="B1179" s="418" t="s">
        <v>11326</v>
      </c>
      <c r="C1179" s="411">
        <v>93</v>
      </c>
      <c r="D1179" s="412">
        <v>45447</v>
      </c>
      <c r="E1179" s="424"/>
    </row>
    <row r="1180" spans="2:5">
      <c r="B1180" s="418" t="s">
        <v>11326</v>
      </c>
      <c r="C1180" s="411">
        <v>92</v>
      </c>
      <c r="D1180" s="412">
        <v>45447</v>
      </c>
      <c r="E1180" s="424"/>
    </row>
    <row r="1181" spans="2:5">
      <c r="B1181" s="418" t="s">
        <v>11326</v>
      </c>
      <c r="C1181" s="411">
        <v>85</v>
      </c>
      <c r="D1181" s="412">
        <v>45447</v>
      </c>
      <c r="E1181" s="424"/>
    </row>
    <row r="1182" spans="2:5">
      <c r="B1182" s="418" t="s">
        <v>11326</v>
      </c>
      <c r="C1182" s="411">
        <v>83</v>
      </c>
      <c r="D1182" s="412">
        <v>45447</v>
      </c>
      <c r="E1182" s="424"/>
    </row>
    <row r="1183" spans="2:5">
      <c r="B1183" s="418" t="s">
        <v>11326</v>
      </c>
      <c r="C1183" s="411">
        <v>81</v>
      </c>
      <c r="D1183" s="412">
        <v>45447</v>
      </c>
      <c r="E1183" s="424" t="s">
        <v>12130</v>
      </c>
    </row>
    <row r="1184" spans="2:5">
      <c r="B1184" s="418" t="s">
        <v>11326</v>
      </c>
      <c r="C1184" s="411">
        <v>80</v>
      </c>
      <c r="D1184" s="412">
        <v>45447</v>
      </c>
      <c r="E1184" s="424" t="s">
        <v>12131</v>
      </c>
    </row>
    <row r="1185" spans="2:5">
      <c r="B1185" s="418" t="s">
        <v>11326</v>
      </c>
      <c r="C1185" s="411">
        <v>79</v>
      </c>
      <c r="D1185" s="412">
        <v>45447</v>
      </c>
      <c r="E1185" s="424" t="s">
        <v>12132</v>
      </c>
    </row>
    <row r="1186" spans="2:5">
      <c r="B1186" s="418" t="s">
        <v>11326</v>
      </c>
      <c r="C1186" s="411">
        <v>75</v>
      </c>
      <c r="D1186" s="412">
        <v>45447</v>
      </c>
      <c r="E1186" s="424" t="s">
        <v>12133</v>
      </c>
    </row>
    <row r="1187" spans="2:5">
      <c r="B1187" s="418" t="s">
        <v>11326</v>
      </c>
      <c r="C1187" s="411">
        <v>73</v>
      </c>
      <c r="D1187" s="412">
        <v>45447</v>
      </c>
      <c r="E1187" s="424" t="s">
        <v>12134</v>
      </c>
    </row>
    <row r="1188" spans="2:5">
      <c r="B1188" s="418" t="s">
        <v>11326</v>
      </c>
      <c r="C1188" s="411">
        <v>71</v>
      </c>
      <c r="D1188" s="412">
        <v>45447</v>
      </c>
      <c r="E1188" s="424"/>
    </row>
    <row r="1189" spans="2:5">
      <c r="B1189" s="418" t="s">
        <v>11326</v>
      </c>
      <c r="C1189" s="411">
        <v>69</v>
      </c>
      <c r="D1189" s="412">
        <v>45447</v>
      </c>
      <c r="E1189" s="424"/>
    </row>
    <row r="1190" spans="2:5">
      <c r="B1190" s="418" t="s">
        <v>11326</v>
      </c>
      <c r="C1190" s="411">
        <v>62</v>
      </c>
      <c r="D1190" s="412">
        <v>45447</v>
      </c>
      <c r="E1190" s="424"/>
    </row>
    <row r="1191" spans="2:5">
      <c r="B1191" s="418" t="s">
        <v>11326</v>
      </c>
      <c r="C1191" s="411">
        <v>61</v>
      </c>
      <c r="D1191" s="412">
        <v>45447</v>
      </c>
      <c r="E1191" s="424" t="s">
        <v>12135</v>
      </c>
    </row>
    <row r="1192" spans="2:5">
      <c r="B1192" s="418" t="s">
        <v>11326</v>
      </c>
      <c r="C1192" s="411">
        <v>60</v>
      </c>
      <c r="D1192" s="412">
        <v>45447</v>
      </c>
      <c r="E1192" s="424"/>
    </row>
    <row r="1193" spans="2:5">
      <c r="B1193" s="418" t="s">
        <v>11326</v>
      </c>
      <c r="C1193" s="411">
        <v>59</v>
      </c>
      <c r="D1193" s="412">
        <v>45447</v>
      </c>
      <c r="E1193" s="424"/>
    </row>
    <row r="1194" spans="2:5">
      <c r="B1194" s="418" t="s">
        <v>11326</v>
      </c>
      <c r="C1194" s="411">
        <v>57</v>
      </c>
      <c r="D1194" s="412">
        <v>45447</v>
      </c>
      <c r="E1194" s="424"/>
    </row>
    <row r="1195" spans="2:5">
      <c r="B1195" s="418" t="s">
        <v>11326</v>
      </c>
      <c r="C1195" s="411">
        <v>54</v>
      </c>
      <c r="D1195" s="412">
        <v>45447</v>
      </c>
      <c r="E1195" s="424"/>
    </row>
    <row r="1196" spans="2:5">
      <c r="B1196" s="418" t="s">
        <v>11326</v>
      </c>
      <c r="C1196" s="411">
        <v>53</v>
      </c>
      <c r="D1196" s="412">
        <v>45447</v>
      </c>
      <c r="E1196" s="424"/>
    </row>
    <row r="1197" spans="2:5">
      <c r="B1197" s="418" t="s">
        <v>11326</v>
      </c>
      <c r="C1197" s="411">
        <v>49</v>
      </c>
      <c r="D1197" s="412">
        <v>45447</v>
      </c>
      <c r="E1197" s="424"/>
    </row>
    <row r="1198" spans="2:5">
      <c r="B1198" s="418" t="s">
        <v>11326</v>
      </c>
      <c r="C1198" s="411">
        <v>48</v>
      </c>
      <c r="D1198" s="412">
        <v>45447</v>
      </c>
      <c r="E1198" s="424"/>
    </row>
    <row r="1199" spans="2:5">
      <c r="B1199" s="418" t="s">
        <v>11326</v>
      </c>
      <c r="C1199" s="411">
        <v>47</v>
      </c>
      <c r="D1199" s="412">
        <v>45447</v>
      </c>
      <c r="E1199" s="424"/>
    </row>
    <row r="1200" spans="2:5">
      <c r="B1200" s="418" t="s">
        <v>11326</v>
      </c>
      <c r="C1200" s="411">
        <v>46</v>
      </c>
      <c r="D1200" s="412">
        <v>45447</v>
      </c>
      <c r="E1200" s="424"/>
    </row>
    <row r="1201" spans="2:5">
      <c r="B1201" s="418" t="s">
        <v>11326</v>
      </c>
      <c r="C1201" s="411">
        <v>45</v>
      </c>
      <c r="D1201" s="412">
        <v>45447</v>
      </c>
      <c r="E1201" s="424"/>
    </row>
    <row r="1202" spans="2:5">
      <c r="B1202" s="418" t="s">
        <v>11326</v>
      </c>
      <c r="C1202" s="411">
        <v>44</v>
      </c>
      <c r="D1202" s="412">
        <v>45447</v>
      </c>
      <c r="E1202" s="424"/>
    </row>
    <row r="1203" spans="2:5">
      <c r="B1203" s="418" t="s">
        <v>11326</v>
      </c>
      <c r="C1203" s="411">
        <v>36</v>
      </c>
      <c r="D1203" s="412">
        <v>45447</v>
      </c>
      <c r="E1203" s="424"/>
    </row>
    <row r="1204" spans="2:5">
      <c r="B1204" s="418" t="s">
        <v>11326</v>
      </c>
      <c r="C1204" s="411">
        <v>31</v>
      </c>
      <c r="D1204" s="412">
        <v>45447</v>
      </c>
      <c r="E1204" s="424"/>
    </row>
    <row r="1205" spans="2:5">
      <c r="B1205" s="418" t="s">
        <v>11326</v>
      </c>
      <c r="C1205" s="411">
        <v>30</v>
      </c>
      <c r="D1205" s="412">
        <v>45447</v>
      </c>
      <c r="E1205" s="424"/>
    </row>
    <row r="1206" spans="2:5">
      <c r="B1206" s="418" t="s">
        <v>11326</v>
      </c>
      <c r="C1206" s="411">
        <v>28</v>
      </c>
      <c r="D1206" s="412">
        <v>45447</v>
      </c>
      <c r="E1206" s="424"/>
    </row>
    <row r="1207" spans="2:5">
      <c r="B1207" s="418" t="s">
        <v>11326</v>
      </c>
      <c r="C1207" s="411">
        <v>27</v>
      </c>
      <c r="D1207" s="412">
        <v>45447</v>
      </c>
      <c r="E1207" s="424"/>
    </row>
    <row r="1208" spans="2:5">
      <c r="B1208" s="418" t="s">
        <v>11326</v>
      </c>
      <c r="C1208" s="411">
        <v>24</v>
      </c>
      <c r="D1208" s="412">
        <v>45447</v>
      </c>
      <c r="E1208" s="424"/>
    </row>
    <row r="1209" spans="2:5">
      <c r="B1209" s="418" t="s">
        <v>11326</v>
      </c>
      <c r="C1209" s="411">
        <v>13</v>
      </c>
      <c r="D1209" s="412">
        <v>45447</v>
      </c>
      <c r="E1209" s="424"/>
    </row>
    <row r="1210" spans="2:5">
      <c r="B1210" s="418" t="s">
        <v>11326</v>
      </c>
      <c r="C1210" s="411">
        <v>4</v>
      </c>
      <c r="D1210" s="412">
        <v>45447</v>
      </c>
      <c r="E1210" s="424"/>
    </row>
    <row r="1211" spans="2:5">
      <c r="B1211" s="418" t="s">
        <v>11326</v>
      </c>
      <c r="C1211" s="411">
        <v>1</v>
      </c>
      <c r="D1211" s="412">
        <v>45447</v>
      </c>
      <c r="E1211" s="424"/>
    </row>
    <row r="1212" spans="2:5">
      <c r="B1212" s="410" t="s">
        <v>9836</v>
      </c>
      <c r="C1212" s="411">
        <v>21070</v>
      </c>
      <c r="D1212" s="412">
        <v>45446</v>
      </c>
      <c r="E1212" s="418" t="s">
        <v>11076</v>
      </c>
    </row>
    <row r="1213" spans="2:5">
      <c r="B1213" s="410" t="s">
        <v>9836</v>
      </c>
      <c r="C1213" s="411">
        <v>21064</v>
      </c>
      <c r="D1213" s="412">
        <v>45446</v>
      </c>
      <c r="E1213" s="418" t="s">
        <v>10979</v>
      </c>
    </row>
    <row r="1214" spans="2:5">
      <c r="B1214" s="410" t="s">
        <v>9836</v>
      </c>
      <c r="C1214" s="411">
        <v>21063</v>
      </c>
      <c r="D1214" s="412">
        <v>45446</v>
      </c>
      <c r="E1214" s="418" t="s">
        <v>10980</v>
      </c>
    </row>
    <row r="1215" spans="2:5">
      <c r="B1215" s="410" t="s">
        <v>9836</v>
      </c>
      <c r="C1215" s="411">
        <v>21061</v>
      </c>
      <c r="D1215" s="412">
        <v>45446</v>
      </c>
      <c r="E1215" s="418" t="s">
        <v>10981</v>
      </c>
    </row>
    <row r="1216" spans="2:5">
      <c r="B1216" s="410" t="s">
        <v>9836</v>
      </c>
      <c r="C1216" s="411">
        <v>21060</v>
      </c>
      <c r="D1216" s="412">
        <v>45446</v>
      </c>
      <c r="E1216" s="418" t="s">
        <v>10982</v>
      </c>
    </row>
    <row r="1217" spans="2:5">
      <c r="B1217" s="410" t="s">
        <v>9836</v>
      </c>
      <c r="C1217" s="411">
        <v>21050</v>
      </c>
      <c r="D1217" s="412">
        <v>45446</v>
      </c>
      <c r="E1217" s="418" t="s">
        <v>11077</v>
      </c>
    </row>
    <row r="1218" spans="2:5">
      <c r="B1218" s="410" t="s">
        <v>9836</v>
      </c>
      <c r="C1218" s="411">
        <v>21047</v>
      </c>
      <c r="D1218" s="412">
        <v>45446</v>
      </c>
      <c r="E1218" s="418" t="s">
        <v>11078</v>
      </c>
    </row>
    <row r="1219" spans="2:5">
      <c r="B1219" s="410" t="s">
        <v>9836</v>
      </c>
      <c r="C1219" s="411">
        <v>21046</v>
      </c>
      <c r="D1219" s="412">
        <v>45446</v>
      </c>
      <c r="E1219" s="418" t="s">
        <v>10983</v>
      </c>
    </row>
    <row r="1220" spans="2:5">
      <c r="B1220" s="410" t="s">
        <v>9836</v>
      </c>
      <c r="C1220" s="411">
        <v>21045</v>
      </c>
      <c r="D1220" s="412">
        <v>45446</v>
      </c>
      <c r="E1220" s="418" t="s">
        <v>10984</v>
      </c>
    </row>
    <row r="1221" spans="2:5">
      <c r="B1221" s="410" t="s">
        <v>9836</v>
      </c>
      <c r="C1221" s="411">
        <v>21043</v>
      </c>
      <c r="D1221" s="412">
        <v>45446</v>
      </c>
      <c r="E1221" s="418" t="s">
        <v>10985</v>
      </c>
    </row>
    <row r="1222" spans="2:5">
      <c r="B1222" s="410" t="s">
        <v>9836</v>
      </c>
      <c r="C1222" s="411">
        <v>21042</v>
      </c>
      <c r="D1222" s="412">
        <v>45446</v>
      </c>
      <c r="E1222" s="418" t="s">
        <v>10986</v>
      </c>
    </row>
    <row r="1223" spans="2:5">
      <c r="B1223" s="410" t="s">
        <v>9836</v>
      </c>
      <c r="C1223" s="411">
        <v>21036</v>
      </c>
      <c r="D1223" s="412">
        <v>45446</v>
      </c>
      <c r="E1223" s="418" t="s">
        <v>10987</v>
      </c>
    </row>
    <row r="1224" spans="2:5">
      <c r="B1224" s="410" t="s">
        <v>9836</v>
      </c>
      <c r="C1224" s="411">
        <v>21027</v>
      </c>
      <c r="D1224" s="412">
        <v>45446</v>
      </c>
      <c r="E1224" s="418" t="s">
        <v>11079</v>
      </c>
    </row>
    <row r="1225" spans="2:5">
      <c r="B1225" s="410" t="s">
        <v>9836</v>
      </c>
      <c r="C1225" s="411">
        <v>21021</v>
      </c>
      <c r="D1225" s="412">
        <v>45446</v>
      </c>
      <c r="E1225" s="418" t="s">
        <v>10988</v>
      </c>
    </row>
    <row r="1226" spans="2:5">
      <c r="B1226" s="410" t="s">
        <v>9836</v>
      </c>
      <c r="C1226" s="411">
        <v>21018</v>
      </c>
      <c r="D1226" s="412">
        <v>45446</v>
      </c>
      <c r="E1226" s="418" t="s">
        <v>10989</v>
      </c>
    </row>
    <row r="1227" spans="2:5">
      <c r="B1227" s="410" t="s">
        <v>9836</v>
      </c>
      <c r="C1227" s="411">
        <v>21012</v>
      </c>
      <c r="D1227" s="412">
        <v>45446</v>
      </c>
      <c r="E1227" s="418" t="s">
        <v>10990</v>
      </c>
    </row>
    <row r="1228" spans="2:5">
      <c r="B1228" s="410" t="s">
        <v>9836</v>
      </c>
      <c r="C1228" s="411">
        <v>21003</v>
      </c>
      <c r="D1228" s="412">
        <v>45446</v>
      </c>
      <c r="E1228" s="418" t="s">
        <v>10991</v>
      </c>
    </row>
    <row r="1229" spans="2:5">
      <c r="B1229" s="410" t="s">
        <v>9836</v>
      </c>
      <c r="C1229" s="411">
        <v>20993</v>
      </c>
      <c r="D1229" s="412">
        <v>45446</v>
      </c>
      <c r="E1229" s="418" t="s">
        <v>11080</v>
      </c>
    </row>
    <row r="1230" spans="2:5">
      <c r="B1230" s="410" t="s">
        <v>9836</v>
      </c>
      <c r="C1230" s="411">
        <v>20991</v>
      </c>
      <c r="D1230" s="412">
        <v>45446</v>
      </c>
      <c r="E1230" s="418" t="s">
        <v>11081</v>
      </c>
    </row>
    <row r="1231" spans="2:5">
      <c r="B1231" s="410" t="s">
        <v>9836</v>
      </c>
      <c r="C1231" s="411">
        <v>20990</v>
      </c>
      <c r="D1231" s="412">
        <v>45446</v>
      </c>
      <c r="E1231" s="418" t="s">
        <v>11082</v>
      </c>
    </row>
    <row r="1232" spans="2:5">
      <c r="B1232" s="410" t="s">
        <v>9836</v>
      </c>
      <c r="C1232" s="411">
        <v>20988</v>
      </c>
      <c r="D1232" s="412">
        <v>45446</v>
      </c>
      <c r="E1232" s="418" t="s">
        <v>10992</v>
      </c>
    </row>
    <row r="1233" spans="2:5">
      <c r="B1233" s="410" t="s">
        <v>9836</v>
      </c>
      <c r="C1233" s="411">
        <v>20987</v>
      </c>
      <c r="D1233" s="412">
        <v>45446</v>
      </c>
      <c r="E1233" s="418" t="s">
        <v>11083</v>
      </c>
    </row>
    <row r="1234" spans="2:5">
      <c r="B1234" s="410" t="s">
        <v>9836</v>
      </c>
      <c r="C1234" s="411">
        <v>20986</v>
      </c>
      <c r="D1234" s="412">
        <v>45446</v>
      </c>
      <c r="E1234" s="418" t="s">
        <v>10993</v>
      </c>
    </row>
    <row r="1235" spans="2:5">
      <c r="B1235" s="410" t="s">
        <v>9836</v>
      </c>
      <c r="C1235" s="411">
        <v>20984</v>
      </c>
      <c r="D1235" s="412">
        <v>45446</v>
      </c>
      <c r="E1235" s="418" t="s">
        <v>10994</v>
      </c>
    </row>
    <row r="1236" spans="2:5">
      <c r="B1236" s="410" t="s">
        <v>9836</v>
      </c>
      <c r="C1236" s="411">
        <v>20980</v>
      </c>
      <c r="D1236" s="412">
        <v>45446</v>
      </c>
      <c r="E1236" s="418" t="s">
        <v>11084</v>
      </c>
    </row>
    <row r="1237" spans="2:5">
      <c r="B1237" s="410" t="s">
        <v>9836</v>
      </c>
      <c r="C1237" s="411">
        <v>20975</v>
      </c>
      <c r="D1237" s="412">
        <v>45446</v>
      </c>
      <c r="E1237" s="418" t="s">
        <v>11085</v>
      </c>
    </row>
    <row r="1238" spans="2:5">
      <c r="B1238" s="410" t="s">
        <v>9836</v>
      </c>
      <c r="C1238" s="411">
        <v>20974</v>
      </c>
      <c r="D1238" s="412">
        <v>45446</v>
      </c>
      <c r="E1238" s="418" t="s">
        <v>11086</v>
      </c>
    </row>
    <row r="1239" spans="2:5">
      <c r="B1239" s="410" t="s">
        <v>9836</v>
      </c>
      <c r="C1239" s="411">
        <v>20973</v>
      </c>
      <c r="D1239" s="412">
        <v>45446</v>
      </c>
      <c r="E1239" s="418" t="s">
        <v>10995</v>
      </c>
    </row>
    <row r="1240" spans="2:5">
      <c r="B1240" s="410" t="s">
        <v>9836</v>
      </c>
      <c r="C1240" s="411">
        <v>20971</v>
      </c>
      <c r="D1240" s="412">
        <v>45446</v>
      </c>
      <c r="E1240" s="418" t="s">
        <v>10996</v>
      </c>
    </row>
    <row r="1241" spans="2:5">
      <c r="B1241" s="410" t="s">
        <v>9836</v>
      </c>
      <c r="C1241" s="411">
        <v>20970</v>
      </c>
      <c r="D1241" s="412">
        <v>45446</v>
      </c>
      <c r="E1241" s="418" t="s">
        <v>11087</v>
      </c>
    </row>
    <row r="1242" spans="2:5">
      <c r="B1242" s="410" t="s">
        <v>9836</v>
      </c>
      <c r="C1242" s="411">
        <v>20954</v>
      </c>
      <c r="D1242" s="412">
        <v>45446</v>
      </c>
      <c r="E1242" s="418" t="s">
        <v>10997</v>
      </c>
    </row>
    <row r="1243" spans="2:5">
      <c r="B1243" s="410" t="s">
        <v>9836</v>
      </c>
      <c r="C1243" s="411">
        <v>20935</v>
      </c>
      <c r="D1243" s="412">
        <v>45446</v>
      </c>
      <c r="E1243" s="418" t="s">
        <v>10998</v>
      </c>
    </row>
    <row r="1244" spans="2:5">
      <c r="B1244" s="410" t="s">
        <v>9836</v>
      </c>
      <c r="C1244" s="411">
        <v>20933</v>
      </c>
      <c r="D1244" s="412">
        <v>45446</v>
      </c>
      <c r="E1244" s="418" t="s">
        <v>10999</v>
      </c>
    </row>
    <row r="1245" spans="2:5">
      <c r="B1245" s="410" t="s">
        <v>9836</v>
      </c>
      <c r="C1245" s="411">
        <v>20917</v>
      </c>
      <c r="D1245" s="412">
        <v>45446</v>
      </c>
      <c r="E1245" s="418" t="s">
        <v>11088</v>
      </c>
    </row>
    <row r="1246" spans="2:5">
      <c r="B1246" s="410" t="s">
        <v>9836</v>
      </c>
      <c r="C1246" s="411">
        <v>20915</v>
      </c>
      <c r="D1246" s="412">
        <v>45446</v>
      </c>
      <c r="E1246" s="418" t="s">
        <v>11000</v>
      </c>
    </row>
    <row r="1247" spans="2:5">
      <c r="B1247" s="410" t="s">
        <v>9836</v>
      </c>
      <c r="C1247" s="411">
        <v>20905</v>
      </c>
      <c r="D1247" s="412">
        <v>45446</v>
      </c>
      <c r="E1247" s="418" t="s">
        <v>11001</v>
      </c>
    </row>
    <row r="1248" spans="2:5">
      <c r="B1248" s="410" t="s">
        <v>9836</v>
      </c>
      <c r="C1248" s="411">
        <v>20887</v>
      </c>
      <c r="D1248" s="412">
        <v>45446</v>
      </c>
      <c r="E1248" s="418" t="s">
        <v>11089</v>
      </c>
    </row>
    <row r="1249" spans="2:5">
      <c r="B1249" s="410" t="s">
        <v>9836</v>
      </c>
      <c r="C1249" s="411">
        <v>20882</v>
      </c>
      <c r="D1249" s="412">
        <v>45446</v>
      </c>
      <c r="E1249" s="418" t="s">
        <v>11002</v>
      </c>
    </row>
    <row r="1250" spans="2:5">
      <c r="B1250" s="410" t="s">
        <v>9836</v>
      </c>
      <c r="C1250" s="411">
        <v>20879</v>
      </c>
      <c r="D1250" s="412">
        <v>45446</v>
      </c>
      <c r="E1250" s="418" t="s">
        <v>11003</v>
      </c>
    </row>
    <row r="1251" spans="2:5">
      <c r="B1251" s="410" t="s">
        <v>9836</v>
      </c>
      <c r="C1251" s="411">
        <v>20877</v>
      </c>
      <c r="D1251" s="412">
        <v>45446</v>
      </c>
      <c r="E1251" s="418" t="s">
        <v>11090</v>
      </c>
    </row>
    <row r="1252" spans="2:5">
      <c r="B1252" s="410" t="s">
        <v>9836</v>
      </c>
      <c r="C1252" s="411">
        <v>20860</v>
      </c>
      <c r="D1252" s="412">
        <v>45446</v>
      </c>
      <c r="E1252" s="418" t="s">
        <v>11004</v>
      </c>
    </row>
    <row r="1253" spans="2:5">
      <c r="B1253" s="410" t="s">
        <v>9836</v>
      </c>
      <c r="C1253" s="411">
        <v>20848</v>
      </c>
      <c r="D1253" s="412">
        <v>45446</v>
      </c>
      <c r="E1253" s="418" t="s">
        <v>11091</v>
      </c>
    </row>
    <row r="1254" spans="2:5">
      <c r="B1254" s="410" t="s">
        <v>9836</v>
      </c>
      <c r="C1254" s="411">
        <v>20838</v>
      </c>
      <c r="D1254" s="412">
        <v>45446</v>
      </c>
      <c r="E1254" s="418" t="s">
        <v>11005</v>
      </c>
    </row>
    <row r="1255" spans="2:5">
      <c r="B1255" s="410" t="s">
        <v>9836</v>
      </c>
      <c r="C1255" s="411">
        <v>20836</v>
      </c>
      <c r="D1255" s="412">
        <v>45446</v>
      </c>
      <c r="E1255" s="418" t="s">
        <v>11092</v>
      </c>
    </row>
    <row r="1256" spans="2:5">
      <c r="B1256" s="410" t="s">
        <v>9836</v>
      </c>
      <c r="C1256" s="411">
        <v>20835</v>
      </c>
      <c r="D1256" s="412">
        <v>45446</v>
      </c>
      <c r="E1256" s="418" t="s">
        <v>11006</v>
      </c>
    </row>
    <row r="1257" spans="2:5">
      <c r="B1257" s="410" t="s">
        <v>9836</v>
      </c>
      <c r="C1257" s="411">
        <v>20830</v>
      </c>
      <c r="D1257" s="412">
        <v>45446</v>
      </c>
      <c r="E1257" s="418" t="s">
        <v>11093</v>
      </c>
    </row>
    <row r="1258" spans="2:5">
      <c r="B1258" s="410" t="s">
        <v>9836</v>
      </c>
      <c r="C1258" s="411">
        <v>20829</v>
      </c>
      <c r="D1258" s="412">
        <v>45446</v>
      </c>
      <c r="E1258" s="418" t="s">
        <v>11094</v>
      </c>
    </row>
    <row r="1259" spans="2:5">
      <c r="B1259" s="410" t="s">
        <v>9836</v>
      </c>
      <c r="C1259" s="411">
        <v>20825</v>
      </c>
      <c r="D1259" s="412">
        <v>45446</v>
      </c>
      <c r="E1259" s="418" t="s">
        <v>11095</v>
      </c>
    </row>
    <row r="1260" spans="2:5">
      <c r="B1260" s="410" t="s">
        <v>9836</v>
      </c>
      <c r="C1260" s="411">
        <v>20824</v>
      </c>
      <c r="D1260" s="412">
        <v>45446</v>
      </c>
      <c r="E1260" s="418" t="s">
        <v>11007</v>
      </c>
    </row>
    <row r="1261" spans="2:5">
      <c r="B1261" s="410" t="s">
        <v>9836</v>
      </c>
      <c r="C1261" s="411">
        <v>20821</v>
      </c>
      <c r="D1261" s="412">
        <v>45446</v>
      </c>
      <c r="E1261" s="418" t="s">
        <v>11008</v>
      </c>
    </row>
    <row r="1262" spans="2:5">
      <c r="B1262" s="410" t="s">
        <v>9836</v>
      </c>
      <c r="C1262" s="411">
        <v>20808</v>
      </c>
      <c r="D1262" s="412">
        <v>45446</v>
      </c>
      <c r="E1262" s="418" t="s">
        <v>11096</v>
      </c>
    </row>
    <row r="1263" spans="2:5">
      <c r="B1263" s="410" t="s">
        <v>9836</v>
      </c>
      <c r="C1263" s="411">
        <v>20800</v>
      </c>
      <c r="D1263" s="412">
        <v>45446</v>
      </c>
      <c r="E1263" s="418" t="s">
        <v>11009</v>
      </c>
    </row>
    <row r="1264" spans="2:5">
      <c r="B1264" s="410" t="s">
        <v>9836</v>
      </c>
      <c r="C1264" s="411">
        <v>20799</v>
      </c>
      <c r="D1264" s="412">
        <v>45446</v>
      </c>
      <c r="E1264" s="418" t="s">
        <v>11097</v>
      </c>
    </row>
    <row r="1265" spans="2:5">
      <c r="B1265" s="410" t="s">
        <v>9836</v>
      </c>
      <c r="C1265" s="411">
        <v>20797</v>
      </c>
      <c r="D1265" s="412">
        <v>45446</v>
      </c>
      <c r="E1265" s="418" t="s">
        <v>11098</v>
      </c>
    </row>
    <row r="1266" spans="2:5">
      <c r="B1266" s="410" t="s">
        <v>9836</v>
      </c>
      <c r="C1266" s="411">
        <v>20794</v>
      </c>
      <c r="D1266" s="412">
        <v>45446</v>
      </c>
      <c r="E1266" s="418" t="s">
        <v>11010</v>
      </c>
    </row>
    <row r="1267" spans="2:5">
      <c r="B1267" s="410" t="s">
        <v>9836</v>
      </c>
      <c r="C1267" s="411">
        <v>20791</v>
      </c>
      <c r="D1267" s="412">
        <v>45446</v>
      </c>
      <c r="E1267" s="418" t="s">
        <v>11099</v>
      </c>
    </row>
    <row r="1268" spans="2:5">
      <c r="B1268" s="410" t="s">
        <v>9836</v>
      </c>
      <c r="C1268" s="411">
        <v>20790</v>
      </c>
      <c r="D1268" s="412">
        <v>45446</v>
      </c>
      <c r="E1268" s="418" t="s">
        <v>11014</v>
      </c>
    </row>
    <row r="1269" spans="2:5">
      <c r="B1269" s="410" t="s">
        <v>9836</v>
      </c>
      <c r="C1269" s="411">
        <v>20778</v>
      </c>
      <c r="D1269" s="412">
        <v>45446</v>
      </c>
      <c r="E1269" s="418" t="s">
        <v>11100</v>
      </c>
    </row>
    <row r="1270" spans="2:5">
      <c r="B1270" s="410" t="s">
        <v>9836</v>
      </c>
      <c r="C1270" s="411">
        <v>20777</v>
      </c>
      <c r="D1270" s="412">
        <v>45446</v>
      </c>
      <c r="E1270" s="418" t="s">
        <v>11101</v>
      </c>
    </row>
    <row r="1271" spans="2:5">
      <c r="B1271" s="410" t="s">
        <v>9836</v>
      </c>
      <c r="C1271" s="411">
        <v>20776</v>
      </c>
      <c r="D1271" s="412">
        <v>45446</v>
      </c>
      <c r="E1271" s="418" t="s">
        <v>11102</v>
      </c>
    </row>
    <row r="1272" spans="2:5">
      <c r="B1272" s="410" t="s">
        <v>9836</v>
      </c>
      <c r="C1272" s="411">
        <v>20772</v>
      </c>
      <c r="D1272" s="412">
        <v>45446</v>
      </c>
      <c r="E1272" s="418" t="s">
        <v>11013</v>
      </c>
    </row>
    <row r="1273" spans="2:5">
      <c r="B1273" s="410" t="s">
        <v>9836</v>
      </c>
      <c r="C1273" s="411">
        <v>20771</v>
      </c>
      <c r="D1273" s="412">
        <v>45446</v>
      </c>
      <c r="E1273" s="418" t="s">
        <v>11103</v>
      </c>
    </row>
    <row r="1274" spans="2:5">
      <c r="B1274" s="410" t="s">
        <v>9836</v>
      </c>
      <c r="C1274" s="411">
        <v>20769</v>
      </c>
      <c r="D1274" s="412">
        <v>45446</v>
      </c>
      <c r="E1274" s="418" t="s">
        <v>11104</v>
      </c>
    </row>
    <row r="1275" spans="2:5">
      <c r="B1275" s="410" t="s">
        <v>9836</v>
      </c>
      <c r="C1275" s="411">
        <v>20768</v>
      </c>
      <c r="D1275" s="412">
        <v>45446</v>
      </c>
      <c r="E1275" s="418" t="s">
        <v>11105</v>
      </c>
    </row>
    <row r="1276" spans="2:5">
      <c r="B1276" s="410" t="s">
        <v>9836</v>
      </c>
      <c r="C1276" s="411">
        <v>20764</v>
      </c>
      <c r="D1276" s="412">
        <v>45453</v>
      </c>
      <c r="E1276" s="424" t="s">
        <v>12494</v>
      </c>
    </row>
    <row r="1277" spans="2:5">
      <c r="B1277" s="410" t="s">
        <v>9836</v>
      </c>
      <c r="C1277" s="411">
        <v>20763</v>
      </c>
      <c r="D1277" s="412">
        <v>45446</v>
      </c>
      <c r="E1277" s="418" t="s">
        <v>11012</v>
      </c>
    </row>
    <row r="1278" spans="2:5">
      <c r="B1278" s="410" t="s">
        <v>9836</v>
      </c>
      <c r="C1278" s="411">
        <v>20761</v>
      </c>
      <c r="D1278" s="412">
        <v>45446</v>
      </c>
      <c r="E1278" s="418" t="s">
        <v>11011</v>
      </c>
    </row>
    <row r="1279" spans="2:5">
      <c r="B1279" s="410" t="s">
        <v>9836</v>
      </c>
      <c r="C1279" s="411">
        <v>20759</v>
      </c>
      <c r="D1279" s="412">
        <v>45446</v>
      </c>
      <c r="E1279" s="418" t="s">
        <v>11015</v>
      </c>
    </row>
    <row r="1280" spans="2:5">
      <c r="B1280" s="410" t="s">
        <v>9836</v>
      </c>
      <c r="C1280" s="411">
        <v>20748</v>
      </c>
      <c r="D1280" s="412">
        <v>45446</v>
      </c>
      <c r="E1280" s="418" t="s">
        <v>11106</v>
      </c>
    </row>
    <row r="1281" spans="2:5">
      <c r="B1281" s="410" t="s">
        <v>9836</v>
      </c>
      <c r="C1281" s="411">
        <v>20743</v>
      </c>
      <c r="D1281" s="412">
        <v>45446</v>
      </c>
      <c r="E1281" s="418" t="s">
        <v>11107</v>
      </c>
    </row>
    <row r="1282" spans="2:5">
      <c r="B1282" s="410" t="s">
        <v>9836</v>
      </c>
      <c r="C1282" s="411">
        <v>20738</v>
      </c>
      <c r="D1282" s="412">
        <v>45446</v>
      </c>
      <c r="E1282" s="418" t="s">
        <v>11016</v>
      </c>
    </row>
    <row r="1283" spans="2:5">
      <c r="B1283" s="410" t="s">
        <v>9836</v>
      </c>
      <c r="C1283" s="411">
        <v>20731</v>
      </c>
      <c r="D1283" s="412">
        <v>45446</v>
      </c>
      <c r="E1283" s="418" t="s">
        <v>11108</v>
      </c>
    </row>
    <row r="1284" spans="2:5">
      <c r="B1284" s="410" t="s">
        <v>9836</v>
      </c>
      <c r="C1284" s="411">
        <v>20724</v>
      </c>
      <c r="D1284" s="412">
        <v>45446</v>
      </c>
      <c r="E1284" s="418" t="s">
        <v>11017</v>
      </c>
    </row>
    <row r="1285" spans="2:5">
      <c r="B1285" s="410" t="s">
        <v>9836</v>
      </c>
      <c r="C1285" s="411">
        <v>20717</v>
      </c>
      <c r="D1285" s="412">
        <v>45446</v>
      </c>
      <c r="E1285" s="418" t="s">
        <v>11109</v>
      </c>
    </row>
    <row r="1286" spans="2:5">
      <c r="B1286" s="410" t="s">
        <v>9836</v>
      </c>
      <c r="C1286" s="411">
        <v>20692</v>
      </c>
      <c r="D1286" s="412">
        <v>45446</v>
      </c>
      <c r="E1286" s="418" t="s">
        <v>11018</v>
      </c>
    </row>
    <row r="1287" spans="2:5">
      <c r="B1287" s="410" t="s">
        <v>9836</v>
      </c>
      <c r="C1287" s="411">
        <v>20690</v>
      </c>
      <c r="D1287" s="412">
        <v>45446</v>
      </c>
      <c r="E1287" s="418" t="s">
        <v>11019</v>
      </c>
    </row>
    <row r="1288" spans="2:5">
      <c r="B1288" s="410" t="s">
        <v>9836</v>
      </c>
      <c r="C1288" s="411">
        <v>20687</v>
      </c>
      <c r="D1288" s="412">
        <v>45446</v>
      </c>
      <c r="E1288" s="418" t="s">
        <v>11110</v>
      </c>
    </row>
    <row r="1289" spans="2:5">
      <c r="B1289" s="410" t="s">
        <v>9836</v>
      </c>
      <c r="C1289" s="411">
        <v>20685</v>
      </c>
      <c r="D1289" s="412">
        <v>45446</v>
      </c>
      <c r="E1289" s="418" t="s">
        <v>11020</v>
      </c>
    </row>
    <row r="1290" spans="2:5">
      <c r="B1290" s="410" t="s">
        <v>9836</v>
      </c>
      <c r="C1290" s="411">
        <v>20678</v>
      </c>
      <c r="D1290" s="412">
        <v>45446</v>
      </c>
      <c r="E1290" s="418" t="s">
        <v>11021</v>
      </c>
    </row>
    <row r="1291" spans="2:5">
      <c r="B1291" s="410" t="s">
        <v>9836</v>
      </c>
      <c r="C1291" s="411">
        <v>20677</v>
      </c>
      <c r="D1291" s="412">
        <v>45446</v>
      </c>
      <c r="E1291" s="418" t="s">
        <v>11022</v>
      </c>
    </row>
    <row r="1292" spans="2:5">
      <c r="B1292" s="410" t="s">
        <v>9836</v>
      </c>
      <c r="C1292" s="411">
        <v>20675</v>
      </c>
      <c r="D1292" s="412">
        <v>45446</v>
      </c>
      <c r="E1292" s="418" t="s">
        <v>11111</v>
      </c>
    </row>
    <row r="1293" spans="2:5">
      <c r="B1293" s="410" t="s">
        <v>9836</v>
      </c>
      <c r="C1293" s="411">
        <v>20671</v>
      </c>
      <c r="D1293" s="412">
        <v>45446</v>
      </c>
      <c r="E1293" s="418" t="s">
        <v>11025</v>
      </c>
    </row>
    <row r="1294" spans="2:5">
      <c r="B1294" s="410" t="s">
        <v>9836</v>
      </c>
      <c r="C1294" s="411">
        <v>20668</v>
      </c>
      <c r="D1294" s="412">
        <v>45446</v>
      </c>
      <c r="E1294" s="418" t="s">
        <v>11112</v>
      </c>
    </row>
    <row r="1295" spans="2:5">
      <c r="B1295" s="410" t="s">
        <v>9836</v>
      </c>
      <c r="C1295" s="411">
        <v>20664</v>
      </c>
      <c r="D1295" s="412">
        <v>45446</v>
      </c>
      <c r="E1295" s="418" t="s">
        <v>11024</v>
      </c>
    </row>
    <row r="1296" spans="2:5">
      <c r="B1296" s="410" t="s">
        <v>9836</v>
      </c>
      <c r="C1296" s="411">
        <v>20657</v>
      </c>
      <c r="D1296" s="412">
        <v>45453</v>
      </c>
      <c r="E1296" s="424" t="s">
        <v>12399</v>
      </c>
    </row>
    <row r="1297" spans="2:5">
      <c r="B1297" s="410" t="s">
        <v>9836</v>
      </c>
      <c r="C1297" s="411">
        <v>20652</v>
      </c>
      <c r="D1297" s="412">
        <v>45446</v>
      </c>
      <c r="E1297" s="418" t="s">
        <v>11023</v>
      </c>
    </row>
    <row r="1298" spans="2:5">
      <c r="B1298" s="410" t="s">
        <v>9836</v>
      </c>
      <c r="C1298" s="411">
        <v>20649</v>
      </c>
      <c r="D1298" s="412">
        <v>45446</v>
      </c>
      <c r="E1298" s="418" t="s">
        <v>11113</v>
      </c>
    </row>
    <row r="1299" spans="2:5">
      <c r="B1299" s="410" t="s">
        <v>9836</v>
      </c>
      <c r="C1299" s="411">
        <v>20648</v>
      </c>
      <c r="D1299" s="412">
        <v>45446</v>
      </c>
      <c r="E1299" s="418" t="s">
        <v>11114</v>
      </c>
    </row>
    <row r="1300" spans="2:5">
      <c r="B1300" s="410" t="s">
        <v>9836</v>
      </c>
      <c r="C1300" s="411">
        <v>20642</v>
      </c>
      <c r="D1300" s="412">
        <v>45446</v>
      </c>
      <c r="E1300" s="418" t="s">
        <v>11028</v>
      </c>
    </row>
    <row r="1301" spans="2:5">
      <c r="B1301" s="410" t="s">
        <v>9836</v>
      </c>
      <c r="C1301" s="411">
        <v>20640</v>
      </c>
      <c r="D1301" s="412">
        <v>45446</v>
      </c>
      <c r="E1301" s="418" t="s">
        <v>11027</v>
      </c>
    </row>
    <row r="1302" spans="2:5">
      <c r="B1302" s="410" t="s">
        <v>9836</v>
      </c>
      <c r="C1302" s="411">
        <v>20630</v>
      </c>
      <c r="D1302" s="412">
        <v>45446</v>
      </c>
      <c r="E1302" s="418" t="s">
        <v>11026</v>
      </c>
    </row>
    <row r="1303" spans="2:5">
      <c r="B1303" s="410" t="s">
        <v>9836</v>
      </c>
      <c r="C1303" s="411">
        <v>20623</v>
      </c>
      <c r="D1303" s="412">
        <v>45446</v>
      </c>
      <c r="E1303" s="418" t="s">
        <v>11029</v>
      </c>
    </row>
    <row r="1304" spans="2:5">
      <c r="B1304" s="410" t="s">
        <v>9836</v>
      </c>
      <c r="C1304" s="411">
        <v>20622</v>
      </c>
      <c r="D1304" s="412">
        <v>45446</v>
      </c>
      <c r="E1304" s="418" t="s">
        <v>11030</v>
      </c>
    </row>
    <row r="1305" spans="2:5">
      <c r="B1305" s="410" t="s">
        <v>9836</v>
      </c>
      <c r="C1305" s="411">
        <v>20620</v>
      </c>
      <c r="D1305" s="412">
        <v>45446</v>
      </c>
      <c r="E1305" s="418" t="s">
        <v>11031</v>
      </c>
    </row>
    <row r="1306" spans="2:5">
      <c r="B1306" s="410" t="s">
        <v>9836</v>
      </c>
      <c r="C1306" s="411">
        <v>20611</v>
      </c>
      <c r="D1306" s="412">
        <v>45446</v>
      </c>
      <c r="E1306" s="418" t="s">
        <v>11115</v>
      </c>
    </row>
    <row r="1307" spans="2:5">
      <c r="B1307" s="410" t="s">
        <v>9836</v>
      </c>
      <c r="C1307" s="411">
        <v>20606</v>
      </c>
      <c r="D1307" s="412">
        <v>45446</v>
      </c>
      <c r="E1307" s="418" t="s">
        <v>11116</v>
      </c>
    </row>
    <row r="1308" spans="2:5">
      <c r="B1308" s="410" t="s">
        <v>9836</v>
      </c>
      <c r="C1308" s="411">
        <v>20605</v>
      </c>
      <c r="D1308" s="412">
        <v>45446</v>
      </c>
      <c r="E1308" s="418" t="s">
        <v>11032</v>
      </c>
    </row>
    <row r="1309" spans="2:5">
      <c r="B1309" s="410" t="s">
        <v>9836</v>
      </c>
      <c r="C1309" s="411">
        <v>20603</v>
      </c>
      <c r="D1309" s="412">
        <v>45446</v>
      </c>
      <c r="E1309" s="418" t="s">
        <v>11033</v>
      </c>
    </row>
    <row r="1310" spans="2:5">
      <c r="B1310" s="410" t="s">
        <v>9836</v>
      </c>
      <c r="C1310" s="411">
        <v>20602</v>
      </c>
      <c r="D1310" s="412">
        <v>45446</v>
      </c>
      <c r="E1310" s="418" t="s">
        <v>11034</v>
      </c>
    </row>
    <row r="1311" spans="2:5">
      <c r="B1311" s="410" t="s">
        <v>9836</v>
      </c>
      <c r="C1311" s="411">
        <v>20596</v>
      </c>
      <c r="D1311" s="412">
        <v>45446</v>
      </c>
      <c r="E1311" s="418" t="s">
        <v>11117</v>
      </c>
    </row>
    <row r="1312" spans="2:5">
      <c r="B1312" s="410" t="s">
        <v>9836</v>
      </c>
      <c r="C1312" s="411">
        <v>20594</v>
      </c>
      <c r="D1312" s="412">
        <v>45446</v>
      </c>
      <c r="E1312" s="418" t="s">
        <v>11035</v>
      </c>
    </row>
    <row r="1313" spans="2:5">
      <c r="B1313" s="410" t="s">
        <v>9836</v>
      </c>
      <c r="C1313" s="411">
        <v>20592</v>
      </c>
      <c r="D1313" s="412">
        <v>45446</v>
      </c>
      <c r="E1313" s="418" t="s">
        <v>11036</v>
      </c>
    </row>
    <row r="1314" spans="2:5">
      <c r="B1314" s="410" t="s">
        <v>9836</v>
      </c>
      <c r="C1314" s="411">
        <v>20591</v>
      </c>
      <c r="D1314" s="412">
        <v>45446</v>
      </c>
      <c r="E1314" s="418" t="s">
        <v>11118</v>
      </c>
    </row>
    <row r="1315" spans="2:5">
      <c r="B1315" s="410" t="s">
        <v>9836</v>
      </c>
      <c r="C1315" s="411">
        <v>20590</v>
      </c>
      <c r="D1315" s="412">
        <v>45446</v>
      </c>
      <c r="E1315" s="418" t="s">
        <v>11037</v>
      </c>
    </row>
    <row r="1316" spans="2:5">
      <c r="B1316" s="410" t="s">
        <v>9836</v>
      </c>
      <c r="C1316" s="411">
        <v>20589</v>
      </c>
      <c r="D1316" s="412">
        <v>45446</v>
      </c>
      <c r="E1316" s="418" t="s">
        <v>11038</v>
      </c>
    </row>
    <row r="1317" spans="2:5">
      <c r="B1317" s="410" t="s">
        <v>9836</v>
      </c>
      <c r="C1317" s="411">
        <v>20582</v>
      </c>
      <c r="D1317" s="412">
        <v>45446</v>
      </c>
      <c r="E1317" s="418" t="s">
        <v>11119</v>
      </c>
    </row>
    <row r="1318" spans="2:5">
      <c r="B1318" s="410" t="s">
        <v>9836</v>
      </c>
      <c r="C1318" s="411">
        <v>20579</v>
      </c>
      <c r="D1318" s="412">
        <v>45446</v>
      </c>
      <c r="E1318" s="418" t="s">
        <v>11120</v>
      </c>
    </row>
    <row r="1319" spans="2:5">
      <c r="B1319" s="410" t="s">
        <v>9836</v>
      </c>
      <c r="C1319" s="411">
        <v>20573</v>
      </c>
      <c r="D1319" s="412">
        <v>45446</v>
      </c>
      <c r="E1319" s="418" t="s">
        <v>11039</v>
      </c>
    </row>
    <row r="1320" spans="2:5">
      <c r="B1320" s="410" t="s">
        <v>9836</v>
      </c>
      <c r="C1320" s="411">
        <v>20568</v>
      </c>
      <c r="D1320" s="412">
        <v>45446</v>
      </c>
      <c r="E1320" s="418" t="s">
        <v>11040</v>
      </c>
    </row>
    <row r="1321" spans="2:5">
      <c r="B1321" s="410" t="s">
        <v>9836</v>
      </c>
      <c r="C1321" s="411">
        <v>20562</v>
      </c>
      <c r="D1321" s="412">
        <v>45446</v>
      </c>
      <c r="E1321" s="418" t="s">
        <v>11041</v>
      </c>
    </row>
    <row r="1322" spans="2:5">
      <c r="B1322" s="410" t="s">
        <v>9836</v>
      </c>
      <c r="C1322" s="411">
        <v>20556</v>
      </c>
      <c r="D1322" s="412">
        <v>45446</v>
      </c>
      <c r="E1322" s="418" t="s">
        <v>11042</v>
      </c>
    </row>
    <row r="1323" spans="2:5">
      <c r="B1323" s="410" t="s">
        <v>9836</v>
      </c>
      <c r="C1323" s="411">
        <v>20555</v>
      </c>
      <c r="D1323" s="412">
        <v>45446</v>
      </c>
      <c r="E1323" s="418" t="s">
        <v>11043</v>
      </c>
    </row>
    <row r="1324" spans="2:5">
      <c r="B1324" s="410" t="s">
        <v>9836</v>
      </c>
      <c r="C1324" s="411">
        <v>20551</v>
      </c>
      <c r="D1324" s="412">
        <v>45446</v>
      </c>
      <c r="E1324" s="418" t="s">
        <v>11121</v>
      </c>
    </row>
    <row r="1325" spans="2:5">
      <c r="B1325" s="410" t="s">
        <v>9836</v>
      </c>
      <c r="C1325" s="411">
        <v>20550</v>
      </c>
      <c r="D1325" s="412">
        <v>45446</v>
      </c>
      <c r="E1325" s="418" t="s">
        <v>11044</v>
      </c>
    </row>
    <row r="1326" spans="2:5">
      <c r="B1326" s="410" t="s">
        <v>9836</v>
      </c>
      <c r="C1326" s="411">
        <v>20543</v>
      </c>
      <c r="D1326" s="412">
        <v>45446</v>
      </c>
      <c r="E1326" s="418" t="s">
        <v>11045</v>
      </c>
    </row>
    <row r="1327" spans="2:5">
      <c r="B1327" s="410" t="s">
        <v>9836</v>
      </c>
      <c r="C1327" s="411">
        <v>20542</v>
      </c>
      <c r="D1327" s="412">
        <v>45446</v>
      </c>
      <c r="E1327" s="418" t="s">
        <v>11048</v>
      </c>
    </row>
    <row r="1328" spans="2:5">
      <c r="B1328" s="410" t="s">
        <v>9836</v>
      </c>
      <c r="C1328" s="411">
        <v>20541</v>
      </c>
      <c r="D1328" s="412">
        <v>45446</v>
      </c>
      <c r="E1328" s="418" t="s">
        <v>11047</v>
      </c>
    </row>
    <row r="1329" spans="2:5">
      <c r="B1329" s="410" t="s">
        <v>9836</v>
      </c>
      <c r="C1329" s="411">
        <v>20540</v>
      </c>
      <c r="D1329" s="412">
        <v>45446</v>
      </c>
      <c r="E1329" s="418" t="s">
        <v>11046</v>
      </c>
    </row>
    <row r="1330" spans="2:5">
      <c r="B1330" s="410" t="s">
        <v>9836</v>
      </c>
      <c r="C1330" s="411">
        <v>20539</v>
      </c>
      <c r="D1330" s="412">
        <v>45446</v>
      </c>
      <c r="E1330" s="418" t="s">
        <v>11049</v>
      </c>
    </row>
    <row r="1331" spans="2:5">
      <c r="B1331" s="410" t="s">
        <v>9836</v>
      </c>
      <c r="C1331" s="411">
        <v>20538</v>
      </c>
      <c r="D1331" s="412">
        <v>45446</v>
      </c>
      <c r="E1331" s="418" t="s">
        <v>11053</v>
      </c>
    </row>
    <row r="1332" spans="2:5">
      <c r="B1332" s="410" t="s">
        <v>9836</v>
      </c>
      <c r="C1332" s="411">
        <v>20534</v>
      </c>
      <c r="D1332" s="412">
        <v>45446</v>
      </c>
      <c r="E1332" s="418" t="s">
        <v>11052</v>
      </c>
    </row>
    <row r="1333" spans="2:5">
      <c r="B1333" s="410" t="s">
        <v>9836</v>
      </c>
      <c r="C1333" s="411">
        <v>20531</v>
      </c>
      <c r="D1333" s="412">
        <v>45446</v>
      </c>
      <c r="E1333" s="418" t="s">
        <v>11051</v>
      </c>
    </row>
    <row r="1334" spans="2:5">
      <c r="B1334" s="410" t="s">
        <v>9836</v>
      </c>
      <c r="C1334" s="411">
        <v>20516</v>
      </c>
      <c r="D1334" s="412">
        <v>45446</v>
      </c>
      <c r="E1334" s="418" t="s">
        <v>11050</v>
      </c>
    </row>
    <row r="1335" spans="2:5">
      <c r="B1335" s="410" t="s">
        <v>9836</v>
      </c>
      <c r="C1335" s="411">
        <v>20513</v>
      </c>
      <c r="D1335" s="412">
        <v>45446</v>
      </c>
      <c r="E1335" s="418" t="s">
        <v>11054</v>
      </c>
    </row>
    <row r="1336" spans="2:5">
      <c r="B1336" s="410" t="s">
        <v>9836</v>
      </c>
      <c r="C1336" s="411">
        <v>20512</v>
      </c>
      <c r="D1336" s="412">
        <v>45446</v>
      </c>
      <c r="E1336" s="418" t="s">
        <v>11122</v>
      </c>
    </row>
    <row r="1337" spans="2:5">
      <c r="B1337" s="410" t="s">
        <v>9836</v>
      </c>
      <c r="C1337" s="411">
        <v>20505</v>
      </c>
      <c r="D1337" s="412">
        <v>45446</v>
      </c>
      <c r="E1337" s="418" t="s">
        <v>11123</v>
      </c>
    </row>
    <row r="1338" spans="2:5">
      <c r="B1338" s="410" t="s">
        <v>9836</v>
      </c>
      <c r="C1338" s="411">
        <v>20504</v>
      </c>
      <c r="D1338" s="412">
        <v>45446</v>
      </c>
      <c r="E1338" s="418" t="s">
        <v>11055</v>
      </c>
    </row>
    <row r="1339" spans="2:5">
      <c r="B1339" s="410" t="s">
        <v>9836</v>
      </c>
      <c r="C1339" s="411">
        <v>20503</v>
      </c>
      <c r="D1339" s="412">
        <v>45446</v>
      </c>
      <c r="E1339" s="418" t="s">
        <v>11056</v>
      </c>
    </row>
    <row r="1340" spans="2:5">
      <c r="B1340" s="410" t="s">
        <v>9836</v>
      </c>
      <c r="C1340" s="411">
        <v>20501</v>
      </c>
      <c r="D1340" s="412">
        <v>45446</v>
      </c>
      <c r="E1340" s="418" t="s">
        <v>11124</v>
      </c>
    </row>
    <row r="1341" spans="2:5">
      <c r="B1341" s="410" t="s">
        <v>9836</v>
      </c>
      <c r="C1341" s="411">
        <v>20500</v>
      </c>
      <c r="D1341" s="412">
        <v>45446</v>
      </c>
      <c r="E1341" s="418" t="s">
        <v>11125</v>
      </c>
    </row>
    <row r="1342" spans="2:5">
      <c r="B1342" s="410" t="s">
        <v>9836</v>
      </c>
      <c r="C1342" s="411">
        <v>20495</v>
      </c>
      <c r="D1342" s="412">
        <v>45446</v>
      </c>
      <c r="E1342" s="418" t="s">
        <v>11126</v>
      </c>
    </row>
    <row r="1343" spans="2:5">
      <c r="B1343" s="410" t="s">
        <v>9836</v>
      </c>
      <c r="C1343" s="411">
        <v>20494</v>
      </c>
      <c r="D1343" s="412">
        <v>45446</v>
      </c>
      <c r="E1343" s="418" t="s">
        <v>11127</v>
      </c>
    </row>
    <row r="1344" spans="2:5">
      <c r="B1344" s="410" t="s">
        <v>9836</v>
      </c>
      <c r="C1344" s="411">
        <v>20486</v>
      </c>
      <c r="D1344" s="412">
        <v>45446</v>
      </c>
      <c r="E1344" s="418" t="s">
        <v>11057</v>
      </c>
    </row>
    <row r="1345" spans="2:5">
      <c r="B1345" s="410" t="s">
        <v>9836</v>
      </c>
      <c r="C1345" s="411">
        <v>20485</v>
      </c>
      <c r="D1345" s="412">
        <v>45446</v>
      </c>
      <c r="E1345" s="418" t="s">
        <v>11128</v>
      </c>
    </row>
    <row r="1346" spans="2:5">
      <c r="B1346" s="410" t="s">
        <v>9836</v>
      </c>
      <c r="C1346" s="411">
        <v>20482</v>
      </c>
      <c r="D1346" s="412">
        <v>45446</v>
      </c>
      <c r="E1346" s="418" t="s">
        <v>11058</v>
      </c>
    </row>
    <row r="1347" spans="2:5">
      <c r="B1347" s="410" t="s">
        <v>9836</v>
      </c>
      <c r="C1347" s="411">
        <v>20468</v>
      </c>
      <c r="D1347" s="412">
        <v>45446</v>
      </c>
      <c r="E1347" s="418" t="s">
        <v>11129</v>
      </c>
    </row>
    <row r="1348" spans="2:5">
      <c r="B1348" s="410" t="s">
        <v>9836</v>
      </c>
      <c r="C1348" s="411">
        <v>20467</v>
      </c>
      <c r="D1348" s="412">
        <v>45446</v>
      </c>
      <c r="E1348" s="418" t="s">
        <v>11059</v>
      </c>
    </row>
    <row r="1349" spans="2:5">
      <c r="B1349" s="410" t="s">
        <v>9836</v>
      </c>
      <c r="C1349" s="411">
        <v>20465</v>
      </c>
      <c r="D1349" s="412">
        <v>45446</v>
      </c>
      <c r="E1349" s="418" t="s">
        <v>11130</v>
      </c>
    </row>
    <row r="1350" spans="2:5">
      <c r="B1350" s="410" t="s">
        <v>9836</v>
      </c>
      <c r="C1350" s="411">
        <v>20456</v>
      </c>
      <c r="D1350" s="412">
        <v>45446</v>
      </c>
      <c r="E1350" s="418" t="s">
        <v>11060</v>
      </c>
    </row>
    <row r="1351" spans="2:5">
      <c r="B1351" s="410" t="s">
        <v>9836</v>
      </c>
      <c r="C1351" s="411">
        <v>20455</v>
      </c>
      <c r="D1351" s="412">
        <v>45453</v>
      </c>
      <c r="E1351" s="424" t="s">
        <v>12394</v>
      </c>
    </row>
    <row r="1352" spans="2:5">
      <c r="B1352" s="410" t="s">
        <v>9836</v>
      </c>
      <c r="C1352" s="411">
        <v>20452</v>
      </c>
      <c r="D1352" s="412">
        <v>45446</v>
      </c>
      <c r="E1352" s="418" t="s">
        <v>11061</v>
      </c>
    </row>
    <row r="1353" spans="2:5">
      <c r="B1353" s="410" t="s">
        <v>9836</v>
      </c>
      <c r="C1353" s="411">
        <v>20451</v>
      </c>
      <c r="D1353" s="412">
        <v>45446</v>
      </c>
      <c r="E1353" s="418" t="s">
        <v>11131</v>
      </c>
    </row>
    <row r="1354" spans="2:5">
      <c r="B1354" s="410" t="s">
        <v>9836</v>
      </c>
      <c r="C1354" s="411">
        <v>20448</v>
      </c>
      <c r="D1354" s="412">
        <v>45446</v>
      </c>
      <c r="E1354" s="418" t="s">
        <v>11063</v>
      </c>
    </row>
    <row r="1355" spans="2:5">
      <c r="B1355" s="410" t="s">
        <v>9836</v>
      </c>
      <c r="C1355" s="411">
        <v>20447</v>
      </c>
      <c r="D1355" s="412">
        <v>45446</v>
      </c>
      <c r="E1355" s="418" t="s">
        <v>11133</v>
      </c>
    </row>
    <row r="1356" spans="2:5">
      <c r="B1356" s="410" t="s">
        <v>9836</v>
      </c>
      <c r="C1356" s="411">
        <v>20446</v>
      </c>
      <c r="D1356" s="412">
        <v>45446</v>
      </c>
      <c r="E1356" s="418" t="s">
        <v>11132</v>
      </c>
    </row>
    <row r="1357" spans="2:5">
      <c r="B1357" s="410" t="s">
        <v>9836</v>
      </c>
      <c r="C1357" s="411">
        <v>20445</v>
      </c>
      <c r="D1357" s="412">
        <v>45446</v>
      </c>
      <c r="E1357" s="418" t="s">
        <v>11062</v>
      </c>
    </row>
    <row r="1358" spans="2:5">
      <c r="B1358" s="410" t="s">
        <v>9836</v>
      </c>
      <c r="C1358" s="411">
        <v>20439</v>
      </c>
      <c r="D1358" s="412">
        <v>45446</v>
      </c>
      <c r="E1358" s="418" t="s">
        <v>11067</v>
      </c>
    </row>
    <row r="1359" spans="2:5">
      <c r="B1359" s="410" t="s">
        <v>9836</v>
      </c>
      <c r="C1359" s="411">
        <v>20435</v>
      </c>
      <c r="D1359" s="412">
        <v>45446</v>
      </c>
      <c r="E1359" s="418" t="s">
        <v>11066</v>
      </c>
    </row>
    <row r="1360" spans="2:5">
      <c r="B1360" s="410" t="s">
        <v>9836</v>
      </c>
      <c r="C1360" s="411">
        <v>20431</v>
      </c>
      <c r="D1360" s="412">
        <v>45446</v>
      </c>
      <c r="E1360" s="418" t="s">
        <v>11065</v>
      </c>
    </row>
    <row r="1361" spans="2:5">
      <c r="B1361" s="410" t="s">
        <v>9836</v>
      </c>
      <c r="C1361" s="411">
        <v>20430</v>
      </c>
      <c r="D1361" s="412">
        <v>45446</v>
      </c>
      <c r="E1361" s="418" t="s">
        <v>11064</v>
      </c>
    </row>
    <row r="1362" spans="2:5">
      <c r="B1362" s="410" t="s">
        <v>9836</v>
      </c>
      <c r="C1362" s="411">
        <v>20420</v>
      </c>
      <c r="D1362" s="412">
        <v>45446</v>
      </c>
      <c r="E1362" s="418" t="s">
        <v>11073</v>
      </c>
    </row>
    <row r="1363" spans="2:5">
      <c r="B1363" s="410" t="s">
        <v>9836</v>
      </c>
      <c r="C1363" s="411">
        <v>20419</v>
      </c>
      <c r="D1363" s="412">
        <v>45446</v>
      </c>
      <c r="E1363" s="418" t="s">
        <v>11072</v>
      </c>
    </row>
    <row r="1364" spans="2:5">
      <c r="B1364" s="410" t="s">
        <v>9836</v>
      </c>
      <c r="C1364" s="411">
        <v>20414</v>
      </c>
      <c r="D1364" s="412">
        <v>45446</v>
      </c>
      <c r="E1364" s="418" t="s">
        <v>11071</v>
      </c>
    </row>
    <row r="1365" spans="2:5">
      <c r="B1365" s="410" t="s">
        <v>9836</v>
      </c>
      <c r="C1365" s="411">
        <v>20413</v>
      </c>
      <c r="D1365" s="412">
        <v>45446</v>
      </c>
      <c r="E1365" s="418" t="s">
        <v>11134</v>
      </c>
    </row>
    <row r="1366" spans="2:5">
      <c r="B1366" s="410" t="s">
        <v>9836</v>
      </c>
      <c r="C1366" s="411">
        <v>20412</v>
      </c>
      <c r="D1366" s="412">
        <v>45446</v>
      </c>
      <c r="E1366" s="418" t="s">
        <v>11135</v>
      </c>
    </row>
    <row r="1367" spans="2:5">
      <c r="B1367" s="410" t="s">
        <v>9836</v>
      </c>
      <c r="C1367" s="411">
        <v>20407</v>
      </c>
      <c r="D1367" s="412">
        <v>45446</v>
      </c>
      <c r="E1367" s="418" t="s">
        <v>11136</v>
      </c>
    </row>
    <row r="1368" spans="2:5">
      <c r="B1368" s="410" t="s">
        <v>9836</v>
      </c>
      <c r="C1368" s="411">
        <v>20405</v>
      </c>
      <c r="D1368" s="412">
        <v>45446</v>
      </c>
      <c r="E1368" s="418" t="s">
        <v>11137</v>
      </c>
    </row>
    <row r="1369" spans="2:5">
      <c r="B1369" s="410" t="s">
        <v>9836</v>
      </c>
      <c r="C1369" s="411">
        <v>20404</v>
      </c>
      <c r="D1369" s="412">
        <v>45446</v>
      </c>
      <c r="E1369" s="418" t="s">
        <v>11138</v>
      </c>
    </row>
    <row r="1370" spans="2:5">
      <c r="B1370" s="410" t="s">
        <v>9836</v>
      </c>
      <c r="C1370" s="411">
        <v>20400</v>
      </c>
      <c r="D1370" s="412">
        <v>45446</v>
      </c>
      <c r="E1370" s="418" t="s">
        <v>11139</v>
      </c>
    </row>
    <row r="1371" spans="2:5">
      <c r="B1371" s="410" t="s">
        <v>9836</v>
      </c>
      <c r="C1371" s="411">
        <v>20397</v>
      </c>
      <c r="D1371" s="412">
        <v>45446</v>
      </c>
      <c r="E1371" s="418" t="s">
        <v>11070</v>
      </c>
    </row>
    <row r="1372" spans="2:5">
      <c r="B1372" s="410" t="s">
        <v>9836</v>
      </c>
      <c r="C1372" s="411">
        <v>20390</v>
      </c>
      <c r="D1372" s="412">
        <v>45446</v>
      </c>
      <c r="E1372" s="418" t="s">
        <v>11069</v>
      </c>
    </row>
    <row r="1373" spans="2:5">
      <c r="B1373" s="410" t="s">
        <v>9836</v>
      </c>
      <c r="C1373" s="411">
        <v>20384</v>
      </c>
      <c r="D1373" s="412">
        <v>45446</v>
      </c>
      <c r="E1373" s="418" t="s">
        <v>11140</v>
      </c>
    </row>
    <row r="1374" spans="2:5">
      <c r="B1374" s="410" t="s">
        <v>9836</v>
      </c>
      <c r="C1374" s="411">
        <v>20358</v>
      </c>
      <c r="D1374" s="412">
        <v>45446</v>
      </c>
      <c r="E1374" s="418" t="s">
        <v>11068</v>
      </c>
    </row>
    <row r="1375" spans="2:5">
      <c r="B1375" s="410" t="s">
        <v>9836</v>
      </c>
      <c r="C1375" s="411">
        <v>20355</v>
      </c>
      <c r="D1375" s="412">
        <v>45446</v>
      </c>
      <c r="E1375" s="418" t="s">
        <v>11141</v>
      </c>
    </row>
    <row r="1376" spans="2:5">
      <c r="B1376" s="410" t="s">
        <v>9836</v>
      </c>
      <c r="C1376" s="411">
        <v>20354</v>
      </c>
      <c r="D1376" s="412">
        <v>45446</v>
      </c>
      <c r="E1376" s="418" t="s">
        <v>11142</v>
      </c>
    </row>
    <row r="1377" spans="2:5">
      <c r="B1377" s="410" t="s">
        <v>9836</v>
      </c>
      <c r="C1377" s="411">
        <v>20351</v>
      </c>
      <c r="D1377" s="412">
        <v>45446</v>
      </c>
      <c r="E1377" s="418" t="s">
        <v>11074</v>
      </c>
    </row>
    <row r="1378" spans="2:5">
      <c r="B1378" s="410" t="s">
        <v>9836</v>
      </c>
      <c r="C1378" s="411">
        <v>20350</v>
      </c>
      <c r="D1378" s="412">
        <v>45446</v>
      </c>
      <c r="E1378" s="418" t="s">
        <v>11075</v>
      </c>
    </row>
    <row r="1379" spans="2:5">
      <c r="B1379" s="410" t="s">
        <v>9836</v>
      </c>
      <c r="C1379" s="411">
        <v>20348</v>
      </c>
      <c r="D1379" s="412">
        <v>45446</v>
      </c>
      <c r="E1379" s="418" t="s">
        <v>11143</v>
      </c>
    </row>
    <row r="1380" spans="2:5">
      <c r="B1380" s="410" t="s">
        <v>9836</v>
      </c>
      <c r="C1380" s="411">
        <v>20347</v>
      </c>
      <c r="D1380" s="412">
        <v>45446</v>
      </c>
      <c r="E1380" s="418" t="s">
        <v>11144</v>
      </c>
    </row>
    <row r="1381" spans="2:5">
      <c r="B1381" s="410" t="s">
        <v>9836</v>
      </c>
      <c r="C1381" s="411">
        <v>20343</v>
      </c>
      <c r="D1381" s="412">
        <v>45446</v>
      </c>
      <c r="E1381" s="418" t="s">
        <v>11230</v>
      </c>
    </row>
    <row r="1382" spans="2:5">
      <c r="B1382" s="410" t="s">
        <v>9836</v>
      </c>
      <c r="C1382" s="411">
        <v>20341</v>
      </c>
      <c r="D1382" s="412">
        <v>45443</v>
      </c>
      <c r="E1382" s="418" t="s">
        <v>11145</v>
      </c>
    </row>
    <row r="1383" spans="2:5">
      <c r="B1383" s="410" t="s">
        <v>9836</v>
      </c>
      <c r="C1383" s="411">
        <v>20331</v>
      </c>
      <c r="D1383" s="412">
        <v>45443</v>
      </c>
      <c r="E1383" s="418" t="s">
        <v>11146</v>
      </c>
    </row>
    <row r="1384" spans="2:5">
      <c r="B1384" s="410" t="s">
        <v>9836</v>
      </c>
      <c r="C1384" s="411">
        <v>20324</v>
      </c>
      <c r="D1384" s="412">
        <v>45443</v>
      </c>
      <c r="E1384" s="418" t="s">
        <v>11231</v>
      </c>
    </row>
    <row r="1385" spans="2:5">
      <c r="B1385" s="410" t="s">
        <v>9836</v>
      </c>
      <c r="C1385" s="411">
        <v>20321</v>
      </c>
      <c r="D1385" s="412">
        <v>45443</v>
      </c>
      <c r="E1385" s="418" t="s">
        <v>11232</v>
      </c>
    </row>
    <row r="1386" spans="2:5">
      <c r="B1386" s="410" t="s">
        <v>9836</v>
      </c>
      <c r="C1386" s="411">
        <v>20320</v>
      </c>
      <c r="D1386" s="412">
        <v>45443</v>
      </c>
      <c r="E1386" s="418" t="s">
        <v>11233</v>
      </c>
    </row>
    <row r="1387" spans="2:5">
      <c r="B1387" s="410" t="s">
        <v>9836</v>
      </c>
      <c r="C1387" s="411">
        <v>20318</v>
      </c>
      <c r="D1387" s="412">
        <v>45443</v>
      </c>
      <c r="E1387" s="418" t="s">
        <v>11234</v>
      </c>
    </row>
    <row r="1388" spans="2:5">
      <c r="B1388" s="410" t="s">
        <v>9836</v>
      </c>
      <c r="C1388" s="411">
        <v>20313</v>
      </c>
      <c r="D1388" s="412">
        <v>45443</v>
      </c>
      <c r="E1388" s="418" t="s">
        <v>11147</v>
      </c>
    </row>
    <row r="1389" spans="2:5">
      <c r="B1389" s="410" t="s">
        <v>9836</v>
      </c>
      <c r="C1389" s="411">
        <v>20309</v>
      </c>
      <c r="D1389" s="412">
        <v>45443</v>
      </c>
      <c r="E1389" s="418" t="s">
        <v>11148</v>
      </c>
    </row>
    <row r="1390" spans="2:5">
      <c r="B1390" s="410" t="s">
        <v>9836</v>
      </c>
      <c r="C1390" s="411">
        <v>20304</v>
      </c>
      <c r="D1390" s="412">
        <v>45443</v>
      </c>
      <c r="E1390" s="418" t="s">
        <v>11235</v>
      </c>
    </row>
    <row r="1391" spans="2:5">
      <c r="B1391" s="410" t="s">
        <v>9836</v>
      </c>
      <c r="C1391" s="411">
        <v>20289</v>
      </c>
      <c r="D1391" s="412">
        <v>45443</v>
      </c>
      <c r="E1391" s="418" t="s">
        <v>11236</v>
      </c>
    </row>
    <row r="1392" spans="2:5">
      <c r="B1392" s="410" t="s">
        <v>9836</v>
      </c>
      <c r="C1392" s="411">
        <v>20287</v>
      </c>
      <c r="D1392" s="412">
        <v>45443</v>
      </c>
      <c r="E1392" s="418" t="s">
        <v>11149</v>
      </c>
    </row>
    <row r="1393" spans="2:5">
      <c r="B1393" s="410" t="s">
        <v>9836</v>
      </c>
      <c r="C1393" s="411">
        <v>20278</v>
      </c>
      <c r="D1393" s="412">
        <v>45443</v>
      </c>
      <c r="E1393" s="418" t="s">
        <v>11150</v>
      </c>
    </row>
    <row r="1394" spans="2:5">
      <c r="B1394" s="410" t="s">
        <v>9836</v>
      </c>
      <c r="C1394" s="411">
        <v>20274</v>
      </c>
      <c r="D1394" s="412">
        <v>45443</v>
      </c>
      <c r="E1394" s="418" t="s">
        <v>11237</v>
      </c>
    </row>
    <row r="1395" spans="2:5">
      <c r="B1395" s="410" t="s">
        <v>9836</v>
      </c>
      <c r="C1395" s="411">
        <v>20272</v>
      </c>
      <c r="D1395" s="412">
        <v>45443</v>
      </c>
      <c r="E1395" s="418" t="s">
        <v>11151</v>
      </c>
    </row>
    <row r="1396" spans="2:5">
      <c r="B1396" s="410" t="s">
        <v>9836</v>
      </c>
      <c r="C1396" s="411">
        <v>20271</v>
      </c>
      <c r="D1396" s="412">
        <v>45443</v>
      </c>
      <c r="E1396" s="418" t="s">
        <v>11152</v>
      </c>
    </row>
    <row r="1397" spans="2:5">
      <c r="B1397" s="410" t="s">
        <v>9836</v>
      </c>
      <c r="C1397" s="411">
        <v>20250</v>
      </c>
      <c r="D1397" s="412">
        <v>45443</v>
      </c>
      <c r="E1397" s="418" t="s">
        <v>11238</v>
      </c>
    </row>
    <row r="1398" spans="2:5">
      <c r="B1398" s="410" t="s">
        <v>9836</v>
      </c>
      <c r="C1398" s="411">
        <v>20247</v>
      </c>
      <c r="D1398" s="412">
        <v>45443</v>
      </c>
      <c r="E1398" s="418" t="s">
        <v>11239</v>
      </c>
    </row>
    <row r="1399" spans="2:5">
      <c r="B1399" s="410" t="s">
        <v>9836</v>
      </c>
      <c r="C1399" s="411">
        <v>20245</v>
      </c>
      <c r="D1399" s="412">
        <v>45443</v>
      </c>
      <c r="E1399" s="418" t="s">
        <v>11240</v>
      </c>
    </row>
    <row r="1400" spans="2:5">
      <c r="B1400" s="410" t="s">
        <v>9836</v>
      </c>
      <c r="C1400" s="411">
        <v>20237</v>
      </c>
      <c r="D1400" s="412">
        <v>45443</v>
      </c>
      <c r="E1400" s="418" t="s">
        <v>11241</v>
      </c>
    </row>
    <row r="1401" spans="2:5">
      <c r="B1401" s="410" t="s">
        <v>9836</v>
      </c>
      <c r="C1401" s="411">
        <v>20236</v>
      </c>
      <c r="D1401" s="412">
        <v>45443</v>
      </c>
      <c r="E1401" s="418" t="s">
        <v>11242</v>
      </c>
    </row>
    <row r="1402" spans="2:5">
      <c r="B1402" s="410" t="s">
        <v>9836</v>
      </c>
      <c r="C1402" s="411">
        <v>20233</v>
      </c>
      <c r="D1402" s="412">
        <v>45443</v>
      </c>
      <c r="E1402" s="418" t="s">
        <v>11153</v>
      </c>
    </row>
    <row r="1403" spans="2:5">
      <c r="B1403" s="410" t="s">
        <v>9836</v>
      </c>
      <c r="C1403" s="411">
        <v>20231</v>
      </c>
      <c r="D1403" s="412">
        <v>45443</v>
      </c>
      <c r="E1403" s="418" t="s">
        <v>11154</v>
      </c>
    </row>
    <row r="1404" spans="2:5">
      <c r="B1404" s="410" t="s">
        <v>9836</v>
      </c>
      <c r="C1404" s="411">
        <v>20230</v>
      </c>
      <c r="D1404" s="412">
        <v>45443</v>
      </c>
      <c r="E1404" s="418" t="s">
        <v>11243</v>
      </c>
    </row>
    <row r="1405" spans="2:5">
      <c r="B1405" s="410" t="s">
        <v>9836</v>
      </c>
      <c r="C1405" s="411">
        <v>20216</v>
      </c>
      <c r="D1405" s="412">
        <v>45443</v>
      </c>
      <c r="E1405" s="418" t="s">
        <v>11244</v>
      </c>
    </row>
    <row r="1406" spans="2:5">
      <c r="B1406" s="410" t="s">
        <v>9836</v>
      </c>
      <c r="C1406" s="411">
        <v>20213</v>
      </c>
      <c r="D1406" s="412">
        <v>45443</v>
      </c>
      <c r="E1406" s="418" t="s">
        <v>11245</v>
      </c>
    </row>
    <row r="1407" spans="2:5">
      <c r="B1407" s="410" t="s">
        <v>9836</v>
      </c>
      <c r="C1407" s="411">
        <v>20200</v>
      </c>
      <c r="D1407" s="412">
        <v>45443</v>
      </c>
      <c r="E1407" s="418" t="s">
        <v>11155</v>
      </c>
    </row>
    <row r="1408" spans="2:5">
      <c r="B1408" s="410" t="s">
        <v>9836</v>
      </c>
      <c r="C1408" s="411">
        <v>20194</v>
      </c>
      <c r="D1408" s="412">
        <v>45443</v>
      </c>
      <c r="E1408" s="418" t="s">
        <v>11156</v>
      </c>
    </row>
    <row r="1409" spans="2:5">
      <c r="B1409" s="410" t="s">
        <v>9836</v>
      </c>
      <c r="C1409" s="411">
        <v>20180</v>
      </c>
      <c r="D1409" s="412">
        <v>45443</v>
      </c>
      <c r="E1409" s="418" t="s">
        <v>11157</v>
      </c>
    </row>
    <row r="1410" spans="2:5">
      <c r="B1410" s="410" t="s">
        <v>9836</v>
      </c>
      <c r="C1410" s="411">
        <v>20178</v>
      </c>
      <c r="D1410" s="412">
        <v>45443</v>
      </c>
      <c r="E1410" s="418" t="s">
        <v>11246</v>
      </c>
    </row>
    <row r="1411" spans="2:5">
      <c r="B1411" s="410" t="s">
        <v>9836</v>
      </c>
      <c r="C1411" s="411">
        <v>20174</v>
      </c>
      <c r="D1411" s="412">
        <v>45443</v>
      </c>
      <c r="E1411" s="418" t="s">
        <v>11158</v>
      </c>
    </row>
    <row r="1412" spans="2:5">
      <c r="B1412" s="410" t="s">
        <v>9836</v>
      </c>
      <c r="C1412" s="411">
        <v>20172</v>
      </c>
      <c r="D1412" s="412">
        <v>45443</v>
      </c>
      <c r="E1412" s="418" t="s">
        <v>11247</v>
      </c>
    </row>
    <row r="1413" spans="2:5">
      <c r="B1413" s="410" t="s">
        <v>9836</v>
      </c>
      <c r="C1413" s="411">
        <v>20165</v>
      </c>
      <c r="D1413" s="412">
        <v>45443</v>
      </c>
      <c r="E1413" s="418" t="s">
        <v>11248</v>
      </c>
    </row>
    <row r="1414" spans="2:5">
      <c r="B1414" s="410" t="s">
        <v>9836</v>
      </c>
      <c r="C1414" s="411">
        <v>20139</v>
      </c>
      <c r="D1414" s="412">
        <v>45443</v>
      </c>
      <c r="E1414" s="418" t="s">
        <v>11249</v>
      </c>
    </row>
    <row r="1415" spans="2:5">
      <c r="B1415" s="410" t="s">
        <v>9836</v>
      </c>
      <c r="C1415" s="411">
        <v>20127</v>
      </c>
      <c r="D1415" s="412">
        <v>45443</v>
      </c>
      <c r="E1415" s="418" t="s">
        <v>11250</v>
      </c>
    </row>
    <row r="1416" spans="2:5">
      <c r="B1416" s="410" t="s">
        <v>9836</v>
      </c>
      <c r="C1416" s="411">
        <v>20124</v>
      </c>
      <c r="D1416" s="412">
        <v>45443</v>
      </c>
      <c r="E1416" s="418" t="s">
        <v>11251</v>
      </c>
    </row>
    <row r="1417" spans="2:5">
      <c r="B1417" s="410" t="s">
        <v>9836</v>
      </c>
      <c r="C1417" s="411">
        <v>20114</v>
      </c>
      <c r="D1417" s="412">
        <v>45443</v>
      </c>
      <c r="E1417" s="418" t="s">
        <v>11159</v>
      </c>
    </row>
    <row r="1418" spans="2:5">
      <c r="B1418" s="410" t="s">
        <v>9836</v>
      </c>
      <c r="C1418" s="411">
        <v>20094</v>
      </c>
      <c r="D1418" s="412">
        <v>45443</v>
      </c>
      <c r="E1418" s="418" t="s">
        <v>11252</v>
      </c>
    </row>
    <row r="1419" spans="2:5">
      <c r="B1419" s="410" t="s">
        <v>9836</v>
      </c>
      <c r="C1419" s="411">
        <v>20091</v>
      </c>
      <c r="D1419" s="412">
        <v>45443</v>
      </c>
      <c r="E1419" s="418" t="s">
        <v>11253</v>
      </c>
    </row>
    <row r="1420" spans="2:5">
      <c r="B1420" s="410" t="s">
        <v>9836</v>
      </c>
      <c r="C1420" s="411">
        <v>20086</v>
      </c>
      <c r="D1420" s="412">
        <v>45443</v>
      </c>
      <c r="E1420" s="418" t="s">
        <v>11254</v>
      </c>
    </row>
    <row r="1421" spans="2:5">
      <c r="B1421" s="410" t="s">
        <v>9836</v>
      </c>
      <c r="C1421" s="411">
        <v>20085</v>
      </c>
      <c r="D1421" s="412">
        <v>45443</v>
      </c>
      <c r="E1421" s="418" t="s">
        <v>11160</v>
      </c>
    </row>
    <row r="1422" spans="2:5">
      <c r="B1422" s="410" t="s">
        <v>9836</v>
      </c>
      <c r="C1422" s="411">
        <v>20082</v>
      </c>
      <c r="D1422" s="412">
        <v>45443</v>
      </c>
      <c r="E1422" s="418" t="s">
        <v>11161</v>
      </c>
    </row>
    <row r="1423" spans="2:5">
      <c r="B1423" s="410" t="s">
        <v>9836</v>
      </c>
      <c r="C1423" s="411">
        <v>20079</v>
      </c>
      <c r="D1423" s="412">
        <v>45443</v>
      </c>
      <c r="E1423" s="418" t="s">
        <v>11255</v>
      </c>
    </row>
    <row r="1424" spans="2:5">
      <c r="B1424" s="410" t="s">
        <v>9836</v>
      </c>
      <c r="C1424" s="411">
        <v>20071</v>
      </c>
      <c r="D1424" s="412">
        <v>45443</v>
      </c>
      <c r="E1424" s="418" t="s">
        <v>11256</v>
      </c>
    </row>
    <row r="1425" spans="2:5">
      <c r="B1425" s="410" t="s">
        <v>9836</v>
      </c>
      <c r="C1425" s="411">
        <v>20053</v>
      </c>
      <c r="D1425" s="412">
        <v>45443</v>
      </c>
      <c r="E1425" s="418" t="s">
        <v>11257</v>
      </c>
    </row>
    <row r="1426" spans="2:5">
      <c r="B1426" s="410" t="s">
        <v>9836</v>
      </c>
      <c r="C1426" s="411">
        <v>20053</v>
      </c>
      <c r="D1426" s="412">
        <v>45443</v>
      </c>
      <c r="E1426" s="418" t="s">
        <v>11258</v>
      </c>
    </row>
    <row r="1427" spans="2:5">
      <c r="B1427" s="410" t="s">
        <v>9836</v>
      </c>
      <c r="C1427" s="411">
        <v>20051</v>
      </c>
      <c r="D1427" s="412">
        <v>45443</v>
      </c>
      <c r="E1427" s="418" t="s">
        <v>11162</v>
      </c>
    </row>
    <row r="1428" spans="2:5">
      <c r="B1428" s="410" t="s">
        <v>9836</v>
      </c>
      <c r="C1428" s="411">
        <v>20045</v>
      </c>
      <c r="D1428" s="412">
        <v>45443</v>
      </c>
      <c r="E1428" s="418" t="s">
        <v>11163</v>
      </c>
    </row>
    <row r="1429" spans="2:5">
      <c r="B1429" s="410" t="s">
        <v>9836</v>
      </c>
      <c r="C1429" s="411">
        <v>20042</v>
      </c>
      <c r="D1429" s="412">
        <v>45443</v>
      </c>
      <c r="E1429" s="418" t="s">
        <v>11164</v>
      </c>
    </row>
    <row r="1430" spans="2:5">
      <c r="B1430" s="410" t="s">
        <v>9836</v>
      </c>
      <c r="C1430" s="411">
        <v>20039</v>
      </c>
      <c r="D1430" s="412">
        <v>45443</v>
      </c>
      <c r="E1430" s="418" t="s">
        <v>11259</v>
      </c>
    </row>
    <row r="1431" spans="2:5">
      <c r="B1431" s="410" t="s">
        <v>9836</v>
      </c>
      <c r="C1431" s="411">
        <v>20029</v>
      </c>
      <c r="D1431" s="412">
        <v>45443</v>
      </c>
      <c r="E1431" s="418" t="s">
        <v>11167</v>
      </c>
    </row>
    <row r="1432" spans="2:5">
      <c r="B1432" s="410" t="s">
        <v>9836</v>
      </c>
      <c r="C1432" s="411">
        <v>20028</v>
      </c>
      <c r="D1432" s="412">
        <v>45443</v>
      </c>
      <c r="E1432" s="418" t="s">
        <v>11166</v>
      </c>
    </row>
    <row r="1433" spans="2:5">
      <c r="B1433" s="410" t="s">
        <v>9836</v>
      </c>
      <c r="C1433" s="411">
        <v>20018</v>
      </c>
      <c r="D1433" s="412">
        <v>45443</v>
      </c>
      <c r="E1433" s="418" t="s">
        <v>11260</v>
      </c>
    </row>
    <row r="1434" spans="2:5">
      <c r="B1434" s="410" t="s">
        <v>9836</v>
      </c>
      <c r="C1434" s="411">
        <v>20014</v>
      </c>
      <c r="D1434" s="412">
        <v>45443</v>
      </c>
      <c r="E1434" s="418" t="s">
        <v>11165</v>
      </c>
    </row>
    <row r="1435" spans="2:5">
      <c r="B1435" s="410" t="s">
        <v>9836</v>
      </c>
      <c r="C1435" s="411">
        <v>20012</v>
      </c>
      <c r="D1435" s="412">
        <v>45443</v>
      </c>
      <c r="E1435" s="418" t="s">
        <v>11168</v>
      </c>
    </row>
    <row r="1436" spans="2:5">
      <c r="B1436" s="410" t="s">
        <v>9836</v>
      </c>
      <c r="C1436" s="411">
        <v>20003</v>
      </c>
      <c r="D1436" s="412">
        <v>45443</v>
      </c>
      <c r="E1436" s="418" t="s">
        <v>11170</v>
      </c>
    </row>
    <row r="1437" spans="2:5">
      <c r="B1437" s="410" t="s">
        <v>9836</v>
      </c>
      <c r="C1437" s="411">
        <v>19995</v>
      </c>
      <c r="D1437" s="412">
        <v>45443</v>
      </c>
      <c r="E1437" s="418" t="s">
        <v>11261</v>
      </c>
    </row>
    <row r="1438" spans="2:5">
      <c r="B1438" s="410" t="s">
        <v>9836</v>
      </c>
      <c r="C1438" s="411">
        <v>19988</v>
      </c>
      <c r="D1438" s="412">
        <v>45443</v>
      </c>
      <c r="E1438" s="418" t="s">
        <v>11262</v>
      </c>
    </row>
    <row r="1439" spans="2:5">
      <c r="B1439" s="410" t="s">
        <v>9836</v>
      </c>
      <c r="C1439" s="411">
        <v>19985</v>
      </c>
      <c r="D1439" s="412">
        <v>45443</v>
      </c>
      <c r="E1439" s="418" t="s">
        <v>11263</v>
      </c>
    </row>
    <row r="1440" spans="2:5">
      <c r="B1440" s="410" t="s">
        <v>9836</v>
      </c>
      <c r="C1440" s="411">
        <v>19978</v>
      </c>
      <c r="D1440" s="412">
        <v>45443</v>
      </c>
      <c r="E1440" s="418" t="s">
        <v>11169</v>
      </c>
    </row>
    <row r="1441" spans="2:5">
      <c r="B1441" s="410" t="s">
        <v>9836</v>
      </c>
      <c r="C1441" s="411">
        <v>19977</v>
      </c>
      <c r="D1441" s="412">
        <v>45443</v>
      </c>
      <c r="E1441" s="418" t="s">
        <v>11264</v>
      </c>
    </row>
    <row r="1442" spans="2:5">
      <c r="B1442" s="410" t="s">
        <v>9836</v>
      </c>
      <c r="C1442" s="411">
        <v>19971</v>
      </c>
      <c r="D1442" s="412">
        <v>45443</v>
      </c>
      <c r="E1442" s="418" t="s">
        <v>11265</v>
      </c>
    </row>
    <row r="1443" spans="2:5">
      <c r="B1443" s="410" t="s">
        <v>9836</v>
      </c>
      <c r="C1443" s="411">
        <v>19967</v>
      </c>
      <c r="D1443" s="412">
        <v>45443</v>
      </c>
      <c r="E1443" s="418" t="s">
        <v>11266</v>
      </c>
    </row>
    <row r="1444" spans="2:5">
      <c r="B1444" s="410" t="s">
        <v>9836</v>
      </c>
      <c r="C1444" s="411">
        <v>19961</v>
      </c>
      <c r="D1444" s="412">
        <v>45443</v>
      </c>
      <c r="E1444" s="418" t="s">
        <v>11171</v>
      </c>
    </row>
    <row r="1445" spans="2:5">
      <c r="B1445" s="410" t="s">
        <v>9836</v>
      </c>
      <c r="C1445" s="411">
        <v>19954</v>
      </c>
      <c r="D1445" s="412">
        <v>45443</v>
      </c>
      <c r="E1445" s="418" t="s">
        <v>11267</v>
      </c>
    </row>
    <row r="1446" spans="2:5">
      <c r="B1446" s="410" t="s">
        <v>9836</v>
      </c>
      <c r="C1446" s="411">
        <v>19950</v>
      </c>
      <c r="D1446" s="412">
        <v>45443</v>
      </c>
      <c r="E1446" s="418" t="s">
        <v>11172</v>
      </c>
    </row>
    <row r="1447" spans="2:5">
      <c r="B1447" s="410" t="s">
        <v>9836</v>
      </c>
      <c r="C1447" s="411">
        <v>19933</v>
      </c>
      <c r="D1447" s="412">
        <v>45443</v>
      </c>
      <c r="E1447" s="418" t="s">
        <v>11173</v>
      </c>
    </row>
    <row r="1448" spans="2:5">
      <c r="B1448" s="410" t="s">
        <v>9836</v>
      </c>
      <c r="C1448" s="411">
        <v>19931</v>
      </c>
      <c r="D1448" s="412">
        <v>45443</v>
      </c>
      <c r="E1448" s="418" t="s">
        <v>11268</v>
      </c>
    </row>
    <row r="1449" spans="2:5">
      <c r="B1449" s="410" t="s">
        <v>9836</v>
      </c>
      <c r="C1449" s="411">
        <v>19928</v>
      </c>
      <c r="D1449" s="412">
        <v>45443</v>
      </c>
      <c r="E1449" s="418" t="s">
        <v>11174</v>
      </c>
    </row>
    <row r="1450" spans="2:5">
      <c r="B1450" s="410" t="s">
        <v>9836</v>
      </c>
      <c r="C1450" s="411">
        <v>19919</v>
      </c>
      <c r="D1450" s="412">
        <v>45443</v>
      </c>
      <c r="E1450" s="418" t="s">
        <v>11175</v>
      </c>
    </row>
    <row r="1451" spans="2:5">
      <c r="B1451" s="410" t="s">
        <v>9836</v>
      </c>
      <c r="C1451" s="411">
        <v>19912</v>
      </c>
      <c r="D1451" s="412">
        <v>45443</v>
      </c>
      <c r="E1451" s="418" t="s">
        <v>11269</v>
      </c>
    </row>
    <row r="1452" spans="2:5">
      <c r="B1452" s="410" t="s">
        <v>9836</v>
      </c>
      <c r="C1452" s="411">
        <v>19909</v>
      </c>
      <c r="D1452" s="412">
        <v>45443</v>
      </c>
      <c r="E1452" s="418" t="s">
        <v>11177</v>
      </c>
    </row>
    <row r="1453" spans="2:5">
      <c r="B1453" s="410" t="s">
        <v>9836</v>
      </c>
      <c r="C1453" s="411">
        <v>19902</v>
      </c>
      <c r="D1453" s="412">
        <v>45443</v>
      </c>
      <c r="E1453" s="418" t="s">
        <v>11176</v>
      </c>
    </row>
    <row r="1454" spans="2:5">
      <c r="B1454" s="410" t="s">
        <v>9836</v>
      </c>
      <c r="C1454" s="411">
        <v>19901</v>
      </c>
      <c r="D1454" s="412">
        <v>45443</v>
      </c>
      <c r="E1454" s="418" t="s">
        <v>11178</v>
      </c>
    </row>
    <row r="1455" spans="2:5">
      <c r="B1455" s="410" t="s">
        <v>9836</v>
      </c>
      <c r="C1455" s="411">
        <v>19893</v>
      </c>
      <c r="D1455" s="412">
        <v>45443</v>
      </c>
      <c r="E1455" s="418" t="s">
        <v>11179</v>
      </c>
    </row>
    <row r="1456" spans="2:5">
      <c r="B1456" s="410" t="s">
        <v>9836</v>
      </c>
      <c r="C1456" s="411">
        <v>19889</v>
      </c>
      <c r="D1456" s="412">
        <v>45443</v>
      </c>
      <c r="E1456" s="418" t="s">
        <v>11270</v>
      </c>
    </row>
    <row r="1457" spans="2:5">
      <c r="B1457" s="410" t="s">
        <v>9836</v>
      </c>
      <c r="C1457" s="411">
        <v>19888</v>
      </c>
      <c r="D1457" s="412">
        <v>45443</v>
      </c>
      <c r="E1457" s="418" t="s">
        <v>11180</v>
      </c>
    </row>
    <row r="1458" spans="2:5">
      <c r="B1458" s="410" t="s">
        <v>9836</v>
      </c>
      <c r="C1458" s="411">
        <v>19886</v>
      </c>
      <c r="D1458" s="412">
        <v>45443</v>
      </c>
      <c r="E1458" s="418" t="s">
        <v>11271</v>
      </c>
    </row>
    <row r="1459" spans="2:5">
      <c r="B1459" s="410" t="s">
        <v>9836</v>
      </c>
      <c r="C1459" s="411">
        <v>19885</v>
      </c>
      <c r="D1459" s="412">
        <v>45443</v>
      </c>
      <c r="E1459" s="418" t="s">
        <v>11181</v>
      </c>
    </row>
    <row r="1460" spans="2:5">
      <c r="B1460" s="410" t="s">
        <v>9836</v>
      </c>
      <c r="C1460" s="411">
        <v>19883</v>
      </c>
      <c r="D1460" s="412">
        <v>45443</v>
      </c>
      <c r="E1460" s="418" t="s">
        <v>11182</v>
      </c>
    </row>
    <row r="1461" spans="2:5">
      <c r="B1461" s="410" t="s">
        <v>9836</v>
      </c>
      <c r="C1461" s="411">
        <v>19878</v>
      </c>
      <c r="D1461" s="412">
        <v>45443</v>
      </c>
      <c r="E1461" s="418" t="s">
        <v>11183</v>
      </c>
    </row>
    <row r="1462" spans="2:5">
      <c r="B1462" s="410" t="s">
        <v>9836</v>
      </c>
      <c r="C1462" s="411">
        <v>19874</v>
      </c>
      <c r="D1462" s="412">
        <v>45443</v>
      </c>
      <c r="E1462" s="418" t="s">
        <v>11272</v>
      </c>
    </row>
    <row r="1463" spans="2:5">
      <c r="B1463" s="410" t="s">
        <v>9836</v>
      </c>
      <c r="C1463" s="411">
        <v>19870</v>
      </c>
      <c r="D1463" s="412">
        <v>45443</v>
      </c>
      <c r="E1463" s="418" t="s">
        <v>11184</v>
      </c>
    </row>
    <row r="1464" spans="2:5">
      <c r="B1464" s="410" t="s">
        <v>9836</v>
      </c>
      <c r="C1464" s="411">
        <v>19864</v>
      </c>
      <c r="D1464" s="412">
        <v>45443</v>
      </c>
      <c r="E1464" s="418" t="s">
        <v>11185</v>
      </c>
    </row>
    <row r="1465" spans="2:5">
      <c r="B1465" s="410" t="s">
        <v>9836</v>
      </c>
      <c r="C1465" s="411">
        <v>19836</v>
      </c>
      <c r="D1465" s="412">
        <v>45443</v>
      </c>
      <c r="E1465" s="418" t="s">
        <v>11186</v>
      </c>
    </row>
    <row r="1466" spans="2:5">
      <c r="B1466" s="410" t="s">
        <v>9836</v>
      </c>
      <c r="C1466" s="411">
        <v>19823</v>
      </c>
      <c r="D1466" s="412">
        <v>45443</v>
      </c>
      <c r="E1466" s="418" t="s">
        <v>11187</v>
      </c>
    </row>
    <row r="1467" spans="2:5">
      <c r="B1467" s="410" t="s">
        <v>9836</v>
      </c>
      <c r="C1467" s="411">
        <v>19815</v>
      </c>
      <c r="D1467" s="412">
        <v>45447</v>
      </c>
      <c r="E1467" s="418"/>
    </row>
    <row r="1468" spans="2:5">
      <c r="B1468" s="410" t="s">
        <v>9836</v>
      </c>
      <c r="C1468" s="411">
        <v>19811</v>
      </c>
      <c r="D1468" s="412">
        <v>45443</v>
      </c>
      <c r="E1468" s="418" t="s">
        <v>11188</v>
      </c>
    </row>
    <row r="1469" spans="2:5">
      <c r="B1469" s="410" t="s">
        <v>9836</v>
      </c>
      <c r="C1469" s="411">
        <v>19807</v>
      </c>
      <c r="D1469" s="412">
        <v>45443</v>
      </c>
      <c r="E1469" s="418" t="s">
        <v>11189</v>
      </c>
    </row>
    <row r="1470" spans="2:5">
      <c r="B1470" s="410" t="s">
        <v>9836</v>
      </c>
      <c r="C1470" s="411">
        <v>19806</v>
      </c>
      <c r="D1470" s="412">
        <v>45443</v>
      </c>
      <c r="E1470" s="418" t="s">
        <v>11190</v>
      </c>
    </row>
    <row r="1471" spans="2:5">
      <c r="B1471" s="410" t="s">
        <v>9836</v>
      </c>
      <c r="C1471" s="411">
        <v>19805</v>
      </c>
      <c r="D1471" s="412">
        <v>45443</v>
      </c>
      <c r="E1471" s="418" t="s">
        <v>11273</v>
      </c>
    </row>
    <row r="1472" spans="2:5">
      <c r="B1472" s="410" t="s">
        <v>9836</v>
      </c>
      <c r="C1472" s="411">
        <v>19804</v>
      </c>
      <c r="D1472" s="412">
        <v>45443</v>
      </c>
      <c r="E1472" s="418" t="s">
        <v>11191</v>
      </c>
    </row>
    <row r="1473" spans="2:5">
      <c r="B1473" s="410" t="s">
        <v>9836</v>
      </c>
      <c r="C1473" s="411">
        <v>19789</v>
      </c>
      <c r="D1473" s="412">
        <v>45443</v>
      </c>
      <c r="E1473" s="418" t="s">
        <v>11192</v>
      </c>
    </row>
    <row r="1474" spans="2:5">
      <c r="B1474" s="410" t="s">
        <v>9836</v>
      </c>
      <c r="C1474" s="411">
        <v>19787</v>
      </c>
      <c r="D1474" s="412">
        <v>45443</v>
      </c>
      <c r="E1474" s="418" t="s">
        <v>11274</v>
      </c>
    </row>
    <row r="1475" spans="2:5">
      <c r="B1475" s="410" t="s">
        <v>9836</v>
      </c>
      <c r="C1475" s="411">
        <v>19785</v>
      </c>
      <c r="D1475" s="412">
        <v>45443</v>
      </c>
      <c r="E1475" s="418" t="s">
        <v>11193</v>
      </c>
    </row>
    <row r="1476" spans="2:5">
      <c r="B1476" s="410" t="s">
        <v>9836</v>
      </c>
      <c r="C1476" s="411">
        <v>19784</v>
      </c>
      <c r="D1476" s="412">
        <v>45443</v>
      </c>
      <c r="E1476" s="418" t="s">
        <v>11275</v>
      </c>
    </row>
    <row r="1477" spans="2:5">
      <c r="B1477" s="410" t="s">
        <v>9836</v>
      </c>
      <c r="C1477" s="411">
        <v>19783</v>
      </c>
      <c r="D1477" s="412">
        <v>45443</v>
      </c>
      <c r="E1477" s="418" t="s">
        <v>11276</v>
      </c>
    </row>
    <row r="1478" spans="2:5">
      <c r="B1478" s="410" t="s">
        <v>9836</v>
      </c>
      <c r="C1478" s="411">
        <v>19779</v>
      </c>
      <c r="D1478" s="412">
        <v>45443</v>
      </c>
      <c r="E1478" s="418" t="s">
        <v>11277</v>
      </c>
    </row>
    <row r="1479" spans="2:5">
      <c r="B1479" s="410" t="s">
        <v>9836</v>
      </c>
      <c r="C1479" s="411">
        <v>19760</v>
      </c>
      <c r="D1479" s="412">
        <v>45443</v>
      </c>
      <c r="E1479" s="418" t="s">
        <v>11278</v>
      </c>
    </row>
    <row r="1480" spans="2:5">
      <c r="B1480" s="410" t="s">
        <v>9836</v>
      </c>
      <c r="C1480" s="411">
        <v>19757</v>
      </c>
      <c r="D1480" s="412">
        <v>45443</v>
      </c>
      <c r="E1480" s="418" t="s">
        <v>11197</v>
      </c>
    </row>
    <row r="1481" spans="2:5">
      <c r="B1481" s="410" t="s">
        <v>9836</v>
      </c>
      <c r="C1481" s="411">
        <v>19752</v>
      </c>
      <c r="D1481" s="412">
        <v>45443</v>
      </c>
      <c r="E1481" s="418" t="s">
        <v>11196</v>
      </c>
    </row>
    <row r="1482" spans="2:5">
      <c r="B1482" s="410" t="s">
        <v>9836</v>
      </c>
      <c r="C1482" s="411">
        <v>19747</v>
      </c>
      <c r="D1482" s="412">
        <v>45443</v>
      </c>
      <c r="E1482" s="418" t="s">
        <v>11195</v>
      </c>
    </row>
    <row r="1483" spans="2:5">
      <c r="B1483" s="410" t="s">
        <v>9836</v>
      </c>
      <c r="C1483" s="411">
        <v>19732</v>
      </c>
      <c r="D1483" s="412">
        <v>45443</v>
      </c>
      <c r="E1483" s="418" t="s">
        <v>11279</v>
      </c>
    </row>
    <row r="1484" spans="2:5">
      <c r="B1484" s="410" t="s">
        <v>9836</v>
      </c>
      <c r="C1484" s="411">
        <v>19730</v>
      </c>
      <c r="D1484" s="412">
        <v>45443</v>
      </c>
      <c r="E1484" s="418" t="s">
        <v>11280</v>
      </c>
    </row>
    <row r="1485" spans="2:5">
      <c r="B1485" s="410" t="s">
        <v>9836</v>
      </c>
      <c r="C1485" s="411">
        <v>19729</v>
      </c>
      <c r="D1485" s="412">
        <v>45443</v>
      </c>
      <c r="E1485" s="418" t="s">
        <v>11194</v>
      </c>
    </row>
    <row r="1486" spans="2:5">
      <c r="B1486" s="410" t="s">
        <v>9836</v>
      </c>
      <c r="C1486" s="411">
        <v>19715</v>
      </c>
      <c r="D1486" s="412">
        <v>45443</v>
      </c>
      <c r="E1486" s="418" t="s">
        <v>11281</v>
      </c>
    </row>
    <row r="1487" spans="2:5">
      <c r="B1487" s="410" t="s">
        <v>9836</v>
      </c>
      <c r="C1487" s="411">
        <v>19705</v>
      </c>
      <c r="D1487" s="412">
        <v>45443</v>
      </c>
      <c r="E1487" s="418" t="s">
        <v>11198</v>
      </c>
    </row>
    <row r="1488" spans="2:5">
      <c r="B1488" s="410" t="s">
        <v>9836</v>
      </c>
      <c r="C1488" s="411">
        <v>19704</v>
      </c>
      <c r="D1488" s="412">
        <v>45443</v>
      </c>
      <c r="E1488" s="418" t="s">
        <v>11282</v>
      </c>
    </row>
    <row r="1489" spans="2:5">
      <c r="B1489" s="410" t="s">
        <v>9836</v>
      </c>
      <c r="C1489" s="411">
        <v>19703</v>
      </c>
      <c r="D1489" s="412">
        <v>45443</v>
      </c>
      <c r="E1489" s="418" t="s">
        <v>11199</v>
      </c>
    </row>
    <row r="1490" spans="2:5">
      <c r="B1490" s="410" t="s">
        <v>9836</v>
      </c>
      <c r="C1490" s="411">
        <v>19697</v>
      </c>
      <c r="D1490" s="412">
        <v>45443</v>
      </c>
      <c r="E1490" s="418" t="s">
        <v>11283</v>
      </c>
    </row>
    <row r="1491" spans="2:5">
      <c r="B1491" s="410" t="s">
        <v>9836</v>
      </c>
      <c r="C1491" s="411">
        <v>19690</v>
      </c>
      <c r="D1491" s="412">
        <v>45443</v>
      </c>
      <c r="E1491" s="418" t="s">
        <v>11200</v>
      </c>
    </row>
    <row r="1492" spans="2:5">
      <c r="B1492" s="410" t="s">
        <v>9836</v>
      </c>
      <c r="C1492" s="411">
        <v>19683</v>
      </c>
      <c r="D1492" s="412">
        <v>45443</v>
      </c>
      <c r="E1492" s="418" t="s">
        <v>11284</v>
      </c>
    </row>
    <row r="1493" spans="2:5">
      <c r="B1493" s="410" t="s">
        <v>9836</v>
      </c>
      <c r="C1493" s="411">
        <v>19681</v>
      </c>
      <c r="D1493" s="412">
        <v>45443</v>
      </c>
      <c r="E1493" s="418" t="s">
        <v>11285</v>
      </c>
    </row>
    <row r="1494" spans="2:5">
      <c r="B1494" s="410" t="s">
        <v>9836</v>
      </c>
      <c r="C1494" s="411">
        <v>19679</v>
      </c>
      <c r="D1494" s="412">
        <v>45443</v>
      </c>
      <c r="E1494" s="418" t="s">
        <v>11201</v>
      </c>
    </row>
    <row r="1495" spans="2:5">
      <c r="B1495" s="410" t="s">
        <v>9836</v>
      </c>
      <c r="C1495" s="411">
        <v>19673</v>
      </c>
      <c r="D1495" s="412">
        <v>45443</v>
      </c>
      <c r="E1495" s="418" t="s">
        <v>11202</v>
      </c>
    </row>
    <row r="1496" spans="2:5">
      <c r="B1496" s="410" t="s">
        <v>9836</v>
      </c>
      <c r="C1496" s="411">
        <v>19672</v>
      </c>
      <c r="D1496" s="412">
        <v>45443</v>
      </c>
      <c r="E1496" s="418" t="s">
        <v>11286</v>
      </c>
    </row>
    <row r="1497" spans="2:5">
      <c r="B1497" s="410" t="s">
        <v>9836</v>
      </c>
      <c r="C1497" s="411">
        <v>19667</v>
      </c>
      <c r="D1497" s="412">
        <v>45443</v>
      </c>
      <c r="E1497" s="418" t="s">
        <v>11203</v>
      </c>
    </row>
    <row r="1498" spans="2:5">
      <c r="B1498" s="410" t="s">
        <v>9836</v>
      </c>
      <c r="C1498" s="411">
        <v>19665</v>
      </c>
      <c r="D1498" s="412">
        <v>45443</v>
      </c>
      <c r="E1498" s="418" t="s">
        <v>11287</v>
      </c>
    </row>
    <row r="1499" spans="2:5">
      <c r="B1499" s="410" t="s">
        <v>9836</v>
      </c>
      <c r="C1499" s="411">
        <v>19661</v>
      </c>
      <c r="D1499" s="412">
        <v>45443</v>
      </c>
      <c r="E1499" s="418" t="s">
        <v>11204</v>
      </c>
    </row>
    <row r="1500" spans="2:5">
      <c r="B1500" s="410" t="s">
        <v>9836</v>
      </c>
      <c r="C1500" s="411">
        <v>19653</v>
      </c>
      <c r="D1500" s="412">
        <v>45443</v>
      </c>
      <c r="E1500" s="418" t="s">
        <v>11205</v>
      </c>
    </row>
    <row r="1501" spans="2:5">
      <c r="B1501" s="410" t="s">
        <v>9836</v>
      </c>
      <c r="C1501" s="411">
        <v>19650</v>
      </c>
      <c r="D1501" s="412">
        <v>45443</v>
      </c>
      <c r="E1501" s="418" t="s">
        <v>11206</v>
      </c>
    </row>
    <row r="1502" spans="2:5">
      <c r="B1502" s="410" t="s">
        <v>9836</v>
      </c>
      <c r="C1502" s="411">
        <v>19649</v>
      </c>
      <c r="D1502" s="412">
        <v>45443</v>
      </c>
      <c r="E1502" s="418" t="s">
        <v>11207</v>
      </c>
    </row>
    <row r="1503" spans="2:5">
      <c r="B1503" s="410" t="s">
        <v>9836</v>
      </c>
      <c r="C1503" s="411">
        <v>19648</v>
      </c>
      <c r="D1503" s="412">
        <v>45443</v>
      </c>
      <c r="E1503" s="418" t="s">
        <v>11288</v>
      </c>
    </row>
    <row r="1504" spans="2:5">
      <c r="B1504" s="410" t="s">
        <v>9836</v>
      </c>
      <c r="C1504" s="411">
        <v>19647</v>
      </c>
      <c r="D1504" s="412">
        <v>45443</v>
      </c>
      <c r="E1504" s="418" t="s">
        <v>11208</v>
      </c>
    </row>
    <row r="1505" spans="2:5">
      <c r="B1505" s="410" t="s">
        <v>9836</v>
      </c>
      <c r="C1505" s="411">
        <v>19644</v>
      </c>
      <c r="D1505" s="412">
        <v>45443</v>
      </c>
      <c r="E1505" s="418" t="s">
        <v>11289</v>
      </c>
    </row>
    <row r="1506" spans="2:5">
      <c r="B1506" s="410" t="s">
        <v>9836</v>
      </c>
      <c r="C1506" s="411">
        <v>19616</v>
      </c>
      <c r="D1506" s="412">
        <v>45443</v>
      </c>
      <c r="E1506" s="418" t="s">
        <v>11290</v>
      </c>
    </row>
    <row r="1507" spans="2:5">
      <c r="B1507" s="410" t="s">
        <v>9836</v>
      </c>
      <c r="C1507" s="411">
        <v>19610</v>
      </c>
      <c r="D1507" s="412">
        <v>45443</v>
      </c>
      <c r="E1507" s="418" t="s">
        <v>11291</v>
      </c>
    </row>
    <row r="1508" spans="2:5">
      <c r="B1508" s="410" t="s">
        <v>9836</v>
      </c>
      <c r="C1508" s="411">
        <v>19600</v>
      </c>
      <c r="D1508" s="412">
        <v>45443</v>
      </c>
      <c r="E1508" s="418" t="s">
        <v>11209</v>
      </c>
    </row>
    <row r="1509" spans="2:5">
      <c r="B1509" s="410" t="s">
        <v>9836</v>
      </c>
      <c r="C1509" s="411">
        <v>19597</v>
      </c>
      <c r="D1509" s="412">
        <v>45443</v>
      </c>
      <c r="E1509" s="418" t="s">
        <v>11210</v>
      </c>
    </row>
    <row r="1510" spans="2:5">
      <c r="B1510" s="410" t="s">
        <v>9836</v>
      </c>
      <c r="C1510" s="411">
        <v>19592</v>
      </c>
      <c r="D1510" s="412">
        <v>45443</v>
      </c>
      <c r="E1510" s="418" t="s">
        <v>11213</v>
      </c>
    </row>
    <row r="1511" spans="2:5">
      <c r="B1511" s="410" t="s">
        <v>9836</v>
      </c>
      <c r="C1511" s="411">
        <v>19590</v>
      </c>
      <c r="D1511" s="412">
        <v>45443</v>
      </c>
      <c r="E1511" s="418" t="s">
        <v>11212</v>
      </c>
    </row>
    <row r="1512" spans="2:5">
      <c r="B1512" s="410" t="s">
        <v>9836</v>
      </c>
      <c r="C1512" s="411">
        <v>19586</v>
      </c>
      <c r="D1512" s="412">
        <v>45443</v>
      </c>
      <c r="E1512" s="418" t="s">
        <v>11292</v>
      </c>
    </row>
    <row r="1513" spans="2:5">
      <c r="B1513" s="410" t="s">
        <v>9836</v>
      </c>
      <c r="C1513" s="411">
        <v>19567</v>
      </c>
      <c r="D1513" s="412">
        <v>45443</v>
      </c>
      <c r="E1513" s="418" t="s">
        <v>11293</v>
      </c>
    </row>
    <row r="1514" spans="2:5">
      <c r="B1514" s="410" t="s">
        <v>9836</v>
      </c>
      <c r="C1514" s="411">
        <v>19562</v>
      </c>
      <c r="D1514" s="412">
        <v>45443</v>
      </c>
      <c r="E1514" s="418" t="s">
        <v>11294</v>
      </c>
    </row>
    <row r="1515" spans="2:5">
      <c r="B1515" s="410" t="s">
        <v>9836</v>
      </c>
      <c r="C1515" s="411">
        <v>19559</v>
      </c>
      <c r="D1515" s="412">
        <v>45443</v>
      </c>
      <c r="E1515" s="418" t="s">
        <v>11211</v>
      </c>
    </row>
    <row r="1516" spans="2:5">
      <c r="B1516" s="410" t="s">
        <v>9836</v>
      </c>
      <c r="C1516" s="411">
        <v>19553</v>
      </c>
      <c r="D1516" s="412">
        <v>45443</v>
      </c>
      <c r="E1516" s="418" t="s">
        <v>11295</v>
      </c>
    </row>
    <row r="1517" spans="2:5">
      <c r="B1517" s="410" t="s">
        <v>9836</v>
      </c>
      <c r="C1517" s="411">
        <v>19550</v>
      </c>
      <c r="D1517" s="412">
        <v>45443</v>
      </c>
      <c r="E1517" s="418" t="s">
        <v>11214</v>
      </c>
    </row>
    <row r="1518" spans="2:5">
      <c r="B1518" s="410" t="s">
        <v>9836</v>
      </c>
      <c r="C1518" s="411">
        <v>19548</v>
      </c>
      <c r="D1518" s="412">
        <v>45443</v>
      </c>
      <c r="E1518" s="418" t="s">
        <v>11215</v>
      </c>
    </row>
    <row r="1519" spans="2:5">
      <c r="B1519" s="410" t="s">
        <v>9836</v>
      </c>
      <c r="C1519" s="411">
        <v>19547</v>
      </c>
      <c r="D1519" s="412">
        <v>45443</v>
      </c>
      <c r="E1519" s="418" t="s">
        <v>11218</v>
      </c>
    </row>
    <row r="1520" spans="2:5">
      <c r="B1520" s="410" t="s">
        <v>9836</v>
      </c>
      <c r="C1520" s="411">
        <v>19544</v>
      </c>
      <c r="D1520" s="412">
        <v>45443</v>
      </c>
      <c r="E1520" s="418" t="s">
        <v>11296</v>
      </c>
    </row>
    <row r="1521" spans="2:5">
      <c r="B1521" s="410" t="s">
        <v>9836</v>
      </c>
      <c r="C1521" s="411">
        <v>19542</v>
      </c>
      <c r="D1521" s="412">
        <v>45443</v>
      </c>
      <c r="E1521" s="418" t="s">
        <v>11297</v>
      </c>
    </row>
    <row r="1522" spans="2:5">
      <c r="B1522" s="410" t="s">
        <v>9836</v>
      </c>
      <c r="C1522" s="411">
        <v>19538</v>
      </c>
      <c r="D1522" s="412">
        <v>45443</v>
      </c>
      <c r="E1522" s="418" t="s">
        <v>11298</v>
      </c>
    </row>
    <row r="1523" spans="2:5">
      <c r="B1523" s="410" t="s">
        <v>9836</v>
      </c>
      <c r="C1523" s="411">
        <v>19534</v>
      </c>
      <c r="D1523" s="412">
        <v>45443</v>
      </c>
      <c r="E1523" s="418" t="s">
        <v>11217</v>
      </c>
    </row>
    <row r="1524" spans="2:5">
      <c r="B1524" s="410" t="s">
        <v>9836</v>
      </c>
      <c r="C1524" s="411">
        <v>19532</v>
      </c>
      <c r="D1524" s="412">
        <v>45443</v>
      </c>
      <c r="E1524" s="418" t="s">
        <v>11216</v>
      </c>
    </row>
    <row r="1525" spans="2:5">
      <c r="B1525" s="410" t="s">
        <v>9836</v>
      </c>
      <c r="C1525" s="411">
        <v>19531</v>
      </c>
      <c r="D1525" s="412">
        <v>45443</v>
      </c>
      <c r="E1525" s="418" t="s">
        <v>11299</v>
      </c>
    </row>
    <row r="1526" spans="2:5">
      <c r="B1526" s="410" t="s">
        <v>9836</v>
      </c>
      <c r="C1526" s="411">
        <v>19521</v>
      </c>
      <c r="D1526" s="412">
        <v>45443</v>
      </c>
      <c r="E1526" s="418" t="s">
        <v>11222</v>
      </c>
    </row>
    <row r="1527" spans="2:5">
      <c r="B1527" s="410" t="s">
        <v>9836</v>
      </c>
      <c r="C1527" s="411">
        <v>19518</v>
      </c>
      <c r="D1527" s="412">
        <v>45443</v>
      </c>
      <c r="E1527" s="418" t="s">
        <v>11300</v>
      </c>
    </row>
    <row r="1528" spans="2:5">
      <c r="B1528" s="410" t="s">
        <v>9836</v>
      </c>
      <c r="C1528" s="411">
        <v>19516</v>
      </c>
      <c r="D1528" s="412">
        <v>45443</v>
      </c>
      <c r="E1528" s="418" t="s">
        <v>11301</v>
      </c>
    </row>
    <row r="1529" spans="2:5">
      <c r="B1529" s="410" t="s">
        <v>9836</v>
      </c>
      <c r="C1529" s="411">
        <v>19513</v>
      </c>
      <c r="D1529" s="412">
        <v>45443</v>
      </c>
      <c r="E1529" s="418" t="s">
        <v>11221</v>
      </c>
    </row>
    <row r="1530" spans="2:5">
      <c r="B1530" s="410" t="s">
        <v>9836</v>
      </c>
      <c r="C1530" s="411">
        <v>19499</v>
      </c>
      <c r="D1530" s="412">
        <v>45443</v>
      </c>
      <c r="E1530" s="418" t="s">
        <v>11220</v>
      </c>
    </row>
    <row r="1531" spans="2:5">
      <c r="B1531" s="410" t="s">
        <v>9836</v>
      </c>
      <c r="C1531" s="411">
        <v>19497</v>
      </c>
      <c r="D1531" s="412">
        <v>45443</v>
      </c>
      <c r="E1531" s="418" t="s">
        <v>11302</v>
      </c>
    </row>
    <row r="1532" spans="2:5">
      <c r="B1532" s="410" t="s">
        <v>9836</v>
      </c>
      <c r="C1532" s="411">
        <v>19486</v>
      </c>
      <c r="D1532" s="412">
        <v>45443</v>
      </c>
      <c r="E1532" s="418" t="s">
        <v>11303</v>
      </c>
    </row>
    <row r="1533" spans="2:5">
      <c r="B1533" s="410" t="s">
        <v>9836</v>
      </c>
      <c r="C1533" s="411">
        <v>19479</v>
      </c>
      <c r="D1533" s="412">
        <v>45443</v>
      </c>
      <c r="E1533" s="418" t="s">
        <v>11304</v>
      </c>
    </row>
    <row r="1534" spans="2:5">
      <c r="B1534" s="410" t="s">
        <v>9836</v>
      </c>
      <c r="C1534" s="411">
        <v>19471</v>
      </c>
      <c r="D1534" s="412">
        <v>45443</v>
      </c>
      <c r="E1534" s="418" t="s">
        <v>11219</v>
      </c>
    </row>
    <row r="1535" spans="2:5">
      <c r="B1535" s="410" t="s">
        <v>9836</v>
      </c>
      <c r="C1535" s="411">
        <v>19466</v>
      </c>
      <c r="D1535" s="412">
        <v>45443</v>
      </c>
      <c r="E1535" s="418" t="s">
        <v>11223</v>
      </c>
    </row>
    <row r="1536" spans="2:5">
      <c r="B1536" s="410" t="s">
        <v>9836</v>
      </c>
      <c r="C1536" s="411">
        <v>19463</v>
      </c>
      <c r="D1536" s="412">
        <v>45443</v>
      </c>
      <c r="E1536" s="418" t="s">
        <v>11305</v>
      </c>
    </row>
    <row r="1537" spans="2:5">
      <c r="B1537" s="410" t="s">
        <v>9836</v>
      </c>
      <c r="C1537" s="411">
        <v>19461</v>
      </c>
      <c r="D1537" s="412">
        <v>45443</v>
      </c>
      <c r="E1537" s="418" t="s">
        <v>11224</v>
      </c>
    </row>
    <row r="1538" spans="2:5">
      <c r="B1538" s="410" t="s">
        <v>9836</v>
      </c>
      <c r="C1538" s="411">
        <v>19454</v>
      </c>
      <c r="D1538" s="412">
        <v>45443</v>
      </c>
      <c r="E1538" s="418" t="s">
        <v>11225</v>
      </c>
    </row>
    <row r="1539" spans="2:5">
      <c r="B1539" s="410" t="s">
        <v>9836</v>
      </c>
      <c r="C1539" s="411">
        <v>19452</v>
      </c>
      <c r="D1539" s="412">
        <v>45443</v>
      </c>
      <c r="E1539" s="418" t="s">
        <v>11306</v>
      </c>
    </row>
    <row r="1540" spans="2:5">
      <c r="B1540" s="410" t="s">
        <v>9836</v>
      </c>
      <c r="C1540" s="411">
        <v>19440</v>
      </c>
      <c r="D1540" s="412">
        <v>45443</v>
      </c>
      <c r="E1540" s="418" t="s">
        <v>11226</v>
      </c>
    </row>
    <row r="1541" spans="2:5">
      <c r="B1541" s="410" t="s">
        <v>9836</v>
      </c>
      <c r="C1541" s="411">
        <v>19420</v>
      </c>
      <c r="D1541" s="412">
        <v>45443</v>
      </c>
      <c r="E1541" s="418" t="s">
        <v>11227</v>
      </c>
    </row>
    <row r="1542" spans="2:5">
      <c r="B1542" s="410" t="s">
        <v>9836</v>
      </c>
      <c r="C1542" s="411">
        <v>19414</v>
      </c>
      <c r="D1542" s="412">
        <v>45443</v>
      </c>
      <c r="E1542" s="418" t="s">
        <v>11228</v>
      </c>
    </row>
    <row r="1543" spans="2:5">
      <c r="B1543" s="410" t="s">
        <v>9836</v>
      </c>
      <c r="C1543" s="411">
        <v>19398</v>
      </c>
      <c r="D1543" s="412">
        <v>45443</v>
      </c>
      <c r="E1543" s="418" t="s">
        <v>11307</v>
      </c>
    </row>
    <row r="1544" spans="2:5">
      <c r="B1544" s="410" t="s">
        <v>9836</v>
      </c>
      <c r="C1544" s="411">
        <v>19397</v>
      </c>
      <c r="D1544" s="412">
        <v>45443</v>
      </c>
      <c r="E1544" s="418" t="s">
        <v>11308</v>
      </c>
    </row>
    <row r="1545" spans="2:5">
      <c r="B1545" s="410" t="s">
        <v>9836</v>
      </c>
      <c r="C1545" s="411">
        <v>19384</v>
      </c>
      <c r="D1545" s="412">
        <v>45443</v>
      </c>
      <c r="E1545" s="418" t="s">
        <v>11311</v>
      </c>
    </row>
    <row r="1546" spans="2:5">
      <c r="B1546" s="410" t="s">
        <v>9836</v>
      </c>
      <c r="C1546" s="411">
        <v>19383</v>
      </c>
      <c r="D1546" s="412">
        <v>45443</v>
      </c>
      <c r="E1546" s="418" t="s">
        <v>11310</v>
      </c>
    </row>
    <row r="1547" spans="2:5">
      <c r="B1547" s="410" t="s">
        <v>9836</v>
      </c>
      <c r="C1547" s="411">
        <v>19380</v>
      </c>
      <c r="D1547" s="412">
        <v>45443</v>
      </c>
      <c r="E1547" s="418" t="s">
        <v>11309</v>
      </c>
    </row>
    <row r="1548" spans="2:5">
      <c r="B1548" s="410" t="s">
        <v>9836</v>
      </c>
      <c r="C1548" s="411">
        <v>19376</v>
      </c>
      <c r="D1548" s="412">
        <v>45443</v>
      </c>
      <c r="E1548" s="418" t="s">
        <v>11229</v>
      </c>
    </row>
    <row r="1549" spans="2:5">
      <c r="B1549" s="410" t="s">
        <v>9836</v>
      </c>
      <c r="C1549" s="411">
        <v>19375</v>
      </c>
      <c r="D1549" s="412">
        <v>45443</v>
      </c>
      <c r="E1549" s="418" t="s">
        <v>11312</v>
      </c>
    </row>
    <row r="1550" spans="2:5">
      <c r="B1550" s="410" t="s">
        <v>9836</v>
      </c>
      <c r="C1550" s="411">
        <v>19374</v>
      </c>
      <c r="D1550" s="412">
        <v>45443</v>
      </c>
      <c r="E1550" s="418" t="s">
        <v>11313</v>
      </c>
    </row>
    <row r="1551" spans="2:5">
      <c r="B1551" s="410" t="s">
        <v>9836</v>
      </c>
      <c r="C1551" s="411">
        <v>19373</v>
      </c>
      <c r="D1551" s="412">
        <v>45443</v>
      </c>
      <c r="E1551" s="418" t="s">
        <v>11314</v>
      </c>
    </row>
    <row r="1552" spans="2:5">
      <c r="B1552" s="410" t="s">
        <v>9836</v>
      </c>
      <c r="C1552" s="411">
        <v>19363</v>
      </c>
      <c r="D1552" s="412">
        <v>45443</v>
      </c>
      <c r="E1552" s="418" t="s">
        <v>11315</v>
      </c>
    </row>
    <row r="1553" spans="2:5">
      <c r="B1553" s="410" t="s">
        <v>9836</v>
      </c>
      <c r="C1553" s="411">
        <v>19359</v>
      </c>
      <c r="D1553" s="412">
        <v>45443</v>
      </c>
      <c r="E1553" s="418" t="s">
        <v>11316</v>
      </c>
    </row>
    <row r="1554" spans="2:5">
      <c r="B1554" s="410" t="s">
        <v>9836</v>
      </c>
      <c r="C1554" s="411">
        <v>19356</v>
      </c>
      <c r="D1554" s="412">
        <v>45443</v>
      </c>
      <c r="E1554" s="418" t="s">
        <v>11317</v>
      </c>
    </row>
    <row r="1555" spans="2:5">
      <c r="B1555" s="410" t="s">
        <v>9836</v>
      </c>
      <c r="C1555" s="411">
        <v>19351</v>
      </c>
      <c r="D1555" s="412">
        <v>45443</v>
      </c>
      <c r="E1555" s="418" t="s">
        <v>11318</v>
      </c>
    </row>
    <row r="1556" spans="2:5">
      <c r="B1556" s="410" t="s">
        <v>9836</v>
      </c>
      <c r="C1556" s="411">
        <v>19349</v>
      </c>
      <c r="D1556" s="412">
        <v>45443</v>
      </c>
      <c r="E1556" s="418" t="s">
        <v>11319</v>
      </c>
    </row>
    <row r="1557" spans="2:5">
      <c r="B1557" s="410" t="s">
        <v>9836</v>
      </c>
      <c r="C1557" s="411">
        <v>19348</v>
      </c>
      <c r="D1557" s="412">
        <v>45443</v>
      </c>
      <c r="E1557" s="418" t="s">
        <v>11320</v>
      </c>
    </row>
    <row r="1558" spans="2:5">
      <c r="B1558" s="410" t="s">
        <v>9836</v>
      </c>
      <c r="C1558" s="411">
        <v>19347</v>
      </c>
      <c r="D1558" s="412">
        <v>45443</v>
      </c>
      <c r="E1558" s="418" t="s">
        <v>11321</v>
      </c>
    </row>
    <row r="1559" spans="2:5">
      <c r="B1559" s="410" t="s">
        <v>9836</v>
      </c>
      <c r="C1559" s="411">
        <v>19346</v>
      </c>
      <c r="D1559" s="412">
        <v>45443</v>
      </c>
      <c r="E1559" s="418" t="s">
        <v>11322</v>
      </c>
    </row>
    <row r="1560" spans="2:5">
      <c r="B1560" s="410" t="s">
        <v>9836</v>
      </c>
      <c r="C1560" s="411">
        <v>19345</v>
      </c>
      <c r="D1560" s="412">
        <v>45443</v>
      </c>
      <c r="E1560" s="418" t="s">
        <v>11323</v>
      </c>
    </row>
    <row r="1561" spans="2:5">
      <c r="B1561" s="410" t="s">
        <v>9836</v>
      </c>
      <c r="C1561" s="411">
        <v>19342</v>
      </c>
      <c r="D1561" s="412">
        <v>45443</v>
      </c>
      <c r="E1561" s="418" t="s">
        <v>11324</v>
      </c>
    </row>
    <row r="1562" spans="2:5">
      <c r="B1562" s="410" t="s">
        <v>9836</v>
      </c>
      <c r="C1562" s="411">
        <v>19340</v>
      </c>
      <c r="D1562" s="412">
        <v>45443</v>
      </c>
      <c r="E1562" s="418" t="s">
        <v>11325</v>
      </c>
    </row>
    <row r="1563" spans="2:5">
      <c r="B1563" s="410" t="s">
        <v>9836</v>
      </c>
      <c r="C1563" s="411">
        <v>19335</v>
      </c>
      <c r="D1563" s="412">
        <v>45442</v>
      </c>
      <c r="E1563" s="410" t="s">
        <v>10880</v>
      </c>
    </row>
    <row r="1564" spans="2:5">
      <c r="B1564" s="410" t="s">
        <v>9836</v>
      </c>
      <c r="C1564" s="411">
        <v>19332</v>
      </c>
      <c r="D1564" s="412">
        <v>45442</v>
      </c>
      <c r="E1564" s="410" t="s">
        <v>10768</v>
      </c>
    </row>
    <row r="1565" spans="2:5">
      <c r="B1565" s="410" t="s">
        <v>9836</v>
      </c>
      <c r="C1565" s="411">
        <v>19327</v>
      </c>
      <c r="D1565" s="412">
        <v>45442</v>
      </c>
      <c r="E1565" s="410" t="s">
        <v>10881</v>
      </c>
    </row>
    <row r="1566" spans="2:5">
      <c r="B1566" s="410" t="s">
        <v>9836</v>
      </c>
      <c r="C1566" s="411">
        <v>19323</v>
      </c>
      <c r="D1566" s="412">
        <v>45442</v>
      </c>
      <c r="E1566" s="410" t="s">
        <v>10882</v>
      </c>
    </row>
    <row r="1567" spans="2:5">
      <c r="B1567" s="410" t="s">
        <v>9836</v>
      </c>
      <c r="C1567" s="411">
        <v>19320</v>
      </c>
      <c r="D1567" s="412">
        <v>45442</v>
      </c>
      <c r="E1567" s="410" t="s">
        <v>10769</v>
      </c>
    </row>
    <row r="1568" spans="2:5">
      <c r="B1568" s="410" t="s">
        <v>9836</v>
      </c>
      <c r="C1568" s="411">
        <v>19317</v>
      </c>
      <c r="D1568" s="412">
        <v>45442</v>
      </c>
      <c r="E1568" s="410" t="s">
        <v>10770</v>
      </c>
    </row>
    <row r="1569" spans="2:5">
      <c r="B1569" s="410" t="s">
        <v>9836</v>
      </c>
      <c r="C1569" s="411">
        <v>19316</v>
      </c>
      <c r="D1569" s="412">
        <v>45442</v>
      </c>
      <c r="E1569" s="410" t="s">
        <v>10771</v>
      </c>
    </row>
    <row r="1570" spans="2:5">
      <c r="B1570" s="410" t="s">
        <v>9836</v>
      </c>
      <c r="C1570" s="411">
        <v>19315</v>
      </c>
      <c r="D1570" s="412">
        <v>45442</v>
      </c>
      <c r="E1570" s="410" t="s">
        <v>10883</v>
      </c>
    </row>
    <row r="1571" spans="2:5">
      <c r="B1571" s="410" t="s">
        <v>9836</v>
      </c>
      <c r="C1571" s="411">
        <v>19300</v>
      </c>
      <c r="D1571" s="412">
        <v>45442</v>
      </c>
      <c r="E1571" s="410" t="s">
        <v>10772</v>
      </c>
    </row>
    <row r="1572" spans="2:5">
      <c r="B1572" s="410" t="s">
        <v>9836</v>
      </c>
      <c r="C1572" s="411">
        <v>19296</v>
      </c>
      <c r="D1572" s="412">
        <v>45442</v>
      </c>
      <c r="E1572" s="410" t="s">
        <v>10884</v>
      </c>
    </row>
    <row r="1573" spans="2:5">
      <c r="B1573" s="410" t="s">
        <v>9836</v>
      </c>
      <c r="C1573" s="411">
        <v>19279</v>
      </c>
      <c r="D1573" s="412">
        <v>45442</v>
      </c>
      <c r="E1573" s="410" t="s">
        <v>10773</v>
      </c>
    </row>
    <row r="1574" spans="2:5">
      <c r="B1574" s="410" t="s">
        <v>9836</v>
      </c>
      <c r="C1574" s="411">
        <v>19277</v>
      </c>
      <c r="D1574" s="412">
        <v>45442</v>
      </c>
      <c r="E1574" s="410" t="s">
        <v>10774</v>
      </c>
    </row>
    <row r="1575" spans="2:5">
      <c r="B1575" s="410" t="s">
        <v>9836</v>
      </c>
      <c r="C1575" s="411">
        <v>19276</v>
      </c>
      <c r="D1575" s="412">
        <v>45442</v>
      </c>
      <c r="E1575" s="410" t="s">
        <v>10885</v>
      </c>
    </row>
    <row r="1576" spans="2:5">
      <c r="B1576" s="410" t="s">
        <v>9836</v>
      </c>
      <c r="C1576" s="411">
        <v>19272</v>
      </c>
      <c r="D1576" s="412">
        <v>45442</v>
      </c>
      <c r="E1576" s="410" t="s">
        <v>10775</v>
      </c>
    </row>
    <row r="1577" spans="2:5">
      <c r="B1577" s="410" t="s">
        <v>9836</v>
      </c>
      <c r="C1577" s="411">
        <v>19269</v>
      </c>
      <c r="D1577" s="412">
        <v>45442</v>
      </c>
      <c r="E1577" s="410" t="s">
        <v>10776</v>
      </c>
    </row>
    <row r="1578" spans="2:5">
      <c r="B1578" s="410" t="s">
        <v>9836</v>
      </c>
      <c r="C1578" s="411">
        <v>19262</v>
      </c>
      <c r="D1578" s="412">
        <v>45442</v>
      </c>
      <c r="E1578" s="410" t="s">
        <v>10886</v>
      </c>
    </row>
    <row r="1579" spans="2:5">
      <c r="B1579" s="410" t="s">
        <v>9836</v>
      </c>
      <c r="C1579" s="411">
        <v>19261</v>
      </c>
      <c r="D1579" s="412">
        <v>45442</v>
      </c>
      <c r="E1579" s="410" t="s">
        <v>10887</v>
      </c>
    </row>
    <row r="1580" spans="2:5">
      <c r="B1580" s="410" t="s">
        <v>9836</v>
      </c>
      <c r="C1580" s="411">
        <v>19256</v>
      </c>
      <c r="D1580" s="412">
        <v>45442</v>
      </c>
      <c r="E1580" s="410" t="s">
        <v>10777</v>
      </c>
    </row>
    <row r="1581" spans="2:5">
      <c r="B1581" s="410" t="s">
        <v>9836</v>
      </c>
      <c r="C1581" s="411">
        <v>19247</v>
      </c>
      <c r="D1581" s="412">
        <v>45442</v>
      </c>
      <c r="E1581" s="410" t="s">
        <v>10778</v>
      </c>
    </row>
    <row r="1582" spans="2:5">
      <c r="B1582" s="410" t="s">
        <v>9836</v>
      </c>
      <c r="C1582" s="411">
        <v>19237</v>
      </c>
      <c r="D1582" s="412">
        <v>45442</v>
      </c>
      <c r="E1582" s="410" t="s">
        <v>10888</v>
      </c>
    </row>
    <row r="1583" spans="2:5">
      <c r="B1583" s="410" t="s">
        <v>9836</v>
      </c>
      <c r="C1583" s="411">
        <v>19236</v>
      </c>
      <c r="D1583" s="412">
        <v>45442</v>
      </c>
      <c r="E1583" s="410" t="s">
        <v>10889</v>
      </c>
    </row>
    <row r="1584" spans="2:5">
      <c r="B1584" s="410" t="s">
        <v>9836</v>
      </c>
      <c r="C1584" s="411">
        <v>19234</v>
      </c>
      <c r="D1584" s="412">
        <v>45442</v>
      </c>
      <c r="E1584" s="410" t="s">
        <v>10779</v>
      </c>
    </row>
    <row r="1585" spans="2:5">
      <c r="B1585" s="410" t="s">
        <v>9836</v>
      </c>
      <c r="C1585" s="411">
        <v>19230</v>
      </c>
      <c r="D1585" s="412">
        <v>45442</v>
      </c>
      <c r="E1585" s="410" t="s">
        <v>10890</v>
      </c>
    </row>
    <row r="1586" spans="2:5">
      <c r="B1586" s="410" t="s">
        <v>9836</v>
      </c>
      <c r="C1586" s="411">
        <v>19225</v>
      </c>
      <c r="D1586" s="412">
        <v>45442</v>
      </c>
      <c r="E1586" s="410" t="s">
        <v>10780</v>
      </c>
    </row>
    <row r="1587" spans="2:5">
      <c r="B1587" s="410" t="s">
        <v>9836</v>
      </c>
      <c r="C1587" s="411">
        <v>19221</v>
      </c>
      <c r="D1587" s="412">
        <v>45442</v>
      </c>
      <c r="E1587" s="410" t="s">
        <v>10891</v>
      </c>
    </row>
    <row r="1588" spans="2:5">
      <c r="B1588" s="410" t="s">
        <v>9836</v>
      </c>
      <c r="C1588" s="411">
        <v>19217</v>
      </c>
      <c r="D1588" s="412">
        <v>45442</v>
      </c>
      <c r="E1588" s="410" t="s">
        <v>10892</v>
      </c>
    </row>
    <row r="1589" spans="2:5">
      <c r="B1589" s="410" t="s">
        <v>9836</v>
      </c>
      <c r="C1589" s="411">
        <v>19213</v>
      </c>
      <c r="D1589" s="412">
        <v>45442</v>
      </c>
      <c r="E1589" s="410" t="s">
        <v>10893</v>
      </c>
    </row>
    <row r="1590" spans="2:5">
      <c r="B1590" s="410" t="s">
        <v>9836</v>
      </c>
      <c r="C1590" s="411">
        <v>19212</v>
      </c>
      <c r="D1590" s="412">
        <v>45442</v>
      </c>
      <c r="E1590" s="410" t="s">
        <v>10781</v>
      </c>
    </row>
    <row r="1591" spans="2:5">
      <c r="B1591" s="410" t="s">
        <v>9836</v>
      </c>
      <c r="C1591" s="411">
        <v>19211</v>
      </c>
      <c r="D1591" s="412">
        <v>45442</v>
      </c>
      <c r="E1591" s="410" t="s">
        <v>10782</v>
      </c>
    </row>
    <row r="1592" spans="2:5">
      <c r="B1592" s="410" t="s">
        <v>9836</v>
      </c>
      <c r="C1592" s="411">
        <v>19210</v>
      </c>
      <c r="D1592" s="412">
        <v>45442</v>
      </c>
      <c r="E1592" s="410" t="s">
        <v>10783</v>
      </c>
    </row>
    <row r="1593" spans="2:5">
      <c r="B1593" s="410" t="s">
        <v>9836</v>
      </c>
      <c r="C1593" s="411">
        <v>19206</v>
      </c>
      <c r="D1593" s="412">
        <v>45442</v>
      </c>
      <c r="E1593" s="410" t="s">
        <v>10894</v>
      </c>
    </row>
    <row r="1594" spans="2:5">
      <c r="B1594" s="410" t="s">
        <v>9836</v>
      </c>
      <c r="C1594" s="411">
        <v>19202</v>
      </c>
      <c r="D1594" s="412">
        <v>45442</v>
      </c>
      <c r="E1594" s="410" t="s">
        <v>10792</v>
      </c>
    </row>
    <row r="1595" spans="2:5">
      <c r="B1595" s="410" t="s">
        <v>9836</v>
      </c>
      <c r="C1595" s="411">
        <v>19189</v>
      </c>
      <c r="D1595" s="412">
        <v>45442</v>
      </c>
      <c r="E1595" s="410" t="s">
        <v>10791</v>
      </c>
    </row>
    <row r="1596" spans="2:5">
      <c r="B1596" s="410" t="s">
        <v>9836</v>
      </c>
      <c r="C1596" s="411">
        <v>19186</v>
      </c>
      <c r="D1596" s="412">
        <v>45442</v>
      </c>
      <c r="E1596" s="410" t="s">
        <v>10895</v>
      </c>
    </row>
    <row r="1597" spans="2:5">
      <c r="B1597" s="410" t="s">
        <v>9836</v>
      </c>
      <c r="C1597" s="411">
        <v>19178</v>
      </c>
      <c r="D1597" s="412">
        <v>45442</v>
      </c>
      <c r="E1597" s="410" t="s">
        <v>10896</v>
      </c>
    </row>
    <row r="1598" spans="2:5">
      <c r="B1598" s="410" t="s">
        <v>9836</v>
      </c>
      <c r="C1598" s="411">
        <v>19175</v>
      </c>
      <c r="D1598" s="412">
        <v>45442</v>
      </c>
      <c r="E1598" s="410" t="s">
        <v>10790</v>
      </c>
    </row>
    <row r="1599" spans="2:5">
      <c r="B1599" s="410" t="s">
        <v>9836</v>
      </c>
      <c r="C1599" s="411">
        <v>19166</v>
      </c>
      <c r="D1599" s="412">
        <v>45442</v>
      </c>
      <c r="E1599" s="410" t="s">
        <v>10789</v>
      </c>
    </row>
    <row r="1600" spans="2:5">
      <c r="B1600" s="410" t="s">
        <v>9836</v>
      </c>
      <c r="C1600" s="411">
        <v>19162</v>
      </c>
      <c r="D1600" s="412">
        <v>45442</v>
      </c>
      <c r="E1600" s="410" t="s">
        <v>10788</v>
      </c>
    </row>
    <row r="1601" spans="2:5">
      <c r="B1601" s="410" t="s">
        <v>9836</v>
      </c>
      <c r="C1601" s="411">
        <v>19156</v>
      </c>
      <c r="D1601" s="412">
        <v>45442</v>
      </c>
      <c r="E1601" s="410" t="s">
        <v>10787</v>
      </c>
    </row>
    <row r="1602" spans="2:5">
      <c r="B1602" s="410" t="s">
        <v>9836</v>
      </c>
      <c r="C1602" s="411">
        <v>19153</v>
      </c>
      <c r="D1602" s="412">
        <v>45442</v>
      </c>
      <c r="E1602" s="410" t="s">
        <v>10786</v>
      </c>
    </row>
    <row r="1603" spans="2:5">
      <c r="B1603" s="410" t="s">
        <v>9836</v>
      </c>
      <c r="C1603" s="411">
        <v>19146</v>
      </c>
      <c r="D1603" s="412">
        <v>45442</v>
      </c>
      <c r="E1603" s="410" t="s">
        <v>10897</v>
      </c>
    </row>
    <row r="1604" spans="2:5">
      <c r="B1604" s="410" t="s">
        <v>9836</v>
      </c>
      <c r="C1604" s="411">
        <v>19121</v>
      </c>
      <c r="D1604" s="412">
        <v>45442</v>
      </c>
      <c r="E1604" s="410" t="s">
        <v>10785</v>
      </c>
    </row>
    <row r="1605" spans="2:5">
      <c r="B1605" s="410" t="s">
        <v>9836</v>
      </c>
      <c r="C1605" s="411">
        <v>19119</v>
      </c>
      <c r="D1605" s="412">
        <v>45442</v>
      </c>
      <c r="E1605" s="410" t="s">
        <v>10784</v>
      </c>
    </row>
    <row r="1606" spans="2:5">
      <c r="B1606" s="410" t="s">
        <v>9836</v>
      </c>
      <c r="C1606" s="411">
        <v>19107</v>
      </c>
      <c r="D1606" s="412">
        <v>45442</v>
      </c>
      <c r="E1606" s="410" t="s">
        <v>10796</v>
      </c>
    </row>
    <row r="1607" spans="2:5">
      <c r="B1607" s="410" t="s">
        <v>9836</v>
      </c>
      <c r="C1607" s="411">
        <v>19103</v>
      </c>
      <c r="D1607" s="412">
        <v>45442</v>
      </c>
      <c r="E1607" s="410" t="s">
        <v>10898</v>
      </c>
    </row>
    <row r="1608" spans="2:5">
      <c r="B1608" s="410" t="s">
        <v>9836</v>
      </c>
      <c r="C1608" s="411">
        <v>19101</v>
      </c>
      <c r="D1608" s="412">
        <v>45442</v>
      </c>
      <c r="E1608" s="410" t="s">
        <v>10795</v>
      </c>
    </row>
    <row r="1609" spans="2:5">
      <c r="B1609" s="410" t="s">
        <v>9836</v>
      </c>
      <c r="C1609" s="411">
        <v>19098</v>
      </c>
      <c r="D1609" s="412">
        <v>45442</v>
      </c>
      <c r="E1609" s="410" t="s">
        <v>10794</v>
      </c>
    </row>
    <row r="1610" spans="2:5">
      <c r="B1610" s="410" t="s">
        <v>9836</v>
      </c>
      <c r="C1610" s="411">
        <v>19080</v>
      </c>
      <c r="D1610" s="412">
        <v>45442</v>
      </c>
      <c r="E1610" s="410" t="s">
        <v>10793</v>
      </c>
    </row>
    <row r="1611" spans="2:5">
      <c r="B1611" s="410" t="s">
        <v>9836</v>
      </c>
      <c r="C1611" s="411">
        <v>19076</v>
      </c>
      <c r="D1611" s="412">
        <v>45442</v>
      </c>
      <c r="E1611" s="410" t="s">
        <v>10899</v>
      </c>
    </row>
    <row r="1612" spans="2:5">
      <c r="B1612" s="410" t="s">
        <v>9836</v>
      </c>
      <c r="C1612" s="411">
        <v>19072</v>
      </c>
      <c r="D1612" s="412">
        <v>45442</v>
      </c>
      <c r="E1612" s="410" t="s">
        <v>10797</v>
      </c>
    </row>
    <row r="1613" spans="2:5">
      <c r="B1613" s="410" t="s">
        <v>9836</v>
      </c>
      <c r="C1613" s="411">
        <v>19065</v>
      </c>
      <c r="D1613" s="412">
        <v>45442</v>
      </c>
      <c r="E1613" s="410" t="s">
        <v>10900</v>
      </c>
    </row>
    <row r="1614" spans="2:5">
      <c r="B1614" s="410" t="s">
        <v>9836</v>
      </c>
      <c r="C1614" s="411">
        <v>19062</v>
      </c>
      <c r="D1614" s="412">
        <v>45442</v>
      </c>
      <c r="E1614" s="410" t="s">
        <v>10798</v>
      </c>
    </row>
    <row r="1615" spans="2:5">
      <c r="B1615" s="410" t="s">
        <v>9836</v>
      </c>
      <c r="C1615" s="411">
        <v>19059</v>
      </c>
      <c r="D1615" s="412">
        <v>45442</v>
      </c>
      <c r="E1615" s="410" t="s">
        <v>10799</v>
      </c>
    </row>
    <row r="1616" spans="2:5">
      <c r="B1616" s="410" t="s">
        <v>9836</v>
      </c>
      <c r="C1616" s="411">
        <v>19053</v>
      </c>
      <c r="D1616" s="412">
        <v>45442</v>
      </c>
      <c r="E1616" s="410" t="s">
        <v>10901</v>
      </c>
    </row>
    <row r="1617" spans="2:5">
      <c r="B1617" s="410" t="s">
        <v>9836</v>
      </c>
      <c r="C1617" s="411">
        <v>19047</v>
      </c>
      <c r="D1617" s="412">
        <v>45442</v>
      </c>
      <c r="E1617" s="410" t="s">
        <v>10800</v>
      </c>
    </row>
    <row r="1618" spans="2:5">
      <c r="B1618" s="410" t="s">
        <v>9836</v>
      </c>
      <c r="C1618" s="411">
        <v>19036</v>
      </c>
      <c r="D1618" s="412">
        <v>45442</v>
      </c>
      <c r="E1618" s="410" t="s">
        <v>10902</v>
      </c>
    </row>
    <row r="1619" spans="2:5">
      <c r="B1619" s="410" t="s">
        <v>9836</v>
      </c>
      <c r="C1619" s="411">
        <v>19033</v>
      </c>
      <c r="D1619" s="412">
        <v>45442</v>
      </c>
      <c r="E1619" s="410" t="s">
        <v>10801</v>
      </c>
    </row>
    <row r="1620" spans="2:5">
      <c r="B1620" s="410" t="s">
        <v>9836</v>
      </c>
      <c r="C1620" s="411">
        <v>19032</v>
      </c>
      <c r="D1620" s="412">
        <v>45442</v>
      </c>
      <c r="E1620" s="410" t="s">
        <v>10903</v>
      </c>
    </row>
    <row r="1621" spans="2:5">
      <c r="B1621" s="410" t="s">
        <v>9836</v>
      </c>
      <c r="C1621" s="411">
        <v>19026</v>
      </c>
      <c r="D1621" s="412">
        <v>45442</v>
      </c>
      <c r="E1621" s="410" t="s">
        <v>10802</v>
      </c>
    </row>
    <row r="1622" spans="2:5">
      <c r="B1622" s="410" t="s">
        <v>9836</v>
      </c>
      <c r="C1622" s="411">
        <v>19024</v>
      </c>
      <c r="D1622" s="412">
        <v>45442</v>
      </c>
      <c r="E1622" s="410" t="s">
        <v>10803</v>
      </c>
    </row>
    <row r="1623" spans="2:5">
      <c r="B1623" s="410" t="s">
        <v>9836</v>
      </c>
      <c r="C1623" s="411">
        <v>19022</v>
      </c>
      <c r="D1623" s="412">
        <v>45442</v>
      </c>
      <c r="E1623" s="410" t="s">
        <v>10804</v>
      </c>
    </row>
    <row r="1624" spans="2:5">
      <c r="B1624" s="410" t="s">
        <v>9836</v>
      </c>
      <c r="C1624" s="411">
        <v>19019</v>
      </c>
      <c r="D1624" s="412">
        <v>45442</v>
      </c>
      <c r="E1624" s="410" t="s">
        <v>10904</v>
      </c>
    </row>
    <row r="1625" spans="2:5">
      <c r="B1625" s="410" t="s">
        <v>9836</v>
      </c>
      <c r="C1625" s="411">
        <v>19017</v>
      </c>
      <c r="D1625" s="412">
        <v>45442</v>
      </c>
      <c r="E1625" s="410" t="s">
        <v>10805</v>
      </c>
    </row>
    <row r="1626" spans="2:5">
      <c r="B1626" s="410" t="s">
        <v>9836</v>
      </c>
      <c r="C1626" s="411">
        <v>19015</v>
      </c>
      <c r="D1626" s="412">
        <v>45442</v>
      </c>
      <c r="E1626" s="410" t="s">
        <v>10905</v>
      </c>
    </row>
    <row r="1627" spans="2:5">
      <c r="B1627" s="410" t="s">
        <v>9836</v>
      </c>
      <c r="C1627" s="411">
        <v>19014</v>
      </c>
      <c r="D1627" s="412">
        <v>45442</v>
      </c>
      <c r="E1627" s="410" t="s">
        <v>10806</v>
      </c>
    </row>
    <row r="1628" spans="2:5">
      <c r="B1628" s="410" t="s">
        <v>9836</v>
      </c>
      <c r="C1628" s="411">
        <v>19013</v>
      </c>
      <c r="D1628" s="412">
        <v>45442</v>
      </c>
      <c r="E1628" s="410" t="s">
        <v>10807</v>
      </c>
    </row>
    <row r="1629" spans="2:5">
      <c r="B1629" s="410" t="s">
        <v>9836</v>
      </c>
      <c r="C1629" s="411">
        <v>19000</v>
      </c>
      <c r="D1629" s="412">
        <v>45442</v>
      </c>
      <c r="E1629" s="410" t="s">
        <v>10808</v>
      </c>
    </row>
    <row r="1630" spans="2:5">
      <c r="B1630" s="410" t="s">
        <v>9836</v>
      </c>
      <c r="C1630" s="411">
        <v>18997</v>
      </c>
      <c r="D1630" s="412">
        <v>45442</v>
      </c>
      <c r="E1630" s="410" t="s">
        <v>10906</v>
      </c>
    </row>
    <row r="1631" spans="2:5">
      <c r="B1631" s="410" t="s">
        <v>9836</v>
      </c>
      <c r="C1631" s="411">
        <v>18986</v>
      </c>
      <c r="D1631" s="412">
        <v>45442</v>
      </c>
      <c r="E1631" s="410" t="s">
        <v>10809</v>
      </c>
    </row>
    <row r="1632" spans="2:5">
      <c r="B1632" s="410" t="s">
        <v>9836</v>
      </c>
      <c r="C1632" s="411">
        <v>18984</v>
      </c>
      <c r="D1632" s="412">
        <v>45442</v>
      </c>
      <c r="E1632" s="410" t="s">
        <v>10810</v>
      </c>
    </row>
    <row r="1633" spans="2:5">
      <c r="B1633" s="410" t="s">
        <v>9836</v>
      </c>
      <c r="C1633" s="411">
        <v>18983</v>
      </c>
      <c r="D1633" s="412">
        <v>45442</v>
      </c>
      <c r="E1633" s="410" t="s">
        <v>10811</v>
      </c>
    </row>
    <row r="1634" spans="2:5">
      <c r="B1634" s="410" t="s">
        <v>9836</v>
      </c>
      <c r="C1634" s="411">
        <v>18979</v>
      </c>
      <c r="D1634" s="412">
        <v>45442</v>
      </c>
      <c r="E1634" s="410" t="s">
        <v>10826</v>
      </c>
    </row>
    <row r="1635" spans="2:5">
      <c r="B1635" s="410" t="s">
        <v>9836</v>
      </c>
      <c r="C1635" s="411">
        <v>18975</v>
      </c>
      <c r="D1635" s="412">
        <v>45442</v>
      </c>
      <c r="E1635" s="410" t="s">
        <v>10825</v>
      </c>
    </row>
    <row r="1636" spans="2:5">
      <c r="B1636" s="410" t="s">
        <v>9836</v>
      </c>
      <c r="C1636" s="411">
        <v>18972</v>
      </c>
      <c r="D1636" s="412">
        <v>45442</v>
      </c>
      <c r="E1636" s="410" t="s">
        <v>10824</v>
      </c>
    </row>
    <row r="1637" spans="2:5">
      <c r="B1637" s="410" t="s">
        <v>9836</v>
      </c>
      <c r="C1637" s="411">
        <v>18968</v>
      </c>
      <c r="D1637" s="412">
        <v>45442</v>
      </c>
      <c r="E1637" s="410" t="s">
        <v>10907</v>
      </c>
    </row>
    <row r="1638" spans="2:5">
      <c r="B1638" s="410" t="s">
        <v>9836</v>
      </c>
      <c r="C1638" s="411">
        <v>18953</v>
      </c>
      <c r="D1638" s="412">
        <v>45442</v>
      </c>
      <c r="E1638" s="410" t="s">
        <v>10823</v>
      </c>
    </row>
    <row r="1639" spans="2:5">
      <c r="B1639" s="410" t="s">
        <v>9836</v>
      </c>
      <c r="C1639" s="411">
        <v>18952</v>
      </c>
      <c r="D1639" s="412">
        <v>45442</v>
      </c>
      <c r="E1639" s="410" t="s">
        <v>10908</v>
      </c>
    </row>
    <row r="1640" spans="2:5">
      <c r="B1640" s="410" t="s">
        <v>9836</v>
      </c>
      <c r="C1640" s="411">
        <v>18948</v>
      </c>
      <c r="D1640" s="412">
        <v>45442</v>
      </c>
      <c r="E1640" s="410" t="s">
        <v>10909</v>
      </c>
    </row>
    <row r="1641" spans="2:5">
      <c r="B1641" s="410" t="s">
        <v>9836</v>
      </c>
      <c r="C1641" s="411">
        <v>18945</v>
      </c>
      <c r="D1641" s="412">
        <v>45442</v>
      </c>
      <c r="E1641" s="410" t="s">
        <v>10910</v>
      </c>
    </row>
    <row r="1642" spans="2:5">
      <c r="B1642" s="410" t="s">
        <v>9836</v>
      </c>
      <c r="C1642" s="411">
        <v>18944</v>
      </c>
      <c r="D1642" s="412">
        <v>45442</v>
      </c>
      <c r="E1642" s="410" t="s">
        <v>10911</v>
      </c>
    </row>
    <row r="1643" spans="2:5">
      <c r="B1643" s="410" t="s">
        <v>9836</v>
      </c>
      <c r="C1643" s="411">
        <v>18942</v>
      </c>
      <c r="D1643" s="412">
        <v>45442</v>
      </c>
      <c r="E1643" s="410" t="s">
        <v>10912</v>
      </c>
    </row>
    <row r="1644" spans="2:5">
      <c r="B1644" s="410" t="s">
        <v>9836</v>
      </c>
      <c r="C1644" s="411">
        <v>18941</v>
      </c>
      <c r="D1644" s="412">
        <v>45442</v>
      </c>
      <c r="E1644" s="410" t="s">
        <v>10913</v>
      </c>
    </row>
    <row r="1645" spans="2:5">
      <c r="B1645" s="410" t="s">
        <v>9836</v>
      </c>
      <c r="C1645" s="411">
        <v>18938</v>
      </c>
      <c r="D1645" s="412">
        <v>45442</v>
      </c>
      <c r="E1645" s="410" t="s">
        <v>10914</v>
      </c>
    </row>
    <row r="1646" spans="2:5">
      <c r="B1646" s="410" t="s">
        <v>9836</v>
      </c>
      <c r="C1646" s="411">
        <v>18933</v>
      </c>
      <c r="D1646" s="412">
        <v>45442</v>
      </c>
      <c r="E1646" s="410" t="s">
        <v>10822</v>
      </c>
    </row>
    <row r="1647" spans="2:5">
      <c r="B1647" s="410" t="s">
        <v>9836</v>
      </c>
      <c r="C1647" s="411">
        <v>18932</v>
      </c>
      <c r="D1647" s="412">
        <v>45442</v>
      </c>
      <c r="E1647" s="410" t="s">
        <v>10915</v>
      </c>
    </row>
    <row r="1648" spans="2:5">
      <c r="B1648" s="410" t="s">
        <v>9836</v>
      </c>
      <c r="C1648" s="411">
        <v>18931</v>
      </c>
      <c r="D1648" s="412">
        <v>45442</v>
      </c>
      <c r="E1648" s="410" t="s">
        <v>10916</v>
      </c>
    </row>
    <row r="1649" spans="2:5">
      <c r="B1649" s="410" t="s">
        <v>9836</v>
      </c>
      <c r="C1649" s="411">
        <v>18929</v>
      </c>
      <c r="D1649" s="412">
        <v>45442</v>
      </c>
      <c r="E1649" s="410" t="s">
        <v>10917</v>
      </c>
    </row>
    <row r="1650" spans="2:5">
      <c r="B1650" s="410" t="s">
        <v>9836</v>
      </c>
      <c r="C1650" s="411">
        <v>18925</v>
      </c>
      <c r="D1650" s="412">
        <v>45442</v>
      </c>
      <c r="E1650" s="410" t="s">
        <v>10821</v>
      </c>
    </row>
    <row r="1651" spans="2:5">
      <c r="B1651" s="410" t="s">
        <v>9836</v>
      </c>
      <c r="C1651" s="411">
        <v>18921</v>
      </c>
      <c r="D1651" s="412">
        <v>45442</v>
      </c>
      <c r="E1651" s="410" t="s">
        <v>10812</v>
      </c>
    </row>
    <row r="1652" spans="2:5">
      <c r="B1652" s="410" t="s">
        <v>9836</v>
      </c>
      <c r="C1652" s="411">
        <v>18918</v>
      </c>
      <c r="D1652" s="412">
        <v>45442</v>
      </c>
      <c r="E1652" s="410" t="s">
        <v>10918</v>
      </c>
    </row>
    <row r="1653" spans="2:5">
      <c r="B1653" s="410" t="s">
        <v>9836</v>
      </c>
      <c r="C1653" s="411">
        <v>18917</v>
      </c>
      <c r="D1653" s="412">
        <v>45442</v>
      </c>
      <c r="E1653" s="410" t="s">
        <v>10813</v>
      </c>
    </row>
    <row r="1654" spans="2:5">
      <c r="B1654" s="410" t="s">
        <v>9836</v>
      </c>
      <c r="C1654" s="411">
        <v>18913</v>
      </c>
      <c r="D1654" s="412">
        <v>45442</v>
      </c>
      <c r="E1654" s="410" t="s">
        <v>10814</v>
      </c>
    </row>
    <row r="1655" spans="2:5">
      <c r="B1655" s="410" t="s">
        <v>9836</v>
      </c>
      <c r="C1655" s="411">
        <v>18906</v>
      </c>
      <c r="D1655" s="412">
        <v>45442</v>
      </c>
      <c r="E1655" s="410" t="s">
        <v>10919</v>
      </c>
    </row>
    <row r="1656" spans="2:5">
      <c r="B1656" s="410" t="s">
        <v>9836</v>
      </c>
      <c r="C1656" s="411">
        <v>18902</v>
      </c>
      <c r="D1656" s="412">
        <v>45442</v>
      </c>
      <c r="E1656" s="410" t="s">
        <v>10815</v>
      </c>
    </row>
    <row r="1657" spans="2:5">
      <c r="B1657" s="410" t="s">
        <v>9836</v>
      </c>
      <c r="C1657" s="411">
        <v>18896</v>
      </c>
      <c r="D1657" s="412">
        <v>45442</v>
      </c>
      <c r="E1657" s="410" t="s">
        <v>10816</v>
      </c>
    </row>
    <row r="1658" spans="2:5">
      <c r="B1658" s="410" t="s">
        <v>9836</v>
      </c>
      <c r="C1658" s="411">
        <v>18894</v>
      </c>
      <c r="D1658" s="412">
        <v>45442</v>
      </c>
      <c r="E1658" s="410" t="s">
        <v>10817</v>
      </c>
    </row>
    <row r="1659" spans="2:5">
      <c r="B1659" s="410" t="s">
        <v>9836</v>
      </c>
      <c r="C1659" s="411">
        <v>18890</v>
      </c>
      <c r="D1659" s="412">
        <v>45442</v>
      </c>
      <c r="E1659" s="410" t="s">
        <v>10818</v>
      </c>
    </row>
    <row r="1660" spans="2:5">
      <c r="B1660" s="410" t="s">
        <v>9836</v>
      </c>
      <c r="C1660" s="411">
        <v>18888</v>
      </c>
      <c r="D1660" s="412">
        <v>45442</v>
      </c>
      <c r="E1660" s="410" t="s">
        <v>10920</v>
      </c>
    </row>
    <row r="1661" spans="2:5">
      <c r="B1661" s="410" t="s">
        <v>9836</v>
      </c>
      <c r="C1661" s="411">
        <v>18886</v>
      </c>
      <c r="D1661" s="412">
        <v>45442</v>
      </c>
      <c r="E1661" s="410" t="s">
        <v>10819</v>
      </c>
    </row>
    <row r="1662" spans="2:5">
      <c r="B1662" s="410" t="s">
        <v>9836</v>
      </c>
      <c r="C1662" s="411">
        <v>18881</v>
      </c>
      <c r="D1662" s="412">
        <v>45442</v>
      </c>
      <c r="E1662" s="410" t="s">
        <v>10820</v>
      </c>
    </row>
    <row r="1663" spans="2:5">
      <c r="B1663" s="410" t="s">
        <v>9836</v>
      </c>
      <c r="C1663" s="411">
        <v>18879</v>
      </c>
      <c r="D1663" s="412">
        <v>45442</v>
      </c>
      <c r="E1663" s="410" t="s">
        <v>10827</v>
      </c>
    </row>
    <row r="1664" spans="2:5">
      <c r="B1664" s="410" t="s">
        <v>9836</v>
      </c>
      <c r="C1664" s="411">
        <v>18878</v>
      </c>
      <c r="D1664" s="412">
        <v>45442</v>
      </c>
      <c r="E1664" s="415" t="s">
        <v>10921</v>
      </c>
    </row>
    <row r="1665" spans="2:5">
      <c r="B1665" s="410" t="s">
        <v>9836</v>
      </c>
      <c r="C1665" s="411">
        <v>18877</v>
      </c>
      <c r="D1665" s="412">
        <v>45442</v>
      </c>
      <c r="E1665" s="410" t="s">
        <v>10828</v>
      </c>
    </row>
    <row r="1666" spans="2:5">
      <c r="B1666" s="410" t="s">
        <v>9836</v>
      </c>
      <c r="C1666" s="411">
        <v>18871</v>
      </c>
      <c r="D1666" s="412">
        <v>45442</v>
      </c>
      <c r="E1666" s="410" t="s">
        <v>10922</v>
      </c>
    </row>
    <row r="1667" spans="2:5">
      <c r="B1667" s="410" t="s">
        <v>9836</v>
      </c>
      <c r="C1667" s="411">
        <v>18869</v>
      </c>
      <c r="D1667" s="412">
        <v>45442</v>
      </c>
      <c r="E1667" s="410" t="s">
        <v>10829</v>
      </c>
    </row>
    <row r="1668" spans="2:5">
      <c r="B1668" s="410" t="s">
        <v>9836</v>
      </c>
      <c r="C1668" s="411">
        <v>18861</v>
      </c>
      <c r="D1668" s="412">
        <v>45442</v>
      </c>
      <c r="E1668" s="410" t="s">
        <v>10923</v>
      </c>
    </row>
    <row r="1669" spans="2:5">
      <c r="B1669" s="410" t="s">
        <v>9836</v>
      </c>
      <c r="C1669" s="411">
        <v>18848</v>
      </c>
      <c r="D1669" s="412">
        <v>45442</v>
      </c>
      <c r="E1669" s="410" t="s">
        <v>10830</v>
      </c>
    </row>
    <row r="1670" spans="2:5">
      <c r="B1670" s="410" t="s">
        <v>9836</v>
      </c>
      <c r="C1670" s="411">
        <v>18845</v>
      </c>
      <c r="D1670" s="412">
        <v>45442</v>
      </c>
      <c r="E1670" s="410" t="s">
        <v>10924</v>
      </c>
    </row>
    <row r="1671" spans="2:5">
      <c r="B1671" s="410" t="s">
        <v>9836</v>
      </c>
      <c r="C1671" s="411">
        <v>18843</v>
      </c>
      <c r="D1671" s="412">
        <v>45442</v>
      </c>
      <c r="E1671" s="410" t="s">
        <v>10925</v>
      </c>
    </row>
    <row r="1672" spans="2:5">
      <c r="B1672" s="410" t="s">
        <v>9836</v>
      </c>
      <c r="C1672" s="411">
        <v>18836</v>
      </c>
      <c r="D1672" s="412">
        <v>45442</v>
      </c>
      <c r="E1672" s="410" t="s">
        <v>10926</v>
      </c>
    </row>
    <row r="1673" spans="2:5">
      <c r="B1673" s="410" t="s">
        <v>9836</v>
      </c>
      <c r="C1673" s="411">
        <v>18832</v>
      </c>
      <c r="D1673" s="412">
        <v>45442</v>
      </c>
      <c r="E1673" s="410" t="s">
        <v>10831</v>
      </c>
    </row>
    <row r="1674" spans="2:5">
      <c r="B1674" s="410" t="s">
        <v>9836</v>
      </c>
      <c r="C1674" s="411">
        <v>18831</v>
      </c>
      <c r="D1674" s="412">
        <v>45442</v>
      </c>
      <c r="E1674" s="410" t="s">
        <v>10927</v>
      </c>
    </row>
    <row r="1675" spans="2:5">
      <c r="B1675" s="410" t="s">
        <v>9836</v>
      </c>
      <c r="C1675" s="411">
        <v>18816</v>
      </c>
      <c r="D1675" s="412">
        <v>45442</v>
      </c>
      <c r="E1675" s="410" t="s">
        <v>10928</v>
      </c>
    </row>
    <row r="1676" spans="2:5">
      <c r="B1676" s="410" t="s">
        <v>9836</v>
      </c>
      <c r="C1676" s="411">
        <v>18805</v>
      </c>
      <c r="D1676" s="412">
        <v>45442</v>
      </c>
      <c r="E1676" s="410" t="s">
        <v>10832</v>
      </c>
    </row>
    <row r="1677" spans="2:5">
      <c r="B1677" s="410" t="s">
        <v>9836</v>
      </c>
      <c r="C1677" s="411">
        <v>18795</v>
      </c>
      <c r="D1677" s="412">
        <v>45442</v>
      </c>
      <c r="E1677" s="410" t="s">
        <v>10929</v>
      </c>
    </row>
    <row r="1678" spans="2:5">
      <c r="B1678" s="410" t="s">
        <v>9836</v>
      </c>
      <c r="C1678" s="411">
        <v>18793</v>
      </c>
      <c r="D1678" s="412">
        <v>45442</v>
      </c>
      <c r="E1678" s="410" t="s">
        <v>10836</v>
      </c>
    </row>
    <row r="1679" spans="2:5">
      <c r="B1679" s="410" t="s">
        <v>9836</v>
      </c>
      <c r="C1679" s="411">
        <v>18792</v>
      </c>
      <c r="D1679" s="412">
        <v>45442</v>
      </c>
      <c r="E1679" s="410" t="s">
        <v>10835</v>
      </c>
    </row>
    <row r="1680" spans="2:5">
      <c r="B1680" s="410" t="s">
        <v>9836</v>
      </c>
      <c r="C1680" s="411">
        <v>18786</v>
      </c>
      <c r="D1680" s="412">
        <v>45442</v>
      </c>
      <c r="E1680" s="410" t="s">
        <v>10834</v>
      </c>
    </row>
    <row r="1681" spans="2:5">
      <c r="B1681" s="410" t="s">
        <v>9836</v>
      </c>
      <c r="C1681" s="411">
        <v>18781</v>
      </c>
      <c r="D1681" s="412">
        <v>45442</v>
      </c>
      <c r="E1681" s="410" t="s">
        <v>10833</v>
      </c>
    </row>
    <row r="1682" spans="2:5">
      <c r="B1682" s="410" t="s">
        <v>9836</v>
      </c>
      <c r="C1682" s="411">
        <v>18780</v>
      </c>
      <c r="D1682" s="412">
        <v>45442</v>
      </c>
      <c r="E1682" s="410" t="s">
        <v>10930</v>
      </c>
    </row>
    <row r="1683" spans="2:5">
      <c r="B1683" s="410" t="s">
        <v>9836</v>
      </c>
      <c r="C1683" s="411">
        <v>18777</v>
      </c>
      <c r="D1683" s="412">
        <v>45442</v>
      </c>
      <c r="E1683" s="410" t="s">
        <v>10931</v>
      </c>
    </row>
    <row r="1684" spans="2:5">
      <c r="B1684" s="410" t="s">
        <v>9836</v>
      </c>
      <c r="C1684" s="411">
        <v>18776</v>
      </c>
      <c r="D1684" s="412">
        <v>45442</v>
      </c>
      <c r="E1684" s="410" t="s">
        <v>10932</v>
      </c>
    </row>
    <row r="1685" spans="2:5">
      <c r="B1685" s="410" t="s">
        <v>9836</v>
      </c>
      <c r="C1685" s="411">
        <v>18768</v>
      </c>
      <c r="D1685" s="412">
        <v>45442</v>
      </c>
      <c r="E1685" s="410" t="s">
        <v>10933</v>
      </c>
    </row>
    <row r="1686" spans="2:5">
      <c r="B1686" s="410" t="s">
        <v>9836</v>
      </c>
      <c r="C1686" s="411">
        <v>18765</v>
      </c>
      <c r="D1686" s="412">
        <v>45442</v>
      </c>
      <c r="E1686" s="410" t="s">
        <v>10841</v>
      </c>
    </row>
    <row r="1687" spans="2:5">
      <c r="B1687" s="410" t="s">
        <v>9836</v>
      </c>
      <c r="C1687" s="411">
        <v>18761</v>
      </c>
      <c r="D1687" s="412">
        <v>45442</v>
      </c>
      <c r="E1687" s="410" t="s">
        <v>10840</v>
      </c>
    </row>
    <row r="1688" spans="2:5">
      <c r="B1688" s="410" t="s">
        <v>9836</v>
      </c>
      <c r="C1688" s="411">
        <v>18758</v>
      </c>
      <c r="D1688" s="412">
        <v>45442</v>
      </c>
      <c r="E1688" s="410" t="s">
        <v>10839</v>
      </c>
    </row>
    <row r="1689" spans="2:5">
      <c r="B1689" s="410" t="s">
        <v>9836</v>
      </c>
      <c r="C1689" s="411">
        <v>18756</v>
      </c>
      <c r="D1689" s="412">
        <v>45442</v>
      </c>
      <c r="E1689" s="410" t="s">
        <v>10838</v>
      </c>
    </row>
    <row r="1690" spans="2:5">
      <c r="B1690" s="410" t="s">
        <v>9836</v>
      </c>
      <c r="C1690" s="411">
        <v>18754</v>
      </c>
      <c r="D1690" s="412">
        <v>45442</v>
      </c>
      <c r="E1690" s="410" t="s">
        <v>10934</v>
      </c>
    </row>
    <row r="1691" spans="2:5">
      <c r="B1691" s="410" t="s">
        <v>9836</v>
      </c>
      <c r="C1691" s="411">
        <v>18753</v>
      </c>
      <c r="D1691" s="412">
        <v>45442</v>
      </c>
      <c r="E1691" s="410" t="s">
        <v>10837</v>
      </c>
    </row>
    <row r="1692" spans="2:5">
      <c r="B1692" s="410" t="s">
        <v>9836</v>
      </c>
      <c r="C1692" s="411">
        <v>18749</v>
      </c>
      <c r="D1692" s="412">
        <v>45442</v>
      </c>
      <c r="E1692" s="410" t="s">
        <v>10842</v>
      </c>
    </row>
    <row r="1693" spans="2:5">
      <c r="B1693" s="410" t="s">
        <v>9836</v>
      </c>
      <c r="C1693" s="411">
        <v>18746</v>
      </c>
      <c r="D1693" s="412">
        <v>45442</v>
      </c>
      <c r="E1693" s="410" t="s">
        <v>10935</v>
      </c>
    </row>
    <row r="1694" spans="2:5">
      <c r="B1694" s="410" t="s">
        <v>9836</v>
      </c>
      <c r="C1694" s="411">
        <v>18732</v>
      </c>
      <c r="D1694" s="412">
        <v>45442</v>
      </c>
      <c r="E1694" s="410" t="s">
        <v>10936</v>
      </c>
    </row>
    <row r="1695" spans="2:5">
      <c r="B1695" s="410" t="s">
        <v>9836</v>
      </c>
      <c r="C1695" s="411">
        <v>18729</v>
      </c>
      <c r="D1695" s="412">
        <v>45442</v>
      </c>
      <c r="E1695" s="410" t="s">
        <v>10843</v>
      </c>
    </row>
    <row r="1696" spans="2:5">
      <c r="B1696" s="410" t="s">
        <v>9836</v>
      </c>
      <c r="C1696" s="411">
        <v>18725</v>
      </c>
      <c r="D1696" s="412">
        <v>45442</v>
      </c>
      <c r="E1696" s="410" t="s">
        <v>10844</v>
      </c>
    </row>
    <row r="1697" spans="2:5">
      <c r="B1697" s="410" t="s">
        <v>9836</v>
      </c>
      <c r="C1697" s="411">
        <v>18724</v>
      </c>
      <c r="D1697" s="412">
        <v>45442</v>
      </c>
      <c r="E1697" s="410" t="s">
        <v>10937</v>
      </c>
    </row>
    <row r="1698" spans="2:5">
      <c r="B1698" s="410" t="s">
        <v>9836</v>
      </c>
      <c r="C1698" s="411">
        <v>18723</v>
      </c>
      <c r="D1698" s="412">
        <v>45442</v>
      </c>
      <c r="E1698" s="410" t="s">
        <v>10845</v>
      </c>
    </row>
    <row r="1699" spans="2:5">
      <c r="B1699" s="410" t="s">
        <v>9836</v>
      </c>
      <c r="C1699" s="411">
        <v>18710</v>
      </c>
      <c r="D1699" s="412">
        <v>45442</v>
      </c>
      <c r="E1699" s="410" t="s">
        <v>10846</v>
      </c>
    </row>
    <row r="1700" spans="2:5">
      <c r="B1700" s="410" t="s">
        <v>9836</v>
      </c>
      <c r="C1700" s="411">
        <v>18707</v>
      </c>
      <c r="D1700" s="412">
        <v>45442</v>
      </c>
      <c r="E1700" s="410" t="s">
        <v>10850</v>
      </c>
    </row>
    <row r="1701" spans="2:5">
      <c r="B1701" s="410" t="s">
        <v>9836</v>
      </c>
      <c r="C1701" s="411">
        <v>18698</v>
      </c>
      <c r="D1701" s="412">
        <v>45442</v>
      </c>
      <c r="E1701" s="410" t="s">
        <v>10849</v>
      </c>
    </row>
    <row r="1702" spans="2:5">
      <c r="B1702" s="410" t="s">
        <v>9836</v>
      </c>
      <c r="C1702" s="411">
        <v>18693</v>
      </c>
      <c r="D1702" s="412">
        <v>45442</v>
      </c>
      <c r="E1702" s="410" t="s">
        <v>10848</v>
      </c>
    </row>
    <row r="1703" spans="2:5">
      <c r="B1703" s="410" t="s">
        <v>9836</v>
      </c>
      <c r="C1703" s="411">
        <v>18688</v>
      </c>
      <c r="D1703" s="412">
        <v>45442</v>
      </c>
      <c r="E1703" s="410" t="s">
        <v>10847</v>
      </c>
    </row>
    <row r="1704" spans="2:5">
      <c r="B1704" s="410" t="s">
        <v>9836</v>
      </c>
      <c r="C1704" s="411">
        <v>18687</v>
      </c>
      <c r="D1704" s="412">
        <v>45442</v>
      </c>
      <c r="E1704" s="410" t="s">
        <v>10938</v>
      </c>
    </row>
    <row r="1705" spans="2:5">
      <c r="B1705" s="410" t="s">
        <v>9836</v>
      </c>
      <c r="C1705" s="411">
        <v>18686</v>
      </c>
      <c r="D1705" s="412">
        <v>45442</v>
      </c>
      <c r="E1705" s="410" t="s">
        <v>10939</v>
      </c>
    </row>
    <row r="1706" spans="2:5">
      <c r="B1706" s="410" t="s">
        <v>9836</v>
      </c>
      <c r="C1706" s="411">
        <v>18682</v>
      </c>
      <c r="D1706" s="412">
        <v>45442</v>
      </c>
      <c r="E1706" s="410" t="s">
        <v>10940</v>
      </c>
    </row>
    <row r="1707" spans="2:5">
      <c r="B1707" s="410" t="s">
        <v>9836</v>
      </c>
      <c r="C1707" s="411">
        <v>18680</v>
      </c>
      <c r="D1707" s="412">
        <v>45442</v>
      </c>
      <c r="E1707" s="410" t="s">
        <v>10941</v>
      </c>
    </row>
    <row r="1708" spans="2:5">
      <c r="B1708" s="410" t="s">
        <v>9836</v>
      </c>
      <c r="C1708" s="411">
        <v>18674</v>
      </c>
      <c r="D1708" s="412">
        <v>45442</v>
      </c>
      <c r="E1708" s="410" t="s">
        <v>10851</v>
      </c>
    </row>
    <row r="1709" spans="2:5">
      <c r="B1709" s="410" t="s">
        <v>9836</v>
      </c>
      <c r="C1709" s="411">
        <v>18671</v>
      </c>
      <c r="D1709" s="412">
        <v>45442</v>
      </c>
      <c r="E1709" s="410" t="s">
        <v>10852</v>
      </c>
    </row>
    <row r="1710" spans="2:5">
      <c r="B1710" s="410" t="s">
        <v>9836</v>
      </c>
      <c r="C1710" s="411">
        <v>18670</v>
      </c>
      <c r="D1710" s="412">
        <v>45442</v>
      </c>
      <c r="E1710" s="410" t="s">
        <v>10853</v>
      </c>
    </row>
    <row r="1711" spans="2:5">
      <c r="B1711" s="410" t="s">
        <v>9836</v>
      </c>
      <c r="C1711" s="411">
        <v>18669</v>
      </c>
      <c r="D1711" s="412">
        <v>45442</v>
      </c>
      <c r="E1711" s="410" t="s">
        <v>10854</v>
      </c>
    </row>
    <row r="1712" spans="2:5">
      <c r="B1712" s="410" t="s">
        <v>9836</v>
      </c>
      <c r="C1712" s="411">
        <v>18664</v>
      </c>
      <c r="D1712" s="412">
        <v>45442</v>
      </c>
      <c r="E1712" s="410" t="s">
        <v>10855</v>
      </c>
    </row>
    <row r="1713" spans="2:5">
      <c r="B1713" s="410" t="s">
        <v>9836</v>
      </c>
      <c r="C1713" s="411">
        <v>18662</v>
      </c>
      <c r="D1713" s="412">
        <v>45442</v>
      </c>
      <c r="E1713" s="410" t="s">
        <v>10942</v>
      </c>
    </row>
    <row r="1714" spans="2:5">
      <c r="B1714" s="410" t="s">
        <v>9836</v>
      </c>
      <c r="C1714" s="411">
        <v>18655</v>
      </c>
      <c r="D1714" s="412">
        <v>45442</v>
      </c>
      <c r="E1714" s="410" t="s">
        <v>10856</v>
      </c>
    </row>
    <row r="1715" spans="2:5">
      <c r="B1715" s="410" t="s">
        <v>9836</v>
      </c>
      <c r="C1715" s="411">
        <v>18641</v>
      </c>
      <c r="D1715" s="412">
        <v>45442</v>
      </c>
      <c r="E1715" s="410" t="s">
        <v>10862</v>
      </c>
    </row>
    <row r="1716" spans="2:5">
      <c r="B1716" s="410" t="s">
        <v>9836</v>
      </c>
      <c r="C1716" s="411">
        <v>18639</v>
      </c>
      <c r="D1716" s="412">
        <v>45442</v>
      </c>
      <c r="E1716" s="410" t="s">
        <v>10943</v>
      </c>
    </row>
    <row r="1717" spans="2:5">
      <c r="B1717" s="410" t="s">
        <v>9836</v>
      </c>
      <c r="C1717" s="411">
        <v>18635</v>
      </c>
      <c r="D1717" s="412">
        <v>45442</v>
      </c>
      <c r="E1717" s="410" t="s">
        <v>10861</v>
      </c>
    </row>
    <row r="1718" spans="2:5">
      <c r="B1718" s="410" t="s">
        <v>9836</v>
      </c>
      <c r="C1718" s="411">
        <v>18634</v>
      </c>
      <c r="D1718" s="412">
        <v>45442</v>
      </c>
      <c r="E1718" s="410" t="s">
        <v>10860</v>
      </c>
    </row>
    <row r="1719" spans="2:5">
      <c r="B1719" s="410" t="s">
        <v>9836</v>
      </c>
      <c r="C1719" s="411">
        <v>18628</v>
      </c>
      <c r="D1719" s="412">
        <v>45442</v>
      </c>
      <c r="E1719" s="410" t="s">
        <v>10859</v>
      </c>
    </row>
    <row r="1720" spans="2:5">
      <c r="B1720" s="410" t="s">
        <v>9836</v>
      </c>
      <c r="C1720" s="411">
        <v>18627</v>
      </c>
      <c r="D1720" s="412">
        <v>45442</v>
      </c>
      <c r="E1720" s="410" t="s">
        <v>10858</v>
      </c>
    </row>
    <row r="1721" spans="2:5">
      <c r="B1721" s="410" t="s">
        <v>9836</v>
      </c>
      <c r="C1721" s="411">
        <v>18626</v>
      </c>
      <c r="D1721" s="412">
        <v>45442</v>
      </c>
      <c r="E1721" s="410" t="s">
        <v>10857</v>
      </c>
    </row>
    <row r="1722" spans="2:5">
      <c r="B1722" s="410" t="s">
        <v>9836</v>
      </c>
      <c r="C1722" s="411">
        <v>18622</v>
      </c>
      <c r="D1722" s="412">
        <v>45442</v>
      </c>
      <c r="E1722" s="415" t="s">
        <v>10944</v>
      </c>
    </row>
    <row r="1723" spans="2:5">
      <c r="B1723" s="410" t="s">
        <v>9836</v>
      </c>
      <c r="C1723" s="411">
        <v>18621</v>
      </c>
      <c r="D1723" s="412">
        <v>45442</v>
      </c>
      <c r="E1723" s="410" t="s">
        <v>10863</v>
      </c>
    </row>
    <row r="1724" spans="2:5">
      <c r="B1724" s="410" t="s">
        <v>9836</v>
      </c>
      <c r="C1724" s="411">
        <v>18614</v>
      </c>
      <c r="D1724" s="412">
        <v>45442</v>
      </c>
      <c r="E1724" s="410" t="s">
        <v>10945</v>
      </c>
    </row>
    <row r="1725" spans="2:5">
      <c r="B1725" s="410" t="s">
        <v>9836</v>
      </c>
      <c r="C1725" s="411">
        <v>18613</v>
      </c>
      <c r="D1725" s="412">
        <v>45442</v>
      </c>
      <c r="E1725" s="415" t="s">
        <v>10946</v>
      </c>
    </row>
    <row r="1726" spans="2:5">
      <c r="B1726" s="410" t="s">
        <v>9836</v>
      </c>
      <c r="C1726" s="411">
        <v>18610</v>
      </c>
      <c r="D1726" s="412">
        <v>45442</v>
      </c>
      <c r="E1726" s="410" t="s">
        <v>10864</v>
      </c>
    </row>
    <row r="1727" spans="2:5">
      <c r="B1727" s="410" t="s">
        <v>9836</v>
      </c>
      <c r="C1727" s="411">
        <v>18601</v>
      </c>
      <c r="D1727" s="412">
        <v>45442</v>
      </c>
      <c r="E1727" s="415" t="s">
        <v>10947</v>
      </c>
    </row>
    <row r="1728" spans="2:5">
      <c r="B1728" s="410" t="s">
        <v>9836</v>
      </c>
      <c r="C1728" s="411">
        <v>18590</v>
      </c>
      <c r="D1728" s="412">
        <v>45442</v>
      </c>
      <c r="E1728" s="415" t="s">
        <v>10948</v>
      </c>
    </row>
    <row r="1729" spans="2:5">
      <c r="B1729" s="410" t="s">
        <v>9836</v>
      </c>
      <c r="C1729" s="411">
        <v>18580</v>
      </c>
      <c r="D1729" s="412">
        <v>45442</v>
      </c>
      <c r="E1729" s="415" t="s">
        <v>10949</v>
      </c>
    </row>
    <row r="1730" spans="2:5">
      <c r="B1730" s="410" t="s">
        <v>9836</v>
      </c>
      <c r="C1730" s="411">
        <v>18577</v>
      </c>
      <c r="D1730" s="412">
        <v>45442</v>
      </c>
      <c r="E1730" s="415" t="s">
        <v>10950</v>
      </c>
    </row>
    <row r="1731" spans="2:5">
      <c r="B1731" s="410" t="s">
        <v>9836</v>
      </c>
      <c r="C1731" s="411">
        <v>18572</v>
      </c>
      <c r="D1731" s="412">
        <v>45442</v>
      </c>
      <c r="E1731" s="410" t="s">
        <v>10865</v>
      </c>
    </row>
    <row r="1732" spans="2:5">
      <c r="B1732" s="410" t="s">
        <v>9836</v>
      </c>
      <c r="C1732" s="411">
        <v>18570</v>
      </c>
      <c r="D1732" s="412">
        <v>45442</v>
      </c>
      <c r="E1732" s="415" t="s">
        <v>10951</v>
      </c>
    </row>
    <row r="1733" spans="2:5">
      <c r="B1733" s="410" t="s">
        <v>9836</v>
      </c>
      <c r="C1733" s="411">
        <v>18568</v>
      </c>
      <c r="D1733" s="412">
        <v>45442</v>
      </c>
      <c r="E1733" s="415" t="s">
        <v>10952</v>
      </c>
    </row>
    <row r="1734" spans="2:5">
      <c r="B1734" s="410" t="s">
        <v>9836</v>
      </c>
      <c r="C1734" s="411">
        <v>18563</v>
      </c>
      <c r="D1734" s="412">
        <v>45442</v>
      </c>
      <c r="E1734" s="410" t="s">
        <v>10866</v>
      </c>
    </row>
    <row r="1735" spans="2:5">
      <c r="B1735" s="410" t="s">
        <v>9836</v>
      </c>
      <c r="C1735" s="411">
        <v>18560</v>
      </c>
      <c r="D1735" s="412">
        <v>45442</v>
      </c>
      <c r="E1735" s="415" t="s">
        <v>10953</v>
      </c>
    </row>
    <row r="1736" spans="2:5">
      <c r="B1736" s="410" t="s">
        <v>9836</v>
      </c>
      <c r="C1736" s="411">
        <v>18556</v>
      </c>
      <c r="D1736" s="412">
        <v>45442</v>
      </c>
      <c r="E1736" s="410" t="s">
        <v>10867</v>
      </c>
    </row>
    <row r="1737" spans="2:5">
      <c r="B1737" s="410" t="s">
        <v>9836</v>
      </c>
      <c r="C1737" s="411">
        <v>18554</v>
      </c>
      <c r="D1737" s="412">
        <v>45442</v>
      </c>
      <c r="E1737" s="410" t="s">
        <v>10868</v>
      </c>
    </row>
    <row r="1738" spans="2:5">
      <c r="B1738" s="410" t="s">
        <v>9836</v>
      </c>
      <c r="C1738" s="411">
        <v>18552</v>
      </c>
      <c r="D1738" s="412">
        <v>45442</v>
      </c>
      <c r="E1738" s="410" t="s">
        <v>10869</v>
      </c>
    </row>
    <row r="1739" spans="2:5">
      <c r="B1739" s="410" t="s">
        <v>9836</v>
      </c>
      <c r="C1739" s="411">
        <v>18549</v>
      </c>
      <c r="D1739" s="412">
        <v>45442</v>
      </c>
      <c r="E1739" s="410" t="s">
        <v>10870</v>
      </c>
    </row>
    <row r="1740" spans="2:5">
      <c r="B1740" s="410" t="s">
        <v>9836</v>
      </c>
      <c r="C1740" s="411">
        <v>18548</v>
      </c>
      <c r="D1740" s="412">
        <v>45442</v>
      </c>
      <c r="E1740" s="415" t="s">
        <v>10954</v>
      </c>
    </row>
    <row r="1741" spans="2:5">
      <c r="B1741" s="410" t="s">
        <v>9836</v>
      </c>
      <c r="C1741" s="411">
        <v>18542</v>
      </c>
      <c r="D1741" s="412">
        <v>45442</v>
      </c>
      <c r="E1741" s="415" t="s">
        <v>10955</v>
      </c>
    </row>
    <row r="1742" spans="2:5">
      <c r="B1742" s="410" t="s">
        <v>9836</v>
      </c>
      <c r="C1742" s="411">
        <v>18540</v>
      </c>
      <c r="D1742" s="412">
        <v>45442</v>
      </c>
      <c r="E1742" s="415" t="s">
        <v>10956</v>
      </c>
    </row>
    <row r="1743" spans="2:5">
      <c r="B1743" s="410" t="s">
        <v>9836</v>
      </c>
      <c r="C1743" s="411">
        <v>18537</v>
      </c>
      <c r="D1743" s="412">
        <v>45442</v>
      </c>
      <c r="E1743" s="415" t="s">
        <v>10957</v>
      </c>
    </row>
    <row r="1744" spans="2:5">
      <c r="B1744" s="410" t="s">
        <v>9836</v>
      </c>
      <c r="C1744" s="411">
        <v>18536</v>
      </c>
      <c r="D1744" s="412">
        <v>45442</v>
      </c>
      <c r="E1744" s="410" t="s">
        <v>10871</v>
      </c>
    </row>
    <row r="1745" spans="2:5">
      <c r="B1745" s="410" t="s">
        <v>9836</v>
      </c>
      <c r="C1745" s="411">
        <v>18520</v>
      </c>
      <c r="D1745" s="412">
        <v>45442</v>
      </c>
      <c r="E1745" s="410" t="s">
        <v>10872</v>
      </c>
    </row>
    <row r="1746" spans="2:5">
      <c r="B1746" s="410" t="s">
        <v>9836</v>
      </c>
      <c r="C1746" s="411">
        <v>18518</v>
      </c>
      <c r="D1746" s="412">
        <v>45442</v>
      </c>
      <c r="E1746" s="410" t="s">
        <v>10873</v>
      </c>
    </row>
    <row r="1747" spans="2:5">
      <c r="B1747" s="410" t="s">
        <v>9836</v>
      </c>
      <c r="C1747" s="411">
        <v>18515</v>
      </c>
      <c r="D1747" s="412">
        <v>45442</v>
      </c>
      <c r="E1747" s="410" t="s">
        <v>10874</v>
      </c>
    </row>
    <row r="1748" spans="2:5">
      <c r="B1748" s="410" t="s">
        <v>9836</v>
      </c>
      <c r="C1748" s="411">
        <v>18512</v>
      </c>
      <c r="D1748" s="412">
        <v>45442</v>
      </c>
      <c r="E1748" s="410" t="s">
        <v>10875</v>
      </c>
    </row>
    <row r="1749" spans="2:5">
      <c r="B1749" s="410" t="s">
        <v>9836</v>
      </c>
      <c r="C1749" s="411">
        <v>18507</v>
      </c>
      <c r="D1749" s="412">
        <v>45442</v>
      </c>
      <c r="E1749" s="410" t="s">
        <v>10876</v>
      </c>
    </row>
    <row r="1750" spans="2:5">
      <c r="B1750" s="410" t="s">
        <v>9836</v>
      </c>
      <c r="C1750" s="411">
        <v>18503</v>
      </c>
      <c r="D1750" s="412">
        <v>45442</v>
      </c>
      <c r="E1750" s="410" t="s">
        <v>10958</v>
      </c>
    </row>
    <row r="1751" spans="2:5">
      <c r="B1751" s="410" t="s">
        <v>9836</v>
      </c>
      <c r="C1751" s="411">
        <v>18499</v>
      </c>
      <c r="D1751" s="412">
        <v>45442</v>
      </c>
      <c r="E1751" s="410" t="s">
        <v>10959</v>
      </c>
    </row>
    <row r="1752" spans="2:5">
      <c r="B1752" s="410" t="s">
        <v>9836</v>
      </c>
      <c r="C1752" s="411">
        <v>18498</v>
      </c>
      <c r="D1752" s="412">
        <v>45442</v>
      </c>
      <c r="E1752" s="410" t="s">
        <v>10877</v>
      </c>
    </row>
    <row r="1753" spans="2:5">
      <c r="B1753" s="410" t="s">
        <v>9836</v>
      </c>
      <c r="C1753" s="411">
        <v>18489</v>
      </c>
      <c r="D1753" s="412">
        <v>45442</v>
      </c>
      <c r="E1753" s="415" t="s">
        <v>10960</v>
      </c>
    </row>
    <row r="1754" spans="2:5">
      <c r="B1754" s="410" t="s">
        <v>9836</v>
      </c>
      <c r="C1754" s="411">
        <v>18471</v>
      </c>
      <c r="D1754" s="412">
        <v>45442</v>
      </c>
      <c r="E1754" s="415" t="s">
        <v>10961</v>
      </c>
    </row>
    <row r="1755" spans="2:5">
      <c r="B1755" s="410" t="s">
        <v>9836</v>
      </c>
      <c r="C1755" s="411">
        <v>18461</v>
      </c>
      <c r="D1755" s="412">
        <v>45442</v>
      </c>
      <c r="E1755" s="415" t="s">
        <v>10962</v>
      </c>
    </row>
    <row r="1756" spans="2:5">
      <c r="B1756" s="410" t="s">
        <v>9836</v>
      </c>
      <c r="C1756" s="411">
        <v>18459</v>
      </c>
      <c r="D1756" s="412">
        <v>45442</v>
      </c>
      <c r="E1756" s="415" t="s">
        <v>10963</v>
      </c>
    </row>
    <row r="1757" spans="2:5">
      <c r="B1757" s="410" t="s">
        <v>9836</v>
      </c>
      <c r="C1757" s="411">
        <v>18458</v>
      </c>
      <c r="D1757" s="412">
        <v>45442</v>
      </c>
      <c r="E1757" s="410" t="s">
        <v>10878</v>
      </c>
    </row>
    <row r="1758" spans="2:5">
      <c r="B1758" s="410" t="s">
        <v>9836</v>
      </c>
      <c r="C1758" s="411">
        <v>18457</v>
      </c>
      <c r="D1758" s="412">
        <v>45442</v>
      </c>
      <c r="E1758" s="410" t="s">
        <v>10879</v>
      </c>
    </row>
    <row r="1759" spans="2:5">
      <c r="B1759" s="410" t="s">
        <v>9836</v>
      </c>
      <c r="C1759" s="411">
        <v>18449</v>
      </c>
      <c r="D1759" s="412">
        <v>45442</v>
      </c>
      <c r="E1759" s="415" t="s">
        <v>10964</v>
      </c>
    </row>
    <row r="1760" spans="2:5">
      <c r="B1760" s="410" t="s">
        <v>9836</v>
      </c>
      <c r="C1760" s="411">
        <v>18444</v>
      </c>
      <c r="D1760" s="412">
        <v>45442</v>
      </c>
      <c r="E1760" s="415" t="s">
        <v>10965</v>
      </c>
    </row>
    <row r="1761" spans="2:7">
      <c r="B1761" s="410" t="s">
        <v>9836</v>
      </c>
      <c r="C1761" s="411">
        <v>18432</v>
      </c>
      <c r="D1761" s="412">
        <v>45441</v>
      </c>
      <c r="E1761" s="410" t="s">
        <v>10491</v>
      </c>
      <c r="F1761" s="410">
        <v>4</v>
      </c>
      <c r="G1761" s="410" t="s">
        <v>10748</v>
      </c>
    </row>
    <row r="1762" spans="2:7">
      <c r="B1762" s="410" t="s">
        <v>9836</v>
      </c>
      <c r="C1762" s="411">
        <v>18427</v>
      </c>
      <c r="D1762" s="412">
        <v>45441</v>
      </c>
      <c r="E1762" s="410" t="s">
        <v>10651</v>
      </c>
    </row>
    <row r="1763" spans="2:7">
      <c r="B1763" s="410" t="s">
        <v>9836</v>
      </c>
      <c r="C1763" s="411">
        <v>18418</v>
      </c>
      <c r="D1763" s="412">
        <v>45441</v>
      </c>
      <c r="E1763" s="410" t="s">
        <v>10492</v>
      </c>
      <c r="F1763" s="410">
        <v>2</v>
      </c>
      <c r="G1763" s="410" t="s">
        <v>2349</v>
      </c>
    </row>
    <row r="1764" spans="2:7">
      <c r="B1764" s="410" t="s">
        <v>9836</v>
      </c>
      <c r="C1764" s="411">
        <v>18415</v>
      </c>
      <c r="D1764" s="412">
        <v>45441</v>
      </c>
      <c r="E1764" s="410" t="s">
        <v>10652</v>
      </c>
    </row>
    <row r="1765" spans="2:7">
      <c r="B1765" s="410" t="s">
        <v>9836</v>
      </c>
      <c r="C1765" s="411">
        <v>18414</v>
      </c>
      <c r="D1765" s="412">
        <v>45441</v>
      </c>
      <c r="E1765" s="410" t="s">
        <v>10653</v>
      </c>
    </row>
    <row r="1766" spans="2:7" s="49" customFormat="1">
      <c r="B1766" s="49" t="s">
        <v>9836</v>
      </c>
      <c r="C1766" s="413">
        <v>18407</v>
      </c>
      <c r="D1766" s="414">
        <v>45441</v>
      </c>
      <c r="E1766" s="49" t="s">
        <v>10493</v>
      </c>
      <c r="F1766" s="49">
        <v>9</v>
      </c>
      <c r="G1766" s="49" t="s">
        <v>10750</v>
      </c>
    </row>
    <row r="1767" spans="2:7">
      <c r="B1767" s="410" t="s">
        <v>9836</v>
      </c>
      <c r="C1767" s="411">
        <v>18401</v>
      </c>
      <c r="D1767" s="412">
        <v>45441</v>
      </c>
      <c r="E1767" s="410" t="s">
        <v>10494</v>
      </c>
      <c r="F1767" s="410">
        <v>4</v>
      </c>
      <c r="G1767" s="410" t="s">
        <v>10753</v>
      </c>
    </row>
    <row r="1768" spans="2:7">
      <c r="B1768" s="410" t="s">
        <v>9836</v>
      </c>
      <c r="C1768" s="411">
        <v>18400</v>
      </c>
      <c r="D1768" s="412">
        <v>45441</v>
      </c>
      <c r="E1768" s="410" t="s">
        <v>10654</v>
      </c>
    </row>
    <row r="1769" spans="2:7">
      <c r="B1769" s="410" t="s">
        <v>9836</v>
      </c>
      <c r="C1769" s="411">
        <v>18395</v>
      </c>
      <c r="D1769" s="412">
        <v>45441</v>
      </c>
      <c r="E1769" s="410" t="s">
        <v>10495</v>
      </c>
      <c r="F1769" s="410">
        <v>3</v>
      </c>
      <c r="G1769" s="410" t="s">
        <v>10754</v>
      </c>
    </row>
    <row r="1770" spans="2:7">
      <c r="B1770" s="410" t="s">
        <v>9836</v>
      </c>
      <c r="C1770" s="411">
        <v>18392</v>
      </c>
      <c r="D1770" s="412">
        <v>45441</v>
      </c>
      <c r="E1770" s="410" t="s">
        <v>10496</v>
      </c>
      <c r="F1770" s="410">
        <v>3</v>
      </c>
      <c r="G1770" s="410" t="s">
        <v>10757</v>
      </c>
    </row>
    <row r="1771" spans="2:7">
      <c r="B1771" s="410" t="s">
        <v>9836</v>
      </c>
      <c r="C1771" s="411">
        <v>18386</v>
      </c>
      <c r="D1771" s="412">
        <v>45441</v>
      </c>
      <c r="E1771" s="410" t="s">
        <v>10655</v>
      </c>
    </row>
    <row r="1772" spans="2:7">
      <c r="B1772" s="410" t="s">
        <v>9836</v>
      </c>
      <c r="C1772" s="411">
        <v>18383</v>
      </c>
      <c r="D1772" s="412">
        <v>45441</v>
      </c>
      <c r="E1772" s="410" t="s">
        <v>10656</v>
      </c>
    </row>
    <row r="1773" spans="2:7">
      <c r="B1773" s="410" t="s">
        <v>9836</v>
      </c>
      <c r="C1773" s="411">
        <v>18380</v>
      </c>
      <c r="D1773" s="412">
        <v>45441</v>
      </c>
      <c r="E1773" s="410" t="s">
        <v>10497</v>
      </c>
      <c r="F1773" s="410">
        <v>5</v>
      </c>
      <c r="G1773" s="410" t="s">
        <v>10760</v>
      </c>
    </row>
    <row r="1774" spans="2:7">
      <c r="B1774" s="410" t="s">
        <v>9836</v>
      </c>
      <c r="C1774" s="411">
        <v>18379</v>
      </c>
      <c r="D1774" s="412">
        <v>45441</v>
      </c>
      <c r="E1774" s="410" t="s">
        <v>10657</v>
      </c>
    </row>
    <row r="1775" spans="2:7">
      <c r="B1775" s="410" t="s">
        <v>9836</v>
      </c>
      <c r="C1775" s="411">
        <v>18378</v>
      </c>
      <c r="D1775" s="412">
        <v>45441</v>
      </c>
      <c r="E1775" s="410" t="s">
        <v>10498</v>
      </c>
      <c r="F1775" s="410">
        <v>3</v>
      </c>
      <c r="G1775" s="410" t="s">
        <v>10761</v>
      </c>
    </row>
    <row r="1776" spans="2:7">
      <c r="B1776" s="410" t="s">
        <v>9836</v>
      </c>
      <c r="C1776" s="411">
        <v>18376</v>
      </c>
      <c r="D1776" s="412">
        <v>45441</v>
      </c>
      <c r="E1776" s="410" t="s">
        <v>10499</v>
      </c>
      <c r="F1776" s="410">
        <v>3</v>
      </c>
      <c r="G1776" s="410" t="s">
        <v>10764</v>
      </c>
    </row>
    <row r="1777" spans="2:7">
      <c r="B1777" s="410" t="s">
        <v>9836</v>
      </c>
      <c r="C1777" s="411">
        <v>18373</v>
      </c>
      <c r="D1777" s="412">
        <v>45441</v>
      </c>
      <c r="E1777" s="410" t="s">
        <v>10658</v>
      </c>
    </row>
    <row r="1778" spans="2:7">
      <c r="B1778" s="410" t="s">
        <v>9836</v>
      </c>
      <c r="C1778" s="411">
        <v>18369</v>
      </c>
      <c r="D1778" s="412">
        <v>45441</v>
      </c>
      <c r="E1778" s="410" t="s">
        <v>10659</v>
      </c>
    </row>
    <row r="1779" spans="2:7">
      <c r="B1779" s="410" t="s">
        <v>9836</v>
      </c>
      <c r="C1779" s="411">
        <v>18359</v>
      </c>
      <c r="D1779" s="412">
        <v>45441</v>
      </c>
      <c r="E1779" s="410" t="s">
        <v>10660</v>
      </c>
    </row>
    <row r="1780" spans="2:7">
      <c r="B1780" s="410" t="s">
        <v>9836</v>
      </c>
      <c r="C1780" s="411">
        <v>18358</v>
      </c>
      <c r="D1780" s="412">
        <v>45441</v>
      </c>
      <c r="E1780" s="410" t="s">
        <v>10661</v>
      </c>
    </row>
    <row r="1781" spans="2:7">
      <c r="B1781" s="410" t="s">
        <v>9836</v>
      </c>
      <c r="C1781" s="411">
        <v>18353</v>
      </c>
      <c r="D1781" s="412">
        <v>45441</v>
      </c>
      <c r="E1781" s="410" t="s">
        <v>10500</v>
      </c>
      <c r="F1781" s="410">
        <v>3</v>
      </c>
      <c r="G1781" s="410" t="s">
        <v>10765</v>
      </c>
    </row>
    <row r="1782" spans="2:7">
      <c r="B1782" s="410" t="s">
        <v>9836</v>
      </c>
      <c r="C1782" s="411">
        <v>18351</v>
      </c>
      <c r="D1782" s="412">
        <v>45441</v>
      </c>
      <c r="E1782" s="410" t="s">
        <v>10501</v>
      </c>
      <c r="F1782" s="410">
        <v>2</v>
      </c>
      <c r="G1782" s="410" t="s">
        <v>10766</v>
      </c>
    </row>
    <row r="1783" spans="2:7">
      <c r="B1783" s="410" t="s">
        <v>9836</v>
      </c>
      <c r="C1783" s="411">
        <v>18347</v>
      </c>
      <c r="D1783" s="412">
        <v>45441</v>
      </c>
      <c r="E1783" s="410" t="s">
        <v>10502</v>
      </c>
      <c r="F1783" s="410">
        <v>6</v>
      </c>
      <c r="G1783" s="410" t="s">
        <v>10767</v>
      </c>
    </row>
    <row r="1784" spans="2:7">
      <c r="B1784" s="410" t="s">
        <v>9836</v>
      </c>
      <c r="C1784" s="411">
        <v>18335</v>
      </c>
      <c r="D1784" s="412">
        <v>45441</v>
      </c>
      <c r="E1784" s="410" t="s">
        <v>10662</v>
      </c>
    </row>
    <row r="1785" spans="2:7">
      <c r="B1785" s="410" t="s">
        <v>9836</v>
      </c>
      <c r="C1785" s="411">
        <v>18334</v>
      </c>
      <c r="D1785" s="412">
        <v>45441</v>
      </c>
      <c r="E1785" s="410" t="s">
        <v>10663</v>
      </c>
    </row>
    <row r="1786" spans="2:7">
      <c r="B1786" s="410" t="s">
        <v>9836</v>
      </c>
      <c r="C1786" s="411">
        <v>18328</v>
      </c>
      <c r="D1786" s="412">
        <v>45441</v>
      </c>
      <c r="E1786" s="410" t="s">
        <v>10503</v>
      </c>
    </row>
    <row r="1787" spans="2:7">
      <c r="B1787" s="410" t="s">
        <v>9836</v>
      </c>
      <c r="C1787" s="411">
        <v>18327</v>
      </c>
      <c r="D1787" s="412">
        <v>45441</v>
      </c>
      <c r="E1787" s="410" t="s">
        <v>10664</v>
      </c>
    </row>
    <row r="1788" spans="2:7">
      <c r="B1788" s="410" t="s">
        <v>9836</v>
      </c>
      <c r="C1788" s="411">
        <v>18326</v>
      </c>
      <c r="D1788" s="412">
        <v>45453</v>
      </c>
      <c r="E1788" s="424" t="s">
        <v>12423</v>
      </c>
    </row>
    <row r="1789" spans="2:7">
      <c r="B1789" s="410" t="s">
        <v>9836</v>
      </c>
      <c r="C1789" s="411">
        <v>18314</v>
      </c>
      <c r="D1789" s="412">
        <v>45441</v>
      </c>
      <c r="E1789" s="410" t="s">
        <v>10504</v>
      </c>
    </row>
    <row r="1790" spans="2:7">
      <c r="B1790" s="410" t="s">
        <v>9836</v>
      </c>
      <c r="C1790" s="411">
        <v>18311</v>
      </c>
      <c r="D1790" s="412">
        <v>45441</v>
      </c>
      <c r="E1790" s="410" t="s">
        <v>10505</v>
      </c>
    </row>
    <row r="1791" spans="2:7">
      <c r="B1791" s="410" t="s">
        <v>9836</v>
      </c>
      <c r="C1791" s="411">
        <v>18306</v>
      </c>
      <c r="D1791" s="412">
        <v>45441</v>
      </c>
      <c r="E1791" s="410" t="s">
        <v>10665</v>
      </c>
    </row>
    <row r="1792" spans="2:7">
      <c r="B1792" s="410" t="s">
        <v>9836</v>
      </c>
      <c r="C1792" s="411">
        <v>18299</v>
      </c>
      <c r="D1792" s="412">
        <v>45441</v>
      </c>
      <c r="E1792" s="410" t="s">
        <v>10666</v>
      </c>
    </row>
    <row r="1793" spans="2:5">
      <c r="B1793" s="410" t="s">
        <v>9836</v>
      </c>
      <c r="C1793" s="411">
        <v>18298</v>
      </c>
      <c r="D1793" s="412">
        <v>45441</v>
      </c>
      <c r="E1793" s="410" t="s">
        <v>10667</v>
      </c>
    </row>
    <row r="1794" spans="2:5">
      <c r="B1794" s="410" t="s">
        <v>9836</v>
      </c>
      <c r="C1794" s="411">
        <v>18296</v>
      </c>
      <c r="D1794" s="412">
        <v>45441</v>
      </c>
      <c r="E1794" s="410" t="s">
        <v>10506</v>
      </c>
    </row>
    <row r="1795" spans="2:5">
      <c r="B1795" s="410" t="s">
        <v>9836</v>
      </c>
      <c r="C1795" s="411">
        <v>18293</v>
      </c>
      <c r="D1795" s="412">
        <v>45441</v>
      </c>
      <c r="E1795" s="410" t="s">
        <v>10507</v>
      </c>
    </row>
    <row r="1796" spans="2:5">
      <c r="B1796" s="410" t="s">
        <v>9836</v>
      </c>
      <c r="C1796" s="411">
        <v>18291</v>
      </c>
      <c r="D1796" s="412">
        <v>45441</v>
      </c>
      <c r="E1796" s="410" t="s">
        <v>10508</v>
      </c>
    </row>
    <row r="1797" spans="2:5">
      <c r="B1797" s="410" t="s">
        <v>9836</v>
      </c>
      <c r="C1797" s="411">
        <v>18289</v>
      </c>
      <c r="D1797" s="412">
        <v>45441</v>
      </c>
      <c r="E1797" s="410" t="s">
        <v>10509</v>
      </c>
    </row>
    <row r="1798" spans="2:5">
      <c r="B1798" s="410" t="s">
        <v>9836</v>
      </c>
      <c r="C1798" s="411">
        <v>18284</v>
      </c>
      <c r="D1798" s="412">
        <v>45441</v>
      </c>
      <c r="E1798" s="410" t="s">
        <v>10668</v>
      </c>
    </row>
    <row r="1799" spans="2:5">
      <c r="B1799" s="410" t="s">
        <v>9836</v>
      </c>
      <c r="C1799" s="411">
        <v>18281</v>
      </c>
      <c r="D1799" s="412">
        <v>45441</v>
      </c>
      <c r="E1799" s="410" t="s">
        <v>10510</v>
      </c>
    </row>
    <row r="1800" spans="2:5">
      <c r="B1800" s="410" t="s">
        <v>9836</v>
      </c>
      <c r="C1800" s="411">
        <v>18278</v>
      </c>
      <c r="D1800" s="412">
        <v>45441</v>
      </c>
      <c r="E1800" s="410" t="s">
        <v>10669</v>
      </c>
    </row>
    <row r="1801" spans="2:5">
      <c r="B1801" s="410" t="s">
        <v>9836</v>
      </c>
      <c r="C1801" s="411">
        <v>18274</v>
      </c>
      <c r="D1801" s="412">
        <v>45441</v>
      </c>
      <c r="E1801" s="410" t="s">
        <v>10670</v>
      </c>
    </row>
    <row r="1802" spans="2:5">
      <c r="B1802" s="410" t="s">
        <v>9836</v>
      </c>
      <c r="C1802" s="411">
        <v>18273</v>
      </c>
      <c r="D1802" s="412">
        <v>45441</v>
      </c>
      <c r="E1802" s="410" t="s">
        <v>10671</v>
      </c>
    </row>
    <row r="1803" spans="2:5">
      <c r="B1803" s="410" t="s">
        <v>9836</v>
      </c>
      <c r="C1803" s="411">
        <v>18267</v>
      </c>
      <c r="D1803" s="412">
        <v>45441</v>
      </c>
      <c r="E1803" s="410" t="s">
        <v>10672</v>
      </c>
    </row>
    <row r="1804" spans="2:5">
      <c r="B1804" s="410" t="s">
        <v>9836</v>
      </c>
      <c r="C1804" s="411">
        <v>18253</v>
      </c>
      <c r="D1804" s="412">
        <v>45441</v>
      </c>
      <c r="E1804" s="410" t="s">
        <v>10511</v>
      </c>
    </row>
    <row r="1805" spans="2:5">
      <c r="B1805" s="410" t="s">
        <v>9836</v>
      </c>
      <c r="C1805" s="411">
        <v>18237</v>
      </c>
      <c r="D1805" s="412">
        <v>45441</v>
      </c>
      <c r="E1805" s="410" t="s">
        <v>10512</v>
      </c>
    </row>
    <row r="1806" spans="2:5">
      <c r="B1806" s="410" t="s">
        <v>9836</v>
      </c>
      <c r="C1806" s="411">
        <v>18236</v>
      </c>
      <c r="D1806" s="412">
        <v>45441</v>
      </c>
      <c r="E1806" s="410" t="s">
        <v>10673</v>
      </c>
    </row>
    <row r="1807" spans="2:5">
      <c r="B1807" s="410" t="s">
        <v>9836</v>
      </c>
      <c r="C1807" s="411">
        <v>18222</v>
      </c>
      <c r="D1807" s="412">
        <v>45441</v>
      </c>
      <c r="E1807" s="410" t="s">
        <v>10513</v>
      </c>
    </row>
    <row r="1808" spans="2:5">
      <c r="B1808" s="410" t="s">
        <v>9836</v>
      </c>
      <c r="C1808" s="411">
        <v>18221</v>
      </c>
      <c r="D1808" s="412">
        <v>45441</v>
      </c>
      <c r="E1808" s="410" t="s">
        <v>10674</v>
      </c>
    </row>
    <row r="1809" spans="2:5">
      <c r="B1809" s="410" t="s">
        <v>9836</v>
      </c>
      <c r="C1809" s="411">
        <v>18220</v>
      </c>
      <c r="D1809" s="412">
        <v>45441</v>
      </c>
      <c r="E1809" s="410" t="s">
        <v>10675</v>
      </c>
    </row>
    <row r="1810" spans="2:5">
      <c r="B1810" s="410" t="s">
        <v>9836</v>
      </c>
      <c r="C1810" s="411">
        <v>18218</v>
      </c>
      <c r="D1810" s="412">
        <v>45441</v>
      </c>
      <c r="E1810" s="410" t="s">
        <v>10514</v>
      </c>
    </row>
    <row r="1811" spans="2:5">
      <c r="B1811" s="410" t="s">
        <v>9836</v>
      </c>
      <c r="C1811" s="411">
        <v>18217</v>
      </c>
      <c r="D1811" s="412">
        <v>45441</v>
      </c>
      <c r="E1811" s="410" t="s">
        <v>10515</v>
      </c>
    </row>
    <row r="1812" spans="2:5">
      <c r="B1812" s="410" t="s">
        <v>9836</v>
      </c>
      <c r="C1812" s="411">
        <v>18209</v>
      </c>
      <c r="D1812" s="412">
        <v>45441</v>
      </c>
      <c r="E1812" s="410" t="s">
        <v>10676</v>
      </c>
    </row>
    <row r="1813" spans="2:5">
      <c r="B1813" s="410" t="s">
        <v>9836</v>
      </c>
      <c r="C1813" s="411">
        <v>18208</v>
      </c>
      <c r="D1813" s="412">
        <v>45441</v>
      </c>
      <c r="E1813" s="410" t="s">
        <v>10677</v>
      </c>
    </row>
    <row r="1814" spans="2:5">
      <c r="B1814" s="410" t="s">
        <v>9836</v>
      </c>
      <c r="C1814" s="411">
        <v>18206</v>
      </c>
      <c r="D1814" s="412">
        <v>45441</v>
      </c>
      <c r="E1814" s="410" t="s">
        <v>10516</v>
      </c>
    </row>
    <row r="1815" spans="2:5">
      <c r="B1815" s="410" t="s">
        <v>9836</v>
      </c>
      <c r="C1815" s="411">
        <v>18202</v>
      </c>
      <c r="D1815" s="412">
        <v>45441</v>
      </c>
      <c r="E1815" s="410" t="s">
        <v>10517</v>
      </c>
    </row>
    <row r="1816" spans="2:5">
      <c r="B1816" s="410" t="s">
        <v>9836</v>
      </c>
      <c r="C1816" s="411">
        <v>18199</v>
      </c>
      <c r="D1816" s="412">
        <v>45441</v>
      </c>
      <c r="E1816" s="410" t="s">
        <v>10518</v>
      </c>
    </row>
    <row r="1817" spans="2:5">
      <c r="B1817" s="410" t="s">
        <v>9836</v>
      </c>
      <c r="C1817" s="411">
        <v>18196</v>
      </c>
      <c r="D1817" s="412">
        <v>45441</v>
      </c>
      <c r="E1817" s="410" t="s">
        <v>10678</v>
      </c>
    </row>
    <row r="1818" spans="2:5">
      <c r="B1818" s="410" t="s">
        <v>9836</v>
      </c>
      <c r="C1818" s="411">
        <v>18194</v>
      </c>
      <c r="D1818" s="412">
        <v>45441</v>
      </c>
      <c r="E1818" s="410" t="s">
        <v>10519</v>
      </c>
    </row>
    <row r="1819" spans="2:5">
      <c r="B1819" s="410" t="s">
        <v>9836</v>
      </c>
      <c r="C1819" s="411">
        <v>18193</v>
      </c>
      <c r="D1819" s="412">
        <v>45441</v>
      </c>
      <c r="E1819" s="415" t="s">
        <v>10520</v>
      </c>
    </row>
    <row r="1820" spans="2:5">
      <c r="B1820" s="410" t="s">
        <v>9836</v>
      </c>
      <c r="C1820" s="411">
        <v>18190</v>
      </c>
      <c r="D1820" s="412">
        <v>45441</v>
      </c>
      <c r="E1820" s="410" t="s">
        <v>10523</v>
      </c>
    </row>
    <row r="1821" spans="2:5">
      <c r="B1821" s="410" t="s">
        <v>9836</v>
      </c>
      <c r="C1821" s="411">
        <v>18187</v>
      </c>
      <c r="D1821" s="412">
        <v>45441</v>
      </c>
      <c r="E1821" s="410" t="s">
        <v>10522</v>
      </c>
    </row>
    <row r="1822" spans="2:5">
      <c r="B1822" s="410" t="s">
        <v>9836</v>
      </c>
      <c r="C1822" s="411">
        <v>18180</v>
      </c>
      <c r="D1822" s="412">
        <v>45441</v>
      </c>
      <c r="E1822" s="410" t="s">
        <v>10679</v>
      </c>
    </row>
    <row r="1823" spans="2:5">
      <c r="B1823" s="410" t="s">
        <v>9836</v>
      </c>
      <c r="C1823" s="411">
        <v>18176</v>
      </c>
      <c r="D1823" s="412">
        <v>45441</v>
      </c>
      <c r="E1823" s="410" t="s">
        <v>10680</v>
      </c>
    </row>
    <row r="1824" spans="2:5">
      <c r="B1824" s="410" t="s">
        <v>9836</v>
      </c>
      <c r="C1824" s="411">
        <v>18172</v>
      </c>
      <c r="D1824" s="412">
        <v>45441</v>
      </c>
      <c r="E1824" s="410" t="s">
        <v>10681</v>
      </c>
    </row>
    <row r="1825" spans="2:5">
      <c r="B1825" s="410" t="s">
        <v>9836</v>
      </c>
      <c r="C1825" s="411">
        <v>18165</v>
      </c>
      <c r="D1825" s="412">
        <v>45441</v>
      </c>
      <c r="E1825" s="410" t="s">
        <v>10521</v>
      </c>
    </row>
    <row r="1826" spans="2:5">
      <c r="B1826" s="410" t="s">
        <v>9836</v>
      </c>
      <c r="C1826" s="411">
        <v>18161</v>
      </c>
      <c r="D1826" s="412">
        <v>45441</v>
      </c>
      <c r="E1826" s="410" t="s">
        <v>10527</v>
      </c>
    </row>
    <row r="1827" spans="2:5">
      <c r="B1827" s="410" t="s">
        <v>9836</v>
      </c>
      <c r="C1827" s="411">
        <v>18153</v>
      </c>
      <c r="D1827" s="412">
        <v>45441</v>
      </c>
      <c r="E1827" s="410" t="s">
        <v>10682</v>
      </c>
    </row>
    <row r="1828" spans="2:5">
      <c r="B1828" s="410" t="s">
        <v>9836</v>
      </c>
      <c r="C1828" s="411">
        <v>18146</v>
      </c>
      <c r="D1828" s="412">
        <v>45441</v>
      </c>
      <c r="E1828" s="410" t="s">
        <v>10683</v>
      </c>
    </row>
    <row r="1829" spans="2:5">
      <c r="B1829" s="410" t="s">
        <v>9836</v>
      </c>
      <c r="C1829" s="411">
        <v>18144</v>
      </c>
      <c r="D1829" s="412">
        <v>45441</v>
      </c>
      <c r="E1829" s="410" t="s">
        <v>10526</v>
      </c>
    </row>
    <row r="1830" spans="2:5">
      <c r="B1830" s="410" t="s">
        <v>9836</v>
      </c>
      <c r="C1830" s="411">
        <v>18137</v>
      </c>
      <c r="D1830" s="412">
        <v>45441</v>
      </c>
      <c r="E1830" s="410" t="s">
        <v>10525</v>
      </c>
    </row>
    <row r="1831" spans="2:5">
      <c r="B1831" s="410" t="s">
        <v>9836</v>
      </c>
      <c r="C1831" s="411">
        <v>18127</v>
      </c>
      <c r="D1831" s="412">
        <v>45441</v>
      </c>
      <c r="E1831" s="410" t="s">
        <v>10524</v>
      </c>
    </row>
    <row r="1832" spans="2:5">
      <c r="B1832" s="410" t="s">
        <v>9836</v>
      </c>
      <c r="C1832" s="411">
        <v>18119</v>
      </c>
      <c r="D1832" s="412">
        <v>45441</v>
      </c>
      <c r="E1832" s="410" t="s">
        <v>10684</v>
      </c>
    </row>
    <row r="1833" spans="2:5">
      <c r="B1833" s="410" t="s">
        <v>9836</v>
      </c>
      <c r="C1833" s="411">
        <v>18110</v>
      </c>
      <c r="D1833" s="412">
        <v>45441</v>
      </c>
      <c r="E1833" s="410" t="s">
        <v>10528</v>
      </c>
    </row>
    <row r="1834" spans="2:5">
      <c r="B1834" s="410" t="s">
        <v>9836</v>
      </c>
      <c r="C1834" s="411">
        <v>18100</v>
      </c>
      <c r="D1834" s="412">
        <v>45441</v>
      </c>
      <c r="E1834" s="410" t="s">
        <v>10529</v>
      </c>
    </row>
    <row r="1835" spans="2:5">
      <c r="B1835" s="410" t="s">
        <v>9836</v>
      </c>
      <c r="C1835" s="411">
        <v>18095</v>
      </c>
      <c r="D1835" s="412">
        <v>45441</v>
      </c>
      <c r="E1835" s="410" t="s">
        <v>10685</v>
      </c>
    </row>
    <row r="1836" spans="2:5">
      <c r="B1836" s="410" t="s">
        <v>9836</v>
      </c>
      <c r="C1836" s="411">
        <v>18093</v>
      </c>
      <c r="D1836" s="412">
        <v>45441</v>
      </c>
      <c r="E1836" s="410" t="s">
        <v>10686</v>
      </c>
    </row>
    <row r="1837" spans="2:5">
      <c r="B1837" s="410" t="s">
        <v>9836</v>
      </c>
      <c r="C1837" s="411">
        <v>18091</v>
      </c>
      <c r="D1837" s="412">
        <v>45441</v>
      </c>
      <c r="E1837" s="410" t="s">
        <v>10687</v>
      </c>
    </row>
    <row r="1838" spans="2:5">
      <c r="B1838" s="410" t="s">
        <v>9836</v>
      </c>
      <c r="C1838" s="411">
        <v>18084</v>
      </c>
      <c r="D1838" s="412">
        <v>45441</v>
      </c>
      <c r="E1838" s="410" t="s">
        <v>10531</v>
      </c>
    </row>
    <row r="1839" spans="2:5">
      <c r="B1839" s="410" t="s">
        <v>9836</v>
      </c>
      <c r="C1839" s="411">
        <v>18080</v>
      </c>
      <c r="D1839" s="412">
        <v>45441</v>
      </c>
      <c r="E1839" s="410" t="s">
        <v>10530</v>
      </c>
    </row>
    <row r="1840" spans="2:5">
      <c r="B1840" s="410" t="s">
        <v>9836</v>
      </c>
      <c r="C1840" s="411">
        <v>18077</v>
      </c>
      <c r="D1840" s="412">
        <v>45441</v>
      </c>
      <c r="E1840" s="410" t="s">
        <v>10532</v>
      </c>
    </row>
    <row r="1841" spans="2:5">
      <c r="B1841" s="410" t="s">
        <v>9836</v>
      </c>
      <c r="C1841" s="411">
        <v>18075</v>
      </c>
      <c r="D1841" s="412">
        <v>45441</v>
      </c>
      <c r="E1841" s="410" t="s">
        <v>10533</v>
      </c>
    </row>
    <row r="1842" spans="2:5">
      <c r="B1842" s="410" t="s">
        <v>9836</v>
      </c>
      <c r="C1842" s="411">
        <v>18069</v>
      </c>
      <c r="D1842" s="412">
        <v>45441</v>
      </c>
      <c r="E1842" s="410" t="s">
        <v>10534</v>
      </c>
    </row>
    <row r="1843" spans="2:5">
      <c r="B1843" s="410" t="s">
        <v>9836</v>
      </c>
      <c r="C1843" s="411">
        <v>18068</v>
      </c>
      <c r="D1843" s="412">
        <v>45441</v>
      </c>
      <c r="E1843" s="410" t="s">
        <v>10688</v>
      </c>
    </row>
    <row r="1844" spans="2:5">
      <c r="B1844" s="410" t="s">
        <v>9836</v>
      </c>
      <c r="C1844" s="411">
        <v>18050</v>
      </c>
      <c r="D1844" s="412">
        <v>45441</v>
      </c>
      <c r="E1844" s="410" t="s">
        <v>10535</v>
      </c>
    </row>
    <row r="1845" spans="2:5">
      <c r="B1845" s="410" t="s">
        <v>9836</v>
      </c>
      <c r="C1845" s="411">
        <v>18047</v>
      </c>
      <c r="D1845" s="412">
        <v>45441</v>
      </c>
      <c r="E1845" s="410" t="s">
        <v>10536</v>
      </c>
    </row>
    <row r="1846" spans="2:5">
      <c r="B1846" s="410" t="s">
        <v>9836</v>
      </c>
      <c r="C1846" s="411">
        <v>18045</v>
      </c>
      <c r="D1846" s="412">
        <v>45441</v>
      </c>
      <c r="E1846" s="410" t="s">
        <v>10537</v>
      </c>
    </row>
    <row r="1847" spans="2:5">
      <c r="B1847" s="410" t="s">
        <v>9836</v>
      </c>
      <c r="C1847" s="411">
        <v>18042</v>
      </c>
      <c r="D1847" s="412">
        <v>45441</v>
      </c>
      <c r="E1847" s="410" t="s">
        <v>10689</v>
      </c>
    </row>
    <row r="1848" spans="2:5">
      <c r="B1848" s="410" t="s">
        <v>9836</v>
      </c>
      <c r="C1848" s="411">
        <v>18040</v>
      </c>
      <c r="D1848" s="412">
        <v>45441</v>
      </c>
      <c r="E1848" s="410" t="s">
        <v>10538</v>
      </c>
    </row>
    <row r="1849" spans="2:5">
      <c r="B1849" s="410" t="s">
        <v>9836</v>
      </c>
      <c r="C1849" s="411">
        <v>18039</v>
      </c>
      <c r="D1849" s="412">
        <v>45441</v>
      </c>
      <c r="E1849" s="410" t="s">
        <v>10539</v>
      </c>
    </row>
    <row r="1850" spans="2:5">
      <c r="B1850" s="410" t="s">
        <v>9836</v>
      </c>
      <c r="C1850" s="411">
        <v>18036</v>
      </c>
      <c r="D1850" s="412">
        <v>45441</v>
      </c>
      <c r="E1850" s="410" t="s">
        <v>10540</v>
      </c>
    </row>
    <row r="1851" spans="2:5">
      <c r="B1851" s="410" t="s">
        <v>9836</v>
      </c>
      <c r="C1851" s="411">
        <v>18031</v>
      </c>
      <c r="D1851" s="412">
        <v>45441</v>
      </c>
      <c r="E1851" s="410" t="s">
        <v>10690</v>
      </c>
    </row>
    <row r="1852" spans="2:5">
      <c r="B1852" s="410" t="s">
        <v>9836</v>
      </c>
      <c r="C1852" s="411">
        <v>18029</v>
      </c>
      <c r="D1852" s="412">
        <v>45441</v>
      </c>
      <c r="E1852" s="410" t="s">
        <v>10691</v>
      </c>
    </row>
    <row r="1853" spans="2:5">
      <c r="B1853" s="410" t="s">
        <v>9836</v>
      </c>
      <c r="C1853" s="411">
        <v>18009</v>
      </c>
      <c r="D1853" s="412">
        <v>45441</v>
      </c>
      <c r="E1853" s="410" t="s">
        <v>10692</v>
      </c>
    </row>
    <row r="1854" spans="2:5">
      <c r="B1854" s="410" t="s">
        <v>9836</v>
      </c>
      <c r="C1854" s="411">
        <v>17995</v>
      </c>
      <c r="D1854" s="412">
        <v>45441</v>
      </c>
      <c r="E1854" s="410" t="s">
        <v>10693</v>
      </c>
    </row>
    <row r="1855" spans="2:5">
      <c r="B1855" s="410" t="s">
        <v>9836</v>
      </c>
      <c r="C1855" s="411">
        <v>17984</v>
      </c>
      <c r="D1855" s="412">
        <v>45441</v>
      </c>
      <c r="E1855" s="410" t="s">
        <v>10541</v>
      </c>
    </row>
    <row r="1856" spans="2:5">
      <c r="B1856" s="410" t="s">
        <v>9836</v>
      </c>
      <c r="C1856" s="411">
        <v>17983</v>
      </c>
      <c r="D1856" s="412">
        <v>45441</v>
      </c>
      <c r="E1856" s="410" t="s">
        <v>10542</v>
      </c>
    </row>
    <row r="1857" spans="2:5">
      <c r="B1857" s="410" t="s">
        <v>9836</v>
      </c>
      <c r="C1857" s="411">
        <v>17969</v>
      </c>
      <c r="D1857" s="412">
        <v>45441</v>
      </c>
      <c r="E1857" s="410" t="s">
        <v>10694</v>
      </c>
    </row>
    <row r="1858" spans="2:5">
      <c r="B1858" s="410" t="s">
        <v>9836</v>
      </c>
      <c r="C1858" s="411">
        <v>17968</v>
      </c>
      <c r="D1858" s="412">
        <v>45441</v>
      </c>
      <c r="E1858" s="410" t="s">
        <v>10543</v>
      </c>
    </row>
    <row r="1859" spans="2:5">
      <c r="B1859" s="410" t="s">
        <v>9836</v>
      </c>
      <c r="C1859" s="411">
        <v>17955</v>
      </c>
      <c r="D1859" s="412">
        <v>45441</v>
      </c>
      <c r="E1859" s="410" t="s">
        <v>10695</v>
      </c>
    </row>
    <row r="1860" spans="2:5">
      <c r="B1860" s="410" t="s">
        <v>9836</v>
      </c>
      <c r="C1860" s="411">
        <v>17951</v>
      </c>
      <c r="D1860" s="412">
        <v>45441</v>
      </c>
      <c r="E1860" s="410" t="s">
        <v>10544</v>
      </c>
    </row>
    <row r="1861" spans="2:5">
      <c r="B1861" s="410" t="s">
        <v>9836</v>
      </c>
      <c r="C1861" s="411">
        <v>17938</v>
      </c>
      <c r="D1861" s="412">
        <v>45441</v>
      </c>
      <c r="E1861" s="410" t="s">
        <v>10545</v>
      </c>
    </row>
    <row r="1862" spans="2:5">
      <c r="B1862" s="410" t="s">
        <v>9836</v>
      </c>
      <c r="C1862" s="411">
        <v>17932</v>
      </c>
      <c r="D1862" s="412">
        <v>45441</v>
      </c>
      <c r="E1862" s="410" t="s">
        <v>10548</v>
      </c>
    </row>
    <row r="1863" spans="2:5">
      <c r="B1863" s="410" t="s">
        <v>9836</v>
      </c>
      <c r="C1863" s="411">
        <v>17931</v>
      </c>
      <c r="D1863" s="412">
        <v>45441</v>
      </c>
      <c r="E1863" s="410" t="s">
        <v>10696</v>
      </c>
    </row>
    <row r="1864" spans="2:5">
      <c r="B1864" s="410" t="s">
        <v>9836</v>
      </c>
      <c r="C1864" s="411">
        <v>17927</v>
      </c>
      <c r="D1864" s="412">
        <v>45441</v>
      </c>
      <c r="E1864" s="410" t="s">
        <v>10697</v>
      </c>
    </row>
    <row r="1865" spans="2:5">
      <c r="B1865" s="410" t="s">
        <v>9836</v>
      </c>
      <c r="C1865" s="411">
        <v>17918</v>
      </c>
      <c r="D1865" s="412">
        <v>45441</v>
      </c>
      <c r="E1865" s="410" t="s">
        <v>10547</v>
      </c>
    </row>
    <row r="1866" spans="2:5">
      <c r="B1866" s="410" t="s">
        <v>9836</v>
      </c>
      <c r="C1866" s="411">
        <v>17914</v>
      </c>
      <c r="D1866" s="412">
        <v>45441</v>
      </c>
      <c r="E1866" s="410" t="s">
        <v>10546</v>
      </c>
    </row>
    <row r="1867" spans="2:5">
      <c r="B1867" s="410" t="s">
        <v>9836</v>
      </c>
      <c r="C1867" s="411">
        <v>17905</v>
      </c>
      <c r="D1867" s="412">
        <v>45441</v>
      </c>
      <c r="E1867" s="410" t="s">
        <v>10698</v>
      </c>
    </row>
    <row r="1868" spans="2:5">
      <c r="B1868" s="410" t="s">
        <v>9836</v>
      </c>
      <c r="C1868" s="411">
        <v>17902</v>
      </c>
      <c r="D1868" s="412">
        <v>45441</v>
      </c>
      <c r="E1868" s="410" t="s">
        <v>10699</v>
      </c>
    </row>
    <row r="1869" spans="2:5">
      <c r="B1869" s="410" t="s">
        <v>9836</v>
      </c>
      <c r="C1869" s="411">
        <v>17898</v>
      </c>
      <c r="D1869" s="412">
        <v>45441</v>
      </c>
      <c r="E1869" s="410" t="s">
        <v>10553</v>
      </c>
    </row>
    <row r="1870" spans="2:5">
      <c r="B1870" s="410" t="s">
        <v>9836</v>
      </c>
      <c r="C1870" s="411">
        <v>17897</v>
      </c>
      <c r="D1870" s="412">
        <v>45441</v>
      </c>
      <c r="E1870" s="410" t="s">
        <v>10552</v>
      </c>
    </row>
    <row r="1871" spans="2:5">
      <c r="B1871" s="410" t="s">
        <v>9836</v>
      </c>
      <c r="C1871" s="411">
        <v>17890</v>
      </c>
      <c r="D1871" s="412">
        <v>45441</v>
      </c>
      <c r="E1871" s="410" t="s">
        <v>10700</v>
      </c>
    </row>
    <row r="1872" spans="2:5">
      <c r="B1872" s="410" t="s">
        <v>9836</v>
      </c>
      <c r="C1872" s="411">
        <v>17889</v>
      </c>
      <c r="D1872" s="412">
        <v>45441</v>
      </c>
      <c r="E1872" s="410" t="s">
        <v>10551</v>
      </c>
    </row>
    <row r="1873" spans="2:5">
      <c r="B1873" s="410" t="s">
        <v>9836</v>
      </c>
      <c r="C1873" s="411">
        <v>17882</v>
      </c>
      <c r="D1873" s="412">
        <v>45441</v>
      </c>
      <c r="E1873" s="410" t="s">
        <v>10550</v>
      </c>
    </row>
    <row r="1874" spans="2:5">
      <c r="B1874" s="410" t="s">
        <v>9836</v>
      </c>
      <c r="C1874" s="411">
        <v>17881</v>
      </c>
      <c r="D1874" s="412">
        <v>45441</v>
      </c>
      <c r="E1874" s="410" t="s">
        <v>10549</v>
      </c>
    </row>
    <row r="1875" spans="2:5">
      <c r="B1875" s="410" t="s">
        <v>9836</v>
      </c>
      <c r="C1875" s="411">
        <v>17880</v>
      </c>
      <c r="D1875" s="412">
        <v>45441</v>
      </c>
      <c r="E1875" s="410" t="s">
        <v>10554</v>
      </c>
    </row>
    <row r="1876" spans="2:5">
      <c r="B1876" s="410" t="s">
        <v>9836</v>
      </c>
      <c r="C1876" s="411">
        <v>17879</v>
      </c>
      <c r="D1876" s="412">
        <v>45441</v>
      </c>
      <c r="E1876" s="410" t="s">
        <v>10555</v>
      </c>
    </row>
    <row r="1877" spans="2:5">
      <c r="B1877" s="410" t="s">
        <v>9836</v>
      </c>
      <c r="C1877" s="411">
        <v>17878</v>
      </c>
      <c r="D1877" s="412">
        <v>45441</v>
      </c>
      <c r="E1877" s="410" t="s">
        <v>10556</v>
      </c>
    </row>
    <row r="1878" spans="2:5">
      <c r="B1878" s="410" t="s">
        <v>9836</v>
      </c>
      <c r="C1878" s="411">
        <v>17876</v>
      </c>
      <c r="D1878" s="412">
        <v>45441</v>
      </c>
      <c r="E1878" s="410" t="s">
        <v>10557</v>
      </c>
    </row>
    <row r="1879" spans="2:5">
      <c r="B1879" s="410" t="s">
        <v>9836</v>
      </c>
      <c r="C1879" s="411">
        <v>17875</v>
      </c>
      <c r="D1879" s="412">
        <v>45441</v>
      </c>
      <c r="E1879" s="410" t="s">
        <v>10701</v>
      </c>
    </row>
    <row r="1880" spans="2:5">
      <c r="B1880" s="410" t="s">
        <v>9836</v>
      </c>
      <c r="C1880" s="411">
        <v>17874</v>
      </c>
      <c r="D1880" s="412">
        <v>45441</v>
      </c>
      <c r="E1880" s="410" t="s">
        <v>10558</v>
      </c>
    </row>
    <row r="1881" spans="2:5">
      <c r="B1881" s="410" t="s">
        <v>9836</v>
      </c>
      <c r="C1881" s="411">
        <v>17862</v>
      </c>
      <c r="D1881" s="412">
        <v>45441</v>
      </c>
      <c r="E1881" s="410" t="s">
        <v>10561</v>
      </c>
    </row>
    <row r="1882" spans="2:5">
      <c r="B1882" s="410" t="s">
        <v>9836</v>
      </c>
      <c r="C1882" s="411">
        <v>17849</v>
      </c>
      <c r="D1882" s="412">
        <v>45441</v>
      </c>
      <c r="E1882" s="410" t="s">
        <v>10560</v>
      </c>
    </row>
    <row r="1883" spans="2:5">
      <c r="B1883" s="410" t="s">
        <v>9836</v>
      </c>
      <c r="C1883" s="411">
        <v>17842</v>
      </c>
      <c r="D1883" s="412">
        <v>45441</v>
      </c>
      <c r="E1883" s="410" t="s">
        <v>10702</v>
      </c>
    </row>
    <row r="1884" spans="2:5">
      <c r="B1884" s="410" t="s">
        <v>9836</v>
      </c>
      <c r="C1884" s="411">
        <v>17838</v>
      </c>
      <c r="D1884" s="412">
        <v>45441</v>
      </c>
      <c r="E1884" s="410" t="s">
        <v>10559</v>
      </c>
    </row>
    <row r="1885" spans="2:5">
      <c r="B1885" s="410" t="s">
        <v>9836</v>
      </c>
      <c r="C1885" s="411">
        <v>17836</v>
      </c>
      <c r="D1885" s="412">
        <v>45441</v>
      </c>
      <c r="E1885" s="410" t="s">
        <v>10703</v>
      </c>
    </row>
    <row r="1886" spans="2:5">
      <c r="B1886" s="410" t="s">
        <v>9836</v>
      </c>
      <c r="C1886" s="411">
        <v>17832</v>
      </c>
      <c r="D1886" s="412">
        <v>45441</v>
      </c>
      <c r="E1886" s="410" t="s">
        <v>10564</v>
      </c>
    </row>
    <row r="1887" spans="2:5">
      <c r="B1887" s="410" t="s">
        <v>9836</v>
      </c>
      <c r="C1887" s="411">
        <v>17829</v>
      </c>
      <c r="D1887" s="412">
        <v>45441</v>
      </c>
      <c r="E1887" s="410" t="s">
        <v>10563</v>
      </c>
    </row>
    <row r="1888" spans="2:5">
      <c r="B1888" s="410" t="s">
        <v>9836</v>
      </c>
      <c r="C1888" s="411">
        <v>17823</v>
      </c>
      <c r="D1888" s="412">
        <v>45441</v>
      </c>
      <c r="E1888" s="410" t="s">
        <v>10704</v>
      </c>
    </row>
    <row r="1889" spans="2:5">
      <c r="B1889" s="410" t="s">
        <v>9836</v>
      </c>
      <c r="C1889" s="411">
        <v>17816</v>
      </c>
      <c r="D1889" s="412">
        <v>45441</v>
      </c>
      <c r="E1889" s="410" t="s">
        <v>10705</v>
      </c>
    </row>
    <row r="1890" spans="2:5">
      <c r="B1890" s="410" t="s">
        <v>9836</v>
      </c>
      <c r="C1890" s="411">
        <v>17802</v>
      </c>
      <c r="D1890" s="412">
        <v>45441</v>
      </c>
      <c r="E1890" s="410" t="s">
        <v>10562</v>
      </c>
    </row>
    <row r="1891" spans="2:5">
      <c r="B1891" s="410" t="s">
        <v>9836</v>
      </c>
      <c r="C1891" s="411">
        <v>17799</v>
      </c>
      <c r="D1891" s="412">
        <v>45441</v>
      </c>
      <c r="E1891" s="410" t="s">
        <v>10565</v>
      </c>
    </row>
    <row r="1892" spans="2:5">
      <c r="B1892" s="410" t="s">
        <v>9836</v>
      </c>
      <c r="C1892" s="411">
        <v>17796</v>
      </c>
      <c r="D1892" s="412">
        <v>45441</v>
      </c>
      <c r="E1892" s="410" t="s">
        <v>10566</v>
      </c>
    </row>
    <row r="1893" spans="2:5">
      <c r="B1893" s="410" t="s">
        <v>9836</v>
      </c>
      <c r="C1893" s="411">
        <v>17784</v>
      </c>
      <c r="D1893" s="412">
        <v>45441</v>
      </c>
      <c r="E1893" s="410" t="s">
        <v>10567</v>
      </c>
    </row>
    <row r="1894" spans="2:5">
      <c r="B1894" s="410" t="s">
        <v>9836</v>
      </c>
      <c r="C1894" s="411">
        <v>17782</v>
      </c>
      <c r="D1894" s="412">
        <v>45441</v>
      </c>
      <c r="E1894" s="410" t="s">
        <v>10568</v>
      </c>
    </row>
    <row r="1895" spans="2:5">
      <c r="B1895" s="410" t="s">
        <v>9836</v>
      </c>
      <c r="C1895" s="411">
        <v>17779</v>
      </c>
      <c r="D1895" s="412">
        <v>45441</v>
      </c>
      <c r="E1895" s="410" t="s">
        <v>10569</v>
      </c>
    </row>
    <row r="1896" spans="2:5">
      <c r="B1896" s="410" t="s">
        <v>9836</v>
      </c>
      <c r="C1896" s="411">
        <v>17776</v>
      </c>
      <c r="D1896" s="412">
        <v>45441</v>
      </c>
      <c r="E1896" s="410" t="s">
        <v>10570</v>
      </c>
    </row>
    <row r="1897" spans="2:5">
      <c r="B1897" s="410" t="s">
        <v>9836</v>
      </c>
      <c r="C1897" s="411">
        <v>17768</v>
      </c>
      <c r="D1897" s="412">
        <v>45441</v>
      </c>
      <c r="E1897" s="410" t="s">
        <v>10574</v>
      </c>
    </row>
    <row r="1898" spans="2:5">
      <c r="B1898" s="410" t="s">
        <v>9836</v>
      </c>
      <c r="C1898" s="411">
        <v>17767</v>
      </c>
      <c r="D1898" s="412">
        <v>45441</v>
      </c>
      <c r="E1898" s="410" t="s">
        <v>10573</v>
      </c>
    </row>
    <row r="1899" spans="2:5">
      <c r="B1899" s="410" t="s">
        <v>9836</v>
      </c>
      <c r="C1899" s="411">
        <v>17766</v>
      </c>
      <c r="D1899" s="412">
        <v>45441</v>
      </c>
      <c r="E1899" s="410" t="s">
        <v>10572</v>
      </c>
    </row>
    <row r="1900" spans="2:5">
      <c r="B1900" s="410" t="s">
        <v>9836</v>
      </c>
      <c r="C1900" s="411">
        <v>17761</v>
      </c>
      <c r="D1900" s="412">
        <v>45441</v>
      </c>
      <c r="E1900" s="410" t="s">
        <v>10571</v>
      </c>
    </row>
    <row r="1901" spans="2:5">
      <c r="B1901" s="410" t="s">
        <v>9836</v>
      </c>
      <c r="C1901" s="411">
        <v>17756</v>
      </c>
      <c r="D1901" s="412">
        <v>45441</v>
      </c>
      <c r="E1901" s="410" t="s">
        <v>10706</v>
      </c>
    </row>
    <row r="1902" spans="2:5">
      <c r="B1902" s="410" t="s">
        <v>9836</v>
      </c>
      <c r="C1902" s="411">
        <v>17750</v>
      </c>
      <c r="D1902" s="412">
        <v>45441</v>
      </c>
      <c r="E1902" s="410" t="s">
        <v>10579</v>
      </c>
    </row>
    <row r="1903" spans="2:5">
      <c r="B1903" s="410" t="s">
        <v>9836</v>
      </c>
      <c r="C1903" s="411">
        <v>17746</v>
      </c>
      <c r="D1903" s="412">
        <v>45441</v>
      </c>
      <c r="E1903" s="410" t="s">
        <v>10578</v>
      </c>
    </row>
    <row r="1904" spans="2:5">
      <c r="B1904" s="410" t="s">
        <v>9836</v>
      </c>
      <c r="C1904" s="411">
        <v>17743</v>
      </c>
      <c r="D1904" s="412">
        <v>45441</v>
      </c>
      <c r="E1904" s="410" t="s">
        <v>10707</v>
      </c>
    </row>
    <row r="1905" spans="2:5">
      <c r="B1905" s="410" t="s">
        <v>9836</v>
      </c>
      <c r="C1905" s="411">
        <v>17734</v>
      </c>
      <c r="D1905" s="412">
        <v>45441</v>
      </c>
      <c r="E1905" s="410" t="s">
        <v>10577</v>
      </c>
    </row>
    <row r="1906" spans="2:5">
      <c r="B1906" s="410" t="s">
        <v>9836</v>
      </c>
      <c r="C1906" s="411">
        <v>17730</v>
      </c>
      <c r="D1906" s="412">
        <v>45441</v>
      </c>
      <c r="E1906" s="410" t="s">
        <v>10708</v>
      </c>
    </row>
    <row r="1907" spans="2:5">
      <c r="B1907" s="410" t="s">
        <v>9836</v>
      </c>
      <c r="C1907" s="411">
        <v>17720</v>
      </c>
      <c r="D1907" s="412">
        <v>45441</v>
      </c>
      <c r="E1907" s="410" t="s">
        <v>10709</v>
      </c>
    </row>
    <row r="1908" spans="2:5">
      <c r="B1908" s="410" t="s">
        <v>9836</v>
      </c>
      <c r="C1908" s="411">
        <v>17718</v>
      </c>
      <c r="D1908" s="412">
        <v>45441</v>
      </c>
      <c r="E1908" s="410" t="s">
        <v>10710</v>
      </c>
    </row>
    <row r="1909" spans="2:5">
      <c r="B1909" s="410" t="s">
        <v>9836</v>
      </c>
      <c r="C1909" s="411">
        <v>17713</v>
      </c>
      <c r="D1909" s="412">
        <v>45441</v>
      </c>
      <c r="E1909" s="410" t="s">
        <v>10711</v>
      </c>
    </row>
    <row r="1910" spans="2:5">
      <c r="B1910" s="410" t="s">
        <v>9836</v>
      </c>
      <c r="C1910" s="411">
        <v>17712</v>
      </c>
      <c r="D1910" s="412">
        <v>45441</v>
      </c>
      <c r="E1910" s="410" t="s">
        <v>10712</v>
      </c>
    </row>
    <row r="1911" spans="2:5">
      <c r="B1911" s="410" t="s">
        <v>9836</v>
      </c>
      <c r="C1911" s="411">
        <v>17708</v>
      </c>
      <c r="D1911" s="412">
        <v>45441</v>
      </c>
      <c r="E1911" s="410" t="s">
        <v>10576</v>
      </c>
    </row>
    <row r="1912" spans="2:5">
      <c r="B1912" s="410" t="s">
        <v>9836</v>
      </c>
      <c r="C1912" s="411">
        <v>17703</v>
      </c>
      <c r="D1912" s="412">
        <v>45441</v>
      </c>
      <c r="E1912" s="410" t="s">
        <v>10575</v>
      </c>
    </row>
    <row r="1913" spans="2:5">
      <c r="B1913" s="410" t="s">
        <v>9836</v>
      </c>
      <c r="C1913" s="411">
        <v>17700</v>
      </c>
      <c r="D1913" s="412">
        <v>45441</v>
      </c>
      <c r="E1913" s="410" t="s">
        <v>10713</v>
      </c>
    </row>
    <row r="1914" spans="2:5">
      <c r="B1914" s="410" t="s">
        <v>9836</v>
      </c>
      <c r="C1914" s="411">
        <v>17697</v>
      </c>
      <c r="D1914" s="412">
        <v>45441</v>
      </c>
      <c r="E1914" s="410" t="s">
        <v>10580</v>
      </c>
    </row>
    <row r="1915" spans="2:5">
      <c r="B1915" s="410" t="s">
        <v>9836</v>
      </c>
      <c r="C1915" s="411">
        <v>17696</v>
      </c>
      <c r="D1915" s="412">
        <v>45441</v>
      </c>
      <c r="E1915" s="410" t="s">
        <v>10581</v>
      </c>
    </row>
    <row r="1916" spans="2:5">
      <c r="B1916" s="410" t="s">
        <v>9836</v>
      </c>
      <c r="C1916" s="411">
        <v>17693</v>
      </c>
      <c r="D1916" s="412">
        <v>45441</v>
      </c>
      <c r="E1916" s="410" t="s">
        <v>10714</v>
      </c>
    </row>
    <row r="1917" spans="2:5">
      <c r="B1917" s="410" t="s">
        <v>9836</v>
      </c>
      <c r="C1917" s="411">
        <v>17691</v>
      </c>
      <c r="D1917" s="412">
        <v>45441</v>
      </c>
      <c r="E1917" s="410" t="s">
        <v>10715</v>
      </c>
    </row>
    <row r="1918" spans="2:5">
      <c r="B1918" s="410" t="s">
        <v>9836</v>
      </c>
      <c r="C1918" s="411">
        <v>17673</v>
      </c>
      <c r="D1918" s="412">
        <v>45441</v>
      </c>
      <c r="E1918" s="410" t="s">
        <v>10716</v>
      </c>
    </row>
    <row r="1919" spans="2:5">
      <c r="B1919" s="410" t="s">
        <v>9836</v>
      </c>
      <c r="C1919" s="411">
        <v>17672</v>
      </c>
      <c r="D1919" s="412">
        <v>45441</v>
      </c>
      <c r="E1919" s="410" t="s">
        <v>10582</v>
      </c>
    </row>
    <row r="1920" spans="2:5">
      <c r="B1920" s="410" t="s">
        <v>9836</v>
      </c>
      <c r="C1920" s="411">
        <v>17667</v>
      </c>
      <c r="D1920" s="412">
        <v>45441</v>
      </c>
      <c r="E1920" s="410" t="s">
        <v>10717</v>
      </c>
    </row>
    <row r="1921" spans="2:5">
      <c r="B1921" s="410" t="s">
        <v>9836</v>
      </c>
      <c r="C1921" s="411">
        <v>17666</v>
      </c>
      <c r="D1921" s="412">
        <v>45441</v>
      </c>
      <c r="E1921" s="410" t="s">
        <v>10718</v>
      </c>
    </row>
    <row r="1922" spans="2:5">
      <c r="B1922" s="410" t="s">
        <v>9836</v>
      </c>
      <c r="C1922" s="411">
        <v>17663</v>
      </c>
      <c r="D1922" s="412">
        <v>45441</v>
      </c>
      <c r="E1922" s="410" t="s">
        <v>10583</v>
      </c>
    </row>
    <row r="1923" spans="2:5">
      <c r="B1923" s="410" t="s">
        <v>9836</v>
      </c>
      <c r="C1923" s="411">
        <v>17656</v>
      </c>
      <c r="D1923" s="412">
        <v>45441</v>
      </c>
      <c r="E1923" s="410" t="s">
        <v>10584</v>
      </c>
    </row>
    <row r="1924" spans="2:5">
      <c r="B1924" s="410" t="s">
        <v>9836</v>
      </c>
      <c r="C1924" s="411">
        <v>17653</v>
      </c>
      <c r="D1924" s="412">
        <v>45441</v>
      </c>
      <c r="E1924" s="410" t="s">
        <v>10585</v>
      </c>
    </row>
    <row r="1925" spans="2:5">
      <c r="B1925" s="410" t="s">
        <v>9836</v>
      </c>
      <c r="C1925" s="411">
        <v>17642</v>
      </c>
      <c r="D1925" s="412">
        <v>45441</v>
      </c>
      <c r="E1925" s="410" t="s">
        <v>10586</v>
      </c>
    </row>
    <row r="1926" spans="2:5">
      <c r="B1926" s="410" t="s">
        <v>9836</v>
      </c>
      <c r="C1926" s="411">
        <v>17640</v>
      </c>
      <c r="D1926" s="412">
        <v>45441</v>
      </c>
      <c r="E1926" s="410" t="s">
        <v>10590</v>
      </c>
    </row>
    <row r="1927" spans="2:5">
      <c r="B1927" s="410" t="s">
        <v>9836</v>
      </c>
      <c r="C1927" s="411">
        <v>17638</v>
      </c>
      <c r="D1927" s="412">
        <v>45441</v>
      </c>
      <c r="E1927" s="410" t="s">
        <v>10589</v>
      </c>
    </row>
    <row r="1928" spans="2:5">
      <c r="B1928" s="410" t="s">
        <v>9836</v>
      </c>
      <c r="C1928" s="411">
        <v>17628</v>
      </c>
      <c r="D1928" s="412">
        <v>45441</v>
      </c>
      <c r="E1928" s="410" t="s">
        <v>10588</v>
      </c>
    </row>
    <row r="1929" spans="2:5">
      <c r="B1929" s="410" t="s">
        <v>9836</v>
      </c>
      <c r="C1929" s="411">
        <v>17627</v>
      </c>
      <c r="D1929" s="412">
        <v>45441</v>
      </c>
      <c r="E1929" s="410" t="s">
        <v>10587</v>
      </c>
    </row>
    <row r="1930" spans="2:5">
      <c r="B1930" s="410" t="s">
        <v>9836</v>
      </c>
      <c r="C1930" s="411">
        <v>17626</v>
      </c>
      <c r="D1930" s="412">
        <v>45441</v>
      </c>
      <c r="E1930" s="410" t="s">
        <v>10591</v>
      </c>
    </row>
    <row r="1931" spans="2:5">
      <c r="B1931" s="410" t="s">
        <v>9836</v>
      </c>
      <c r="C1931" s="411">
        <v>17625</v>
      </c>
      <c r="D1931" s="412">
        <v>45441</v>
      </c>
      <c r="E1931" s="410" t="s">
        <v>10592</v>
      </c>
    </row>
    <row r="1932" spans="2:5">
      <c r="B1932" s="410" t="s">
        <v>9836</v>
      </c>
      <c r="C1932" s="411">
        <v>17618</v>
      </c>
      <c r="D1932" s="412">
        <v>45441</v>
      </c>
      <c r="E1932" s="410" t="s">
        <v>10593</v>
      </c>
    </row>
    <row r="1933" spans="2:5">
      <c r="B1933" s="410" t="s">
        <v>9836</v>
      </c>
      <c r="C1933" s="411">
        <v>17615</v>
      </c>
      <c r="D1933" s="412">
        <v>45441</v>
      </c>
      <c r="E1933" s="410" t="s">
        <v>10719</v>
      </c>
    </row>
    <row r="1934" spans="2:5">
      <c r="B1934" s="410" t="s">
        <v>9836</v>
      </c>
      <c r="C1934" s="411">
        <v>17613</v>
      </c>
      <c r="D1934" s="412">
        <v>45441</v>
      </c>
      <c r="E1934" s="410" t="s">
        <v>10720</v>
      </c>
    </row>
    <row r="1935" spans="2:5">
      <c r="B1935" s="410" t="s">
        <v>9836</v>
      </c>
      <c r="C1935" s="411">
        <v>17612</v>
      </c>
      <c r="D1935" s="412">
        <v>45441</v>
      </c>
      <c r="E1935" s="410" t="s">
        <v>10721</v>
      </c>
    </row>
    <row r="1936" spans="2:5">
      <c r="B1936" s="410" t="s">
        <v>9836</v>
      </c>
      <c r="C1936" s="411">
        <v>17610</v>
      </c>
      <c r="D1936" s="412">
        <v>45441</v>
      </c>
      <c r="E1936" s="410" t="s">
        <v>10722</v>
      </c>
    </row>
    <row r="1937" spans="2:5">
      <c r="B1937" s="410" t="s">
        <v>9836</v>
      </c>
      <c r="C1937" s="411">
        <v>17607</v>
      </c>
      <c r="D1937" s="412">
        <v>45441</v>
      </c>
      <c r="E1937" s="410" t="s">
        <v>10723</v>
      </c>
    </row>
    <row r="1938" spans="2:5">
      <c r="B1938" s="410" t="s">
        <v>9836</v>
      </c>
      <c r="C1938" s="411">
        <v>17604</v>
      </c>
      <c r="D1938" s="412">
        <v>45441</v>
      </c>
      <c r="E1938" s="410" t="s">
        <v>10594</v>
      </c>
    </row>
    <row r="1939" spans="2:5">
      <c r="B1939" s="410" t="s">
        <v>9836</v>
      </c>
      <c r="C1939" s="411">
        <v>17587</v>
      </c>
      <c r="D1939" s="412">
        <v>45441</v>
      </c>
      <c r="E1939" s="410" t="s">
        <v>10724</v>
      </c>
    </row>
    <row r="1940" spans="2:5">
      <c r="B1940" s="410" t="s">
        <v>9836</v>
      </c>
      <c r="C1940" s="411">
        <v>17583</v>
      </c>
      <c r="D1940" s="412">
        <v>45441</v>
      </c>
      <c r="E1940" s="410" t="s">
        <v>10595</v>
      </c>
    </row>
    <row r="1941" spans="2:5">
      <c r="B1941" s="410" t="s">
        <v>9836</v>
      </c>
      <c r="C1941" s="411">
        <v>17582</v>
      </c>
      <c r="D1941" s="412">
        <v>45441</v>
      </c>
      <c r="E1941" s="410" t="s">
        <v>10599</v>
      </c>
    </row>
    <row r="1942" spans="2:5">
      <c r="B1942" s="410" t="s">
        <v>9836</v>
      </c>
      <c r="C1942" s="411">
        <v>17580</v>
      </c>
      <c r="D1942" s="412">
        <v>45441</v>
      </c>
      <c r="E1942" s="410" t="s">
        <v>10598</v>
      </c>
    </row>
    <row r="1943" spans="2:5">
      <c r="B1943" s="410" t="s">
        <v>9836</v>
      </c>
      <c r="C1943" s="411">
        <v>17575</v>
      </c>
      <c r="D1943" s="412">
        <v>45441</v>
      </c>
      <c r="E1943" s="410" t="s">
        <v>10597</v>
      </c>
    </row>
    <row r="1944" spans="2:5">
      <c r="B1944" s="410" t="s">
        <v>9836</v>
      </c>
      <c r="C1944" s="411">
        <v>17573</v>
      </c>
      <c r="D1944" s="412">
        <v>45441</v>
      </c>
      <c r="E1944" s="410" t="s">
        <v>10725</v>
      </c>
    </row>
    <row r="1945" spans="2:5">
      <c r="B1945" s="410" t="s">
        <v>9836</v>
      </c>
      <c r="C1945" s="411">
        <v>17569</v>
      </c>
      <c r="D1945" s="412">
        <v>45441</v>
      </c>
      <c r="E1945" s="410" t="s">
        <v>10596</v>
      </c>
    </row>
    <row r="1946" spans="2:5">
      <c r="B1946" s="410" t="s">
        <v>9836</v>
      </c>
      <c r="C1946" s="411">
        <v>17566</v>
      </c>
      <c r="D1946" s="412">
        <v>45441</v>
      </c>
      <c r="E1946" s="410" t="s">
        <v>10726</v>
      </c>
    </row>
    <row r="1947" spans="2:5">
      <c r="B1947" s="410" t="s">
        <v>9836</v>
      </c>
      <c r="C1947" s="411">
        <v>17556</v>
      </c>
      <c r="D1947" s="412">
        <v>45441</v>
      </c>
      <c r="E1947" s="410" t="s">
        <v>10605</v>
      </c>
    </row>
    <row r="1948" spans="2:5">
      <c r="B1948" s="410" t="s">
        <v>9836</v>
      </c>
      <c r="C1948" s="411">
        <v>17544</v>
      </c>
      <c r="D1948" s="412">
        <v>45441</v>
      </c>
      <c r="E1948" s="410" t="s">
        <v>10604</v>
      </c>
    </row>
    <row r="1949" spans="2:5">
      <c r="B1949" s="410" t="s">
        <v>9836</v>
      </c>
      <c r="C1949" s="411">
        <v>17541</v>
      </c>
      <c r="D1949" s="412">
        <v>45441</v>
      </c>
      <c r="E1949" s="410" t="s">
        <v>10727</v>
      </c>
    </row>
    <row r="1950" spans="2:5">
      <c r="B1950" s="410" t="s">
        <v>9836</v>
      </c>
      <c r="C1950" s="411">
        <v>17538</v>
      </c>
      <c r="D1950" s="412">
        <v>45441</v>
      </c>
      <c r="E1950" s="410" t="s">
        <v>10728</v>
      </c>
    </row>
    <row r="1951" spans="2:5">
      <c r="B1951" s="410" t="s">
        <v>9836</v>
      </c>
      <c r="C1951" s="411">
        <v>17535</v>
      </c>
      <c r="D1951" s="412">
        <v>45441</v>
      </c>
      <c r="E1951" s="410" t="s">
        <v>10603</v>
      </c>
    </row>
    <row r="1952" spans="2:5">
      <c r="B1952" s="410" t="s">
        <v>9836</v>
      </c>
      <c r="C1952" s="411">
        <v>17534</v>
      </c>
      <c r="D1952" s="412">
        <v>45441</v>
      </c>
      <c r="E1952" s="410" t="s">
        <v>10602</v>
      </c>
    </row>
    <row r="1953" spans="2:5">
      <c r="B1953" s="410" t="s">
        <v>9836</v>
      </c>
      <c r="C1953" s="411">
        <v>17533</v>
      </c>
      <c r="D1953" s="412">
        <v>45441</v>
      </c>
      <c r="E1953" s="410" t="s">
        <v>10729</v>
      </c>
    </row>
    <row r="1954" spans="2:5">
      <c r="B1954" s="410" t="s">
        <v>9836</v>
      </c>
      <c r="C1954" s="411">
        <v>17529</v>
      </c>
      <c r="D1954" s="412">
        <v>45441</v>
      </c>
      <c r="E1954" s="410" t="s">
        <v>10601</v>
      </c>
    </row>
    <row r="1955" spans="2:5">
      <c r="B1955" s="410" t="s">
        <v>9836</v>
      </c>
      <c r="C1955" s="411">
        <v>17527</v>
      </c>
      <c r="D1955" s="412">
        <v>45441</v>
      </c>
      <c r="E1955" s="415" t="s">
        <v>10600</v>
      </c>
    </row>
    <row r="1956" spans="2:5">
      <c r="B1956" s="410" t="s">
        <v>9836</v>
      </c>
      <c r="C1956" s="411">
        <v>17525</v>
      </c>
      <c r="D1956" s="412">
        <v>45441</v>
      </c>
      <c r="E1956" s="415" t="s">
        <v>10612</v>
      </c>
    </row>
    <row r="1957" spans="2:5">
      <c r="B1957" s="410" t="s">
        <v>9836</v>
      </c>
      <c r="C1957" s="411">
        <v>17523</v>
      </c>
      <c r="D1957" s="412">
        <v>45441</v>
      </c>
      <c r="E1957" s="415" t="s">
        <v>10730</v>
      </c>
    </row>
    <row r="1958" spans="2:5">
      <c r="B1958" s="410" t="s">
        <v>9836</v>
      </c>
      <c r="C1958" s="411">
        <v>17522</v>
      </c>
      <c r="D1958" s="412">
        <v>45441</v>
      </c>
      <c r="E1958" s="415" t="s">
        <v>10611</v>
      </c>
    </row>
    <row r="1959" spans="2:5">
      <c r="B1959" s="410" t="s">
        <v>9836</v>
      </c>
      <c r="C1959" s="411">
        <v>17517</v>
      </c>
      <c r="D1959" s="412">
        <v>45441</v>
      </c>
      <c r="E1959" s="415" t="s">
        <v>10610</v>
      </c>
    </row>
    <row r="1960" spans="2:5">
      <c r="B1960" s="410" t="s">
        <v>9836</v>
      </c>
      <c r="C1960" s="411">
        <v>17516</v>
      </c>
      <c r="D1960" s="412">
        <v>45441</v>
      </c>
      <c r="E1960" s="415" t="s">
        <v>10731</v>
      </c>
    </row>
    <row r="1961" spans="2:5">
      <c r="B1961" s="410" t="s">
        <v>9836</v>
      </c>
      <c r="C1961" s="411">
        <v>17512</v>
      </c>
      <c r="D1961" s="412">
        <v>45441</v>
      </c>
      <c r="E1961" s="415" t="s">
        <v>10609</v>
      </c>
    </row>
    <row r="1962" spans="2:5">
      <c r="B1962" s="410" t="s">
        <v>9836</v>
      </c>
      <c r="C1962" s="411">
        <v>17509</v>
      </c>
      <c r="D1962" s="412">
        <v>45441</v>
      </c>
      <c r="E1962" s="415" t="s">
        <v>10608</v>
      </c>
    </row>
    <row r="1963" spans="2:5">
      <c r="B1963" s="410" t="s">
        <v>9836</v>
      </c>
      <c r="C1963" s="411">
        <v>17508</v>
      </c>
      <c r="D1963" s="412">
        <v>45441</v>
      </c>
      <c r="E1963" s="415" t="s">
        <v>10607</v>
      </c>
    </row>
    <row r="1964" spans="2:5">
      <c r="B1964" s="410" t="s">
        <v>9836</v>
      </c>
      <c r="C1964" s="411">
        <v>17507</v>
      </c>
      <c r="D1964" s="412">
        <v>45441</v>
      </c>
      <c r="E1964" s="415" t="s">
        <v>10606</v>
      </c>
    </row>
    <row r="1965" spans="2:5">
      <c r="B1965" s="410" t="s">
        <v>9836</v>
      </c>
      <c r="C1965" s="411">
        <v>17506</v>
      </c>
      <c r="D1965" s="412">
        <v>45441</v>
      </c>
      <c r="E1965" s="415" t="s">
        <v>10613</v>
      </c>
    </row>
    <row r="1966" spans="2:5">
      <c r="B1966" s="410" t="s">
        <v>9836</v>
      </c>
      <c r="C1966" s="411">
        <v>17505</v>
      </c>
      <c r="D1966" s="412">
        <v>45441</v>
      </c>
      <c r="E1966" s="415" t="s">
        <v>10614</v>
      </c>
    </row>
    <row r="1967" spans="2:5">
      <c r="B1967" s="410" t="s">
        <v>9836</v>
      </c>
      <c r="C1967" s="411">
        <v>17502</v>
      </c>
      <c r="D1967" s="412">
        <v>45441</v>
      </c>
      <c r="E1967" s="415" t="s">
        <v>10615</v>
      </c>
    </row>
    <row r="1968" spans="2:5">
      <c r="B1968" s="410" t="s">
        <v>9836</v>
      </c>
      <c r="C1968" s="411">
        <v>17501</v>
      </c>
      <c r="D1968" s="412">
        <v>45441</v>
      </c>
      <c r="E1968" s="415" t="s">
        <v>10616</v>
      </c>
    </row>
    <row r="1969" spans="2:5">
      <c r="B1969" s="410" t="s">
        <v>9836</v>
      </c>
      <c r="C1969" s="411">
        <v>17497</v>
      </c>
      <c r="D1969" s="412">
        <v>45441</v>
      </c>
      <c r="E1969" s="415" t="s">
        <v>10617</v>
      </c>
    </row>
    <row r="1970" spans="2:5">
      <c r="B1970" s="410" t="s">
        <v>9836</v>
      </c>
      <c r="C1970" s="411">
        <v>17495</v>
      </c>
      <c r="D1970" s="412">
        <v>45441</v>
      </c>
      <c r="E1970" s="415" t="s">
        <v>10623</v>
      </c>
    </row>
    <row r="1971" spans="2:5">
      <c r="B1971" s="410" t="s">
        <v>9836</v>
      </c>
      <c r="C1971" s="411">
        <v>17494</v>
      </c>
      <c r="D1971" s="412">
        <v>45441</v>
      </c>
      <c r="E1971" s="415" t="s">
        <v>10622</v>
      </c>
    </row>
    <row r="1972" spans="2:5">
      <c r="B1972" s="410" t="s">
        <v>9836</v>
      </c>
      <c r="C1972" s="411">
        <v>17493</v>
      </c>
      <c r="D1972" s="412">
        <v>45441</v>
      </c>
      <c r="E1972" s="415" t="s">
        <v>10621</v>
      </c>
    </row>
    <row r="1973" spans="2:5">
      <c r="B1973" s="410" t="s">
        <v>9836</v>
      </c>
      <c r="C1973" s="411">
        <v>17490</v>
      </c>
      <c r="D1973" s="412">
        <v>45441</v>
      </c>
      <c r="E1973" s="415" t="s">
        <v>10620</v>
      </c>
    </row>
    <row r="1974" spans="2:5">
      <c r="B1974" s="410" t="s">
        <v>9836</v>
      </c>
      <c r="C1974" s="411">
        <v>17489</v>
      </c>
      <c r="D1974" s="412">
        <v>45441</v>
      </c>
      <c r="E1974" s="415" t="s">
        <v>10619</v>
      </c>
    </row>
    <row r="1975" spans="2:5">
      <c r="B1975" s="410" t="s">
        <v>9836</v>
      </c>
      <c r="C1975" s="411">
        <v>17488</v>
      </c>
      <c r="D1975" s="412">
        <v>45441</v>
      </c>
      <c r="E1975" s="415" t="s">
        <v>10618</v>
      </c>
    </row>
    <row r="1976" spans="2:5">
      <c r="B1976" s="410" t="s">
        <v>9836</v>
      </c>
      <c r="C1976" s="411">
        <v>17486</v>
      </c>
      <c r="D1976" s="412">
        <v>45441</v>
      </c>
      <c r="E1976" s="415" t="s">
        <v>10732</v>
      </c>
    </row>
    <row r="1977" spans="2:5">
      <c r="B1977" s="410" t="s">
        <v>9836</v>
      </c>
      <c r="C1977" s="411">
        <v>17485</v>
      </c>
      <c r="D1977" s="412">
        <v>45441</v>
      </c>
      <c r="E1977" s="415" t="s">
        <v>10624</v>
      </c>
    </row>
    <row r="1978" spans="2:5">
      <c r="B1978" s="410" t="s">
        <v>9836</v>
      </c>
      <c r="C1978" s="411">
        <v>17484</v>
      </c>
      <c r="D1978" s="412">
        <v>45441</v>
      </c>
      <c r="E1978" s="415" t="s">
        <v>10625</v>
      </c>
    </row>
    <row r="1979" spans="2:5">
      <c r="B1979" s="410" t="s">
        <v>9836</v>
      </c>
      <c r="C1979" s="411">
        <v>17483</v>
      </c>
      <c r="D1979" s="412">
        <v>45441</v>
      </c>
      <c r="E1979" s="415" t="s">
        <v>10733</v>
      </c>
    </row>
    <row r="1980" spans="2:5">
      <c r="B1980" s="410" t="s">
        <v>9836</v>
      </c>
      <c r="C1980" s="411">
        <v>17481</v>
      </c>
      <c r="D1980" s="412">
        <v>45441</v>
      </c>
      <c r="E1980" s="415" t="s">
        <v>10626</v>
      </c>
    </row>
    <row r="1981" spans="2:5">
      <c r="B1981" s="410" t="s">
        <v>9836</v>
      </c>
      <c r="C1981" s="411">
        <v>17479</v>
      </c>
      <c r="D1981" s="412">
        <v>45441</v>
      </c>
      <c r="E1981" s="415" t="s">
        <v>10627</v>
      </c>
    </row>
    <row r="1982" spans="2:5">
      <c r="B1982" s="410" t="s">
        <v>9836</v>
      </c>
      <c r="C1982" s="411">
        <v>17478</v>
      </c>
      <c r="D1982" s="412">
        <v>45441</v>
      </c>
      <c r="E1982" s="415" t="s">
        <v>10628</v>
      </c>
    </row>
    <row r="1983" spans="2:5">
      <c r="B1983" s="410" t="s">
        <v>9836</v>
      </c>
      <c r="C1983" s="411">
        <v>17477</v>
      </c>
      <c r="D1983" s="412">
        <v>45441</v>
      </c>
      <c r="E1983" s="415" t="s">
        <v>10629</v>
      </c>
    </row>
    <row r="1984" spans="2:5">
      <c r="B1984" s="410" t="s">
        <v>9836</v>
      </c>
      <c r="C1984" s="411">
        <v>17476</v>
      </c>
      <c r="D1984" s="412">
        <v>45441</v>
      </c>
      <c r="E1984" s="415" t="s">
        <v>10630</v>
      </c>
    </row>
    <row r="1985" spans="2:7">
      <c r="B1985" s="410" t="s">
        <v>9836</v>
      </c>
      <c r="C1985" s="411">
        <v>17475</v>
      </c>
      <c r="D1985" s="412">
        <v>45441</v>
      </c>
      <c r="E1985" s="415" t="s">
        <v>10734</v>
      </c>
    </row>
    <row r="1986" spans="2:7">
      <c r="B1986" s="410" t="s">
        <v>9836</v>
      </c>
      <c r="C1986" s="411">
        <v>17474</v>
      </c>
      <c r="D1986" s="412">
        <v>45441</v>
      </c>
      <c r="E1986" s="415" t="s">
        <v>10631</v>
      </c>
    </row>
    <row r="1987" spans="2:7">
      <c r="B1987" s="410" t="s">
        <v>9836</v>
      </c>
      <c r="C1987" s="411">
        <v>17473</v>
      </c>
      <c r="D1987" s="412">
        <v>45441</v>
      </c>
      <c r="E1987" s="415" t="s">
        <v>10632</v>
      </c>
    </row>
    <row r="1988" spans="2:7">
      <c r="B1988" s="410" t="s">
        <v>9836</v>
      </c>
      <c r="C1988" s="411">
        <v>17472</v>
      </c>
      <c r="D1988" s="412">
        <v>45441</v>
      </c>
      <c r="E1988" s="415" t="s">
        <v>10633</v>
      </c>
    </row>
    <row r="1989" spans="2:7">
      <c r="B1989" s="410" t="s">
        <v>9836</v>
      </c>
      <c r="C1989" s="411">
        <v>17471</v>
      </c>
      <c r="D1989" s="412">
        <v>45441</v>
      </c>
      <c r="E1989" s="415" t="s">
        <v>10634</v>
      </c>
    </row>
    <row r="1990" spans="2:7">
      <c r="B1990" s="410" t="s">
        <v>9836</v>
      </c>
      <c r="C1990" s="411">
        <v>17470</v>
      </c>
      <c r="D1990" s="412">
        <v>45441</v>
      </c>
      <c r="E1990" s="415" t="s">
        <v>10639</v>
      </c>
    </row>
    <row r="1991" spans="2:7">
      <c r="B1991" s="410" t="s">
        <v>9836</v>
      </c>
      <c r="C1991" s="411">
        <v>17469</v>
      </c>
      <c r="D1991" s="412">
        <v>45441</v>
      </c>
      <c r="E1991" s="415" t="s">
        <v>10638</v>
      </c>
    </row>
    <row r="1992" spans="2:7">
      <c r="B1992" s="410" t="s">
        <v>9836</v>
      </c>
      <c r="C1992" s="411">
        <v>17468</v>
      </c>
      <c r="D1992" s="412">
        <v>45441</v>
      </c>
      <c r="E1992" s="415" t="s">
        <v>10637</v>
      </c>
    </row>
    <row r="1993" spans="2:7">
      <c r="B1993" s="410" t="s">
        <v>9836</v>
      </c>
      <c r="C1993" s="411">
        <v>17467</v>
      </c>
      <c r="D1993" s="412">
        <v>45441</v>
      </c>
      <c r="E1993" s="415" t="s">
        <v>10636</v>
      </c>
    </row>
    <row r="1994" spans="2:7">
      <c r="B1994" s="410" t="s">
        <v>9836</v>
      </c>
      <c r="C1994" s="411">
        <v>17466</v>
      </c>
      <c r="D1994" s="412">
        <v>45441</v>
      </c>
      <c r="E1994" s="415" t="s">
        <v>10635</v>
      </c>
    </row>
    <row r="1995" spans="2:7">
      <c r="B1995" s="410" t="s">
        <v>9836</v>
      </c>
      <c r="C1995" s="411">
        <v>17465</v>
      </c>
      <c r="D1995" s="412">
        <v>45441</v>
      </c>
      <c r="E1995" s="415" t="s">
        <v>10640</v>
      </c>
      <c r="F1995" s="410">
        <v>2</v>
      </c>
      <c r="G1995" s="410" t="s">
        <v>10641</v>
      </c>
    </row>
    <row r="1996" spans="2:7">
      <c r="B1996" s="410" t="s">
        <v>9836</v>
      </c>
      <c r="C1996" s="411">
        <v>17464</v>
      </c>
      <c r="D1996" s="412">
        <v>45441</v>
      </c>
      <c r="E1996" s="415" t="s">
        <v>10645</v>
      </c>
    </row>
    <row r="1997" spans="2:7">
      <c r="B1997" s="410" t="s">
        <v>9836</v>
      </c>
      <c r="C1997" s="411">
        <v>17463</v>
      </c>
      <c r="D1997" s="412">
        <v>45441</v>
      </c>
      <c r="E1997" s="415" t="s">
        <v>10735</v>
      </c>
    </row>
    <row r="1998" spans="2:7">
      <c r="B1998" s="410" t="s">
        <v>9836</v>
      </c>
      <c r="C1998" s="411">
        <v>17462</v>
      </c>
      <c r="D1998" s="412">
        <v>45441</v>
      </c>
      <c r="E1998" s="415" t="s">
        <v>10644</v>
      </c>
    </row>
    <row r="1999" spans="2:7">
      <c r="B1999" s="410" t="s">
        <v>9836</v>
      </c>
      <c r="C1999" s="411">
        <v>17461</v>
      </c>
      <c r="D1999" s="412">
        <v>45441</v>
      </c>
      <c r="E1999" s="415" t="s">
        <v>10643</v>
      </c>
    </row>
    <row r="2000" spans="2:7">
      <c r="B2000" s="410" t="s">
        <v>9836</v>
      </c>
      <c r="C2000" s="411">
        <v>17460</v>
      </c>
      <c r="D2000" s="412">
        <v>45441</v>
      </c>
      <c r="E2000" s="415" t="s">
        <v>10642</v>
      </c>
    </row>
    <row r="2001" spans="2:5">
      <c r="B2001" s="410" t="s">
        <v>9836</v>
      </c>
      <c r="C2001" s="411">
        <v>17459</v>
      </c>
      <c r="D2001" s="412">
        <v>45441</v>
      </c>
      <c r="E2001" s="415" t="s">
        <v>10650</v>
      </c>
    </row>
    <row r="2002" spans="2:5">
      <c r="B2002" s="410" t="s">
        <v>9836</v>
      </c>
      <c r="C2002" s="411">
        <v>17458</v>
      </c>
      <c r="D2002" s="412">
        <v>45441</v>
      </c>
      <c r="E2002" s="415" t="s">
        <v>10649</v>
      </c>
    </row>
    <row r="2003" spans="2:5">
      <c r="B2003" s="410" t="s">
        <v>9836</v>
      </c>
      <c r="C2003" s="411">
        <v>17457</v>
      </c>
      <c r="D2003" s="412">
        <v>45441</v>
      </c>
      <c r="E2003" s="415" t="s">
        <v>10736</v>
      </c>
    </row>
    <row r="2004" spans="2:5">
      <c r="B2004" s="410" t="s">
        <v>9836</v>
      </c>
      <c r="C2004" s="411">
        <v>17456</v>
      </c>
      <c r="D2004" s="412">
        <v>45441</v>
      </c>
      <c r="E2004" s="415" t="s">
        <v>10737</v>
      </c>
    </row>
    <row r="2005" spans="2:5">
      <c r="B2005" s="410" t="s">
        <v>9836</v>
      </c>
      <c r="C2005" s="411">
        <v>17455</v>
      </c>
      <c r="D2005" s="412">
        <v>45441</v>
      </c>
      <c r="E2005" s="415" t="s">
        <v>10738</v>
      </c>
    </row>
    <row r="2006" spans="2:5">
      <c r="B2006" s="410" t="s">
        <v>9836</v>
      </c>
      <c r="C2006" s="411">
        <v>17451</v>
      </c>
      <c r="D2006" s="412">
        <v>45441</v>
      </c>
      <c r="E2006" s="415" t="s">
        <v>10648</v>
      </c>
    </row>
    <row r="2007" spans="2:5">
      <c r="B2007" s="410" t="s">
        <v>9836</v>
      </c>
      <c r="C2007" s="411">
        <v>17450</v>
      </c>
      <c r="D2007" s="412">
        <v>45441</v>
      </c>
      <c r="E2007" s="415" t="s">
        <v>10739</v>
      </c>
    </row>
    <row r="2008" spans="2:5">
      <c r="B2008" s="410" t="s">
        <v>9836</v>
      </c>
      <c r="C2008" s="411">
        <v>17449</v>
      </c>
      <c r="D2008" s="412">
        <v>45441</v>
      </c>
      <c r="E2008" s="415" t="s">
        <v>10740</v>
      </c>
    </row>
    <row r="2009" spans="2:5">
      <c r="B2009" s="410" t="s">
        <v>9836</v>
      </c>
      <c r="C2009" s="411">
        <v>17447</v>
      </c>
      <c r="D2009" s="412">
        <v>45441</v>
      </c>
      <c r="E2009" s="415" t="s">
        <v>10741</v>
      </c>
    </row>
    <row r="2010" spans="2:5">
      <c r="B2010" s="410" t="s">
        <v>9836</v>
      </c>
      <c r="C2010" s="411">
        <v>17445</v>
      </c>
      <c r="D2010" s="412">
        <v>45441</v>
      </c>
      <c r="E2010" s="415" t="s">
        <v>10647</v>
      </c>
    </row>
    <row r="2011" spans="2:5">
      <c r="B2011" s="410" t="s">
        <v>9836</v>
      </c>
      <c r="C2011" s="411">
        <v>17444</v>
      </c>
      <c r="D2011" s="412">
        <v>45441</v>
      </c>
      <c r="E2011" s="415" t="s">
        <v>10742</v>
      </c>
    </row>
    <row r="2012" spans="2:5">
      <c r="B2012" s="410" t="s">
        <v>9836</v>
      </c>
      <c r="C2012" s="411">
        <v>17442</v>
      </c>
      <c r="D2012" s="412">
        <v>45441</v>
      </c>
      <c r="E2012" s="415" t="s">
        <v>10743</v>
      </c>
    </row>
    <row r="2013" spans="2:5">
      <c r="B2013" s="410" t="s">
        <v>9836</v>
      </c>
      <c r="C2013" s="411">
        <v>17440</v>
      </c>
      <c r="D2013" s="412">
        <v>45441</v>
      </c>
      <c r="E2013" s="415" t="s">
        <v>10646</v>
      </c>
    </row>
    <row r="2014" spans="2:5">
      <c r="B2014" s="410" t="s">
        <v>9836</v>
      </c>
      <c r="C2014" s="411">
        <v>17439</v>
      </c>
      <c r="D2014" s="412">
        <v>45441</v>
      </c>
      <c r="E2014" s="415" t="s">
        <v>10744</v>
      </c>
    </row>
    <row r="2015" spans="2:5">
      <c r="B2015" s="410" t="s">
        <v>9836</v>
      </c>
      <c r="C2015" s="411">
        <v>17438</v>
      </c>
      <c r="D2015" s="412">
        <v>45441</v>
      </c>
      <c r="E2015" s="415" t="s">
        <v>10745</v>
      </c>
    </row>
    <row r="2016" spans="2:5">
      <c r="B2016" s="410" t="s">
        <v>9836</v>
      </c>
      <c r="C2016" s="411">
        <v>17436</v>
      </c>
      <c r="D2016" s="412">
        <v>45441</v>
      </c>
      <c r="E2016" s="415" t="s">
        <v>10746</v>
      </c>
    </row>
    <row r="2017" spans="2:5">
      <c r="B2017" s="410" t="s">
        <v>9836</v>
      </c>
      <c r="C2017" s="411">
        <v>17430</v>
      </c>
      <c r="D2017" s="412">
        <v>45440</v>
      </c>
      <c r="E2017" s="410" t="s">
        <v>10334</v>
      </c>
    </row>
    <row r="2018" spans="2:5">
      <c r="B2018" s="410" t="s">
        <v>9836</v>
      </c>
      <c r="C2018" s="411">
        <v>17428</v>
      </c>
      <c r="D2018" s="412">
        <v>45440</v>
      </c>
      <c r="E2018" s="410" t="s">
        <v>10335</v>
      </c>
    </row>
    <row r="2019" spans="2:5">
      <c r="B2019" s="410" t="s">
        <v>9836</v>
      </c>
      <c r="C2019" s="411">
        <v>17425</v>
      </c>
      <c r="D2019" s="412">
        <v>45440</v>
      </c>
      <c r="E2019" s="410" t="s">
        <v>10092</v>
      </c>
    </row>
    <row r="2020" spans="2:5">
      <c r="B2020" s="410" t="s">
        <v>9836</v>
      </c>
      <c r="C2020" s="411">
        <v>17422</v>
      </c>
      <c r="D2020" s="412">
        <v>45440</v>
      </c>
      <c r="E2020" s="410" t="s">
        <v>10336</v>
      </c>
    </row>
    <row r="2021" spans="2:5">
      <c r="B2021" s="410" t="s">
        <v>9836</v>
      </c>
      <c r="C2021" s="411">
        <v>17420</v>
      </c>
      <c r="D2021" s="412">
        <v>45440</v>
      </c>
      <c r="E2021" s="410" t="s">
        <v>10093</v>
      </c>
    </row>
    <row r="2022" spans="2:5">
      <c r="B2022" s="410" t="s">
        <v>9836</v>
      </c>
      <c r="C2022" s="411">
        <v>17419</v>
      </c>
      <c r="D2022" s="412">
        <v>45440</v>
      </c>
      <c r="E2022" s="410" t="s">
        <v>10337</v>
      </c>
    </row>
    <row r="2023" spans="2:5">
      <c r="B2023" s="410" t="s">
        <v>9836</v>
      </c>
      <c r="C2023" s="411">
        <v>17416</v>
      </c>
      <c r="D2023" s="412">
        <v>45440</v>
      </c>
      <c r="E2023" s="410" t="s">
        <v>10094</v>
      </c>
    </row>
    <row r="2024" spans="2:5">
      <c r="B2024" s="410" t="s">
        <v>9836</v>
      </c>
      <c r="C2024" s="411">
        <v>17412</v>
      </c>
      <c r="D2024" s="412">
        <v>45440</v>
      </c>
      <c r="E2024" s="410" t="s">
        <v>10338</v>
      </c>
    </row>
    <row r="2025" spans="2:5">
      <c r="B2025" s="410" t="s">
        <v>9836</v>
      </c>
      <c r="C2025" s="411">
        <v>17406</v>
      </c>
      <c r="D2025" s="412">
        <v>45440</v>
      </c>
      <c r="E2025" s="410" t="s">
        <v>10339</v>
      </c>
    </row>
    <row r="2026" spans="2:5">
      <c r="B2026" s="410" t="s">
        <v>9836</v>
      </c>
      <c r="C2026" s="411">
        <v>17404</v>
      </c>
      <c r="D2026" s="412">
        <v>45440</v>
      </c>
      <c r="E2026" s="410" t="s">
        <v>10095</v>
      </c>
    </row>
    <row r="2027" spans="2:5">
      <c r="B2027" s="410" t="s">
        <v>9836</v>
      </c>
      <c r="C2027" s="411">
        <v>17403</v>
      </c>
      <c r="D2027" s="412">
        <v>45440</v>
      </c>
      <c r="E2027" s="410" t="s">
        <v>10096</v>
      </c>
    </row>
    <row r="2028" spans="2:5">
      <c r="B2028" s="410" t="s">
        <v>9836</v>
      </c>
      <c r="C2028" s="411">
        <v>17401</v>
      </c>
      <c r="D2028" s="412">
        <v>45440</v>
      </c>
      <c r="E2028" s="410" t="s">
        <v>10097</v>
      </c>
    </row>
    <row r="2029" spans="2:5">
      <c r="B2029" s="410" t="s">
        <v>9836</v>
      </c>
      <c r="C2029" s="411">
        <v>17399</v>
      </c>
      <c r="D2029" s="412">
        <v>45440</v>
      </c>
      <c r="E2029" s="410" t="s">
        <v>10098</v>
      </c>
    </row>
    <row r="2030" spans="2:5">
      <c r="B2030" s="410" t="s">
        <v>9836</v>
      </c>
      <c r="C2030" s="411">
        <v>17394</v>
      </c>
      <c r="D2030" s="412">
        <v>45440</v>
      </c>
      <c r="E2030" s="410" t="s">
        <v>10340</v>
      </c>
    </row>
    <row r="2031" spans="2:5">
      <c r="B2031" s="410" t="s">
        <v>9836</v>
      </c>
      <c r="C2031" s="411">
        <v>17391</v>
      </c>
      <c r="D2031" s="412">
        <v>45440</v>
      </c>
      <c r="E2031" s="410" t="s">
        <v>10099</v>
      </c>
    </row>
    <row r="2032" spans="2:5">
      <c r="B2032" s="410" t="s">
        <v>9836</v>
      </c>
      <c r="C2032" s="411">
        <v>17382</v>
      </c>
      <c r="D2032" s="412">
        <v>45440</v>
      </c>
      <c r="E2032" s="410" t="s">
        <v>10100</v>
      </c>
    </row>
    <row r="2033" spans="2:5">
      <c r="B2033" s="410" t="s">
        <v>9836</v>
      </c>
      <c r="C2033" s="411">
        <v>17378</v>
      </c>
      <c r="D2033" s="412">
        <v>45440</v>
      </c>
      <c r="E2033" s="410" t="s">
        <v>10101</v>
      </c>
    </row>
    <row r="2034" spans="2:5">
      <c r="B2034" s="410" t="s">
        <v>9836</v>
      </c>
      <c r="C2034" s="411">
        <v>17377</v>
      </c>
      <c r="D2034" s="412">
        <v>45440</v>
      </c>
      <c r="E2034" s="410" t="s">
        <v>10102</v>
      </c>
    </row>
    <row r="2035" spans="2:5">
      <c r="B2035" s="410" t="s">
        <v>9836</v>
      </c>
      <c r="C2035" s="411">
        <v>17374</v>
      </c>
      <c r="D2035" s="412">
        <v>45440</v>
      </c>
      <c r="E2035" s="410" t="s">
        <v>10103</v>
      </c>
    </row>
    <row r="2036" spans="2:5">
      <c r="B2036" s="410" t="s">
        <v>9836</v>
      </c>
      <c r="C2036" s="411">
        <v>17372</v>
      </c>
      <c r="D2036" s="412">
        <v>45440</v>
      </c>
      <c r="E2036" s="410" t="s">
        <v>10341</v>
      </c>
    </row>
    <row r="2037" spans="2:5">
      <c r="B2037" s="410" t="s">
        <v>9836</v>
      </c>
      <c r="C2037" s="411">
        <v>17370</v>
      </c>
      <c r="D2037" s="412">
        <v>45440</v>
      </c>
      <c r="E2037" s="410" t="s">
        <v>10342</v>
      </c>
    </row>
    <row r="2038" spans="2:5">
      <c r="B2038" s="410" t="s">
        <v>9836</v>
      </c>
      <c r="C2038" s="411">
        <v>17366</v>
      </c>
      <c r="D2038" s="412">
        <v>45440</v>
      </c>
      <c r="E2038" s="410" t="s">
        <v>10104</v>
      </c>
    </row>
    <row r="2039" spans="2:5">
      <c r="B2039" s="410" t="s">
        <v>9836</v>
      </c>
      <c r="C2039" s="411">
        <v>17358</v>
      </c>
      <c r="D2039" s="412">
        <v>45440</v>
      </c>
      <c r="E2039" s="410" t="s">
        <v>10105</v>
      </c>
    </row>
    <row r="2040" spans="2:5">
      <c r="B2040" s="410" t="s">
        <v>9836</v>
      </c>
      <c r="C2040" s="411">
        <v>17352</v>
      </c>
      <c r="D2040" s="412">
        <v>45440</v>
      </c>
      <c r="E2040" s="410" t="s">
        <v>10106</v>
      </c>
    </row>
    <row r="2041" spans="2:5">
      <c r="B2041" s="410" t="s">
        <v>9836</v>
      </c>
      <c r="C2041" s="411">
        <v>17346</v>
      </c>
      <c r="D2041" s="412">
        <v>45440</v>
      </c>
      <c r="E2041" s="410" t="s">
        <v>10107</v>
      </c>
    </row>
    <row r="2042" spans="2:5">
      <c r="B2042" s="410" t="s">
        <v>9836</v>
      </c>
      <c r="C2042" s="411">
        <v>17339</v>
      </c>
      <c r="D2042" s="412">
        <v>45440</v>
      </c>
      <c r="E2042" s="410" t="s">
        <v>10108</v>
      </c>
    </row>
    <row r="2043" spans="2:5">
      <c r="B2043" s="410" t="s">
        <v>9836</v>
      </c>
      <c r="C2043" s="411">
        <v>17333</v>
      </c>
      <c r="D2043" s="412">
        <v>45440</v>
      </c>
      <c r="E2043" s="410" t="s">
        <v>10343</v>
      </c>
    </row>
    <row r="2044" spans="2:5">
      <c r="B2044" s="410" t="s">
        <v>9836</v>
      </c>
      <c r="C2044" s="411">
        <v>17325</v>
      </c>
      <c r="D2044" s="412">
        <v>45440</v>
      </c>
      <c r="E2044" s="410" t="s">
        <v>10344</v>
      </c>
    </row>
    <row r="2045" spans="2:5">
      <c r="B2045" s="410" t="s">
        <v>9836</v>
      </c>
      <c r="C2045" s="411">
        <v>17324</v>
      </c>
      <c r="D2045" s="412">
        <v>45440</v>
      </c>
      <c r="E2045" s="410" t="s">
        <v>10109</v>
      </c>
    </row>
    <row r="2046" spans="2:5">
      <c r="B2046" s="410" t="s">
        <v>9836</v>
      </c>
      <c r="C2046" s="411">
        <v>17311</v>
      </c>
      <c r="D2046" s="412">
        <v>45440</v>
      </c>
      <c r="E2046" s="410" t="s">
        <v>10110</v>
      </c>
    </row>
    <row r="2047" spans="2:5">
      <c r="B2047" s="410" t="s">
        <v>9836</v>
      </c>
      <c r="C2047" s="411">
        <v>17309</v>
      </c>
      <c r="D2047" s="412">
        <v>45440</v>
      </c>
      <c r="E2047" s="410" t="s">
        <v>10111</v>
      </c>
    </row>
    <row r="2048" spans="2:5">
      <c r="B2048" s="410" t="s">
        <v>9836</v>
      </c>
      <c r="C2048" s="411">
        <v>17299</v>
      </c>
      <c r="D2048" s="412">
        <v>45440</v>
      </c>
      <c r="E2048" s="410" t="s">
        <v>10345</v>
      </c>
    </row>
    <row r="2049" spans="2:5">
      <c r="B2049" s="410" t="s">
        <v>9836</v>
      </c>
      <c r="C2049" s="411">
        <v>17293</v>
      </c>
      <c r="D2049" s="412">
        <v>45440</v>
      </c>
      <c r="E2049" s="410" t="s">
        <v>10112</v>
      </c>
    </row>
    <row r="2050" spans="2:5">
      <c r="B2050" s="410" t="s">
        <v>9836</v>
      </c>
      <c r="C2050" s="411">
        <v>17287</v>
      </c>
      <c r="D2050" s="412">
        <v>45440</v>
      </c>
      <c r="E2050" s="410" t="s">
        <v>10113</v>
      </c>
    </row>
    <row r="2051" spans="2:5">
      <c r="B2051" s="410" t="s">
        <v>9836</v>
      </c>
      <c r="C2051" s="411">
        <v>17283</v>
      </c>
      <c r="D2051" s="412">
        <v>45440</v>
      </c>
      <c r="E2051" s="410" t="s">
        <v>10114</v>
      </c>
    </row>
    <row r="2052" spans="2:5">
      <c r="B2052" s="410" t="s">
        <v>9836</v>
      </c>
      <c r="C2052" s="411">
        <v>17282</v>
      </c>
      <c r="D2052" s="412">
        <v>45440</v>
      </c>
      <c r="E2052" s="410" t="s">
        <v>10346</v>
      </c>
    </row>
    <row r="2053" spans="2:5">
      <c r="B2053" s="410" t="s">
        <v>9836</v>
      </c>
      <c r="C2053" s="411">
        <v>17277</v>
      </c>
      <c r="D2053" s="412">
        <v>45440</v>
      </c>
      <c r="E2053" s="410" t="s">
        <v>10115</v>
      </c>
    </row>
    <row r="2054" spans="2:5">
      <c r="B2054" s="410" t="s">
        <v>9836</v>
      </c>
      <c r="C2054" s="411">
        <v>17272</v>
      </c>
      <c r="D2054" s="412">
        <v>45440</v>
      </c>
      <c r="E2054" s="410" t="s">
        <v>10116</v>
      </c>
    </row>
    <row r="2055" spans="2:5">
      <c r="B2055" s="410" t="s">
        <v>9836</v>
      </c>
      <c r="C2055" s="411">
        <v>17267</v>
      </c>
      <c r="D2055" s="412">
        <v>45440</v>
      </c>
      <c r="E2055" s="410" t="s">
        <v>10117</v>
      </c>
    </row>
    <row r="2056" spans="2:5">
      <c r="B2056" s="410" t="s">
        <v>9836</v>
      </c>
      <c r="C2056" s="411">
        <v>17264</v>
      </c>
      <c r="D2056" s="412">
        <v>45440</v>
      </c>
      <c r="E2056" s="410" t="s">
        <v>10347</v>
      </c>
    </row>
    <row r="2057" spans="2:5">
      <c r="B2057" s="410" t="s">
        <v>9836</v>
      </c>
      <c r="C2057" s="411">
        <v>17260</v>
      </c>
      <c r="D2057" s="412">
        <v>45440</v>
      </c>
      <c r="E2057" s="410" t="s">
        <v>10118</v>
      </c>
    </row>
    <row r="2058" spans="2:5">
      <c r="B2058" s="410" t="s">
        <v>9836</v>
      </c>
      <c r="C2058" s="411">
        <v>17258</v>
      </c>
      <c r="D2058" s="412">
        <v>45440</v>
      </c>
      <c r="E2058" s="410" t="s">
        <v>10119</v>
      </c>
    </row>
    <row r="2059" spans="2:5">
      <c r="B2059" s="410" t="s">
        <v>9836</v>
      </c>
      <c r="C2059" s="411">
        <v>17253</v>
      </c>
      <c r="D2059" s="412">
        <v>45440</v>
      </c>
      <c r="E2059" s="410" t="s">
        <v>10120</v>
      </c>
    </row>
    <row r="2060" spans="2:5">
      <c r="B2060" s="410" t="s">
        <v>9836</v>
      </c>
      <c r="C2060" s="411">
        <v>17248</v>
      </c>
      <c r="D2060" s="412">
        <v>45440</v>
      </c>
      <c r="E2060" s="410" t="s">
        <v>10348</v>
      </c>
    </row>
    <row r="2061" spans="2:5">
      <c r="B2061" s="410" t="s">
        <v>9836</v>
      </c>
      <c r="C2061" s="411">
        <v>17247</v>
      </c>
      <c r="D2061" s="412">
        <v>45440</v>
      </c>
      <c r="E2061" s="410" t="s">
        <v>10121</v>
      </c>
    </row>
    <row r="2062" spans="2:5">
      <c r="B2062" s="410" t="s">
        <v>9836</v>
      </c>
      <c r="C2062" s="411">
        <v>17245</v>
      </c>
      <c r="D2062" s="412">
        <v>45440</v>
      </c>
      <c r="E2062" s="410" t="s">
        <v>10349</v>
      </c>
    </row>
    <row r="2063" spans="2:5">
      <c r="B2063" s="410" t="s">
        <v>9836</v>
      </c>
      <c r="C2063" s="411">
        <v>17243</v>
      </c>
      <c r="D2063" s="412">
        <v>45440</v>
      </c>
      <c r="E2063" s="410" t="s">
        <v>10122</v>
      </c>
    </row>
    <row r="2064" spans="2:5">
      <c r="B2064" s="410" t="s">
        <v>9836</v>
      </c>
      <c r="C2064" s="411">
        <v>17234</v>
      </c>
      <c r="D2064" s="412">
        <v>45440</v>
      </c>
      <c r="E2064" s="410" t="s">
        <v>10350</v>
      </c>
    </row>
    <row r="2065" spans="2:5">
      <c r="B2065" s="410" t="s">
        <v>9836</v>
      </c>
      <c r="C2065" s="411">
        <v>17233</v>
      </c>
      <c r="D2065" s="412">
        <v>45440</v>
      </c>
      <c r="E2065" s="410" t="s">
        <v>10123</v>
      </c>
    </row>
    <row r="2066" spans="2:5">
      <c r="B2066" s="410" t="s">
        <v>9836</v>
      </c>
      <c r="C2066" s="411">
        <v>17222</v>
      </c>
      <c r="D2066" s="412">
        <v>45440</v>
      </c>
      <c r="E2066" s="410" t="s">
        <v>10124</v>
      </c>
    </row>
    <row r="2067" spans="2:5">
      <c r="B2067" s="410" t="s">
        <v>9836</v>
      </c>
      <c r="C2067" s="411">
        <v>17216</v>
      </c>
      <c r="D2067" s="412">
        <v>45440</v>
      </c>
      <c r="E2067" s="410" t="s">
        <v>10125</v>
      </c>
    </row>
    <row r="2068" spans="2:5">
      <c r="B2068" s="410" t="s">
        <v>9836</v>
      </c>
      <c r="C2068" s="411">
        <v>17211</v>
      </c>
      <c r="D2068" s="412">
        <v>45440</v>
      </c>
      <c r="E2068" s="410" t="s">
        <v>10126</v>
      </c>
    </row>
    <row r="2069" spans="2:5">
      <c r="B2069" s="410" t="s">
        <v>9836</v>
      </c>
      <c r="C2069" s="411">
        <v>17209</v>
      </c>
      <c r="D2069" s="412">
        <v>45440</v>
      </c>
      <c r="E2069" s="410" t="s">
        <v>10127</v>
      </c>
    </row>
    <row r="2070" spans="2:5">
      <c r="B2070" s="410" t="s">
        <v>9836</v>
      </c>
      <c r="C2070" s="411">
        <v>17206</v>
      </c>
      <c r="D2070" s="412">
        <v>45440</v>
      </c>
      <c r="E2070" s="410" t="s">
        <v>10351</v>
      </c>
    </row>
    <row r="2071" spans="2:5">
      <c r="B2071" s="410" t="s">
        <v>9836</v>
      </c>
      <c r="C2071" s="411">
        <v>17202</v>
      </c>
      <c r="D2071" s="412">
        <v>45440</v>
      </c>
      <c r="E2071" s="410" t="s">
        <v>10352</v>
      </c>
    </row>
    <row r="2072" spans="2:5">
      <c r="B2072" s="410" t="s">
        <v>9836</v>
      </c>
      <c r="C2072" s="411">
        <v>17198</v>
      </c>
      <c r="D2072" s="412">
        <v>45440</v>
      </c>
      <c r="E2072" s="410" t="s">
        <v>10128</v>
      </c>
    </row>
    <row r="2073" spans="2:5">
      <c r="B2073" s="410" t="s">
        <v>9836</v>
      </c>
      <c r="C2073" s="411">
        <v>17181</v>
      </c>
      <c r="D2073" s="412">
        <v>45440</v>
      </c>
      <c r="E2073" s="410" t="s">
        <v>10129</v>
      </c>
    </row>
    <row r="2074" spans="2:5">
      <c r="B2074" s="410" t="s">
        <v>9836</v>
      </c>
      <c r="C2074" s="411">
        <v>17170</v>
      </c>
      <c r="D2074" s="412">
        <v>45440</v>
      </c>
      <c r="E2074" s="410" t="s">
        <v>10130</v>
      </c>
    </row>
    <row r="2075" spans="2:5">
      <c r="B2075" s="410" t="s">
        <v>9836</v>
      </c>
      <c r="C2075" s="411">
        <v>17164</v>
      </c>
      <c r="D2075" s="412">
        <v>45440</v>
      </c>
      <c r="E2075" s="410" t="s">
        <v>10131</v>
      </c>
    </row>
    <row r="2076" spans="2:5">
      <c r="B2076" s="410" t="s">
        <v>9836</v>
      </c>
      <c r="C2076" s="411">
        <v>17163</v>
      </c>
      <c r="D2076" s="412">
        <v>45440</v>
      </c>
      <c r="E2076" s="410" t="s">
        <v>10132</v>
      </c>
    </row>
    <row r="2077" spans="2:5">
      <c r="B2077" s="410" t="s">
        <v>9836</v>
      </c>
      <c r="C2077" s="411">
        <v>17156</v>
      </c>
      <c r="D2077" s="412">
        <v>45440</v>
      </c>
      <c r="E2077" s="410" t="s">
        <v>10353</v>
      </c>
    </row>
    <row r="2078" spans="2:5">
      <c r="B2078" s="410" t="s">
        <v>9836</v>
      </c>
      <c r="C2078" s="411">
        <v>17151</v>
      </c>
      <c r="D2078" s="412">
        <v>45440</v>
      </c>
      <c r="E2078" s="410" t="s">
        <v>10133</v>
      </c>
    </row>
    <row r="2079" spans="2:5">
      <c r="B2079" s="410" t="s">
        <v>9836</v>
      </c>
      <c r="C2079" s="411">
        <v>17139</v>
      </c>
      <c r="D2079" s="412">
        <v>45440</v>
      </c>
      <c r="E2079" s="410" t="s">
        <v>10354</v>
      </c>
    </row>
    <row r="2080" spans="2:5">
      <c r="B2080" s="410" t="s">
        <v>9836</v>
      </c>
      <c r="C2080" s="411">
        <v>17132</v>
      </c>
      <c r="D2080" s="412">
        <v>45440</v>
      </c>
      <c r="E2080" s="410" t="s">
        <v>10134</v>
      </c>
    </row>
    <row r="2081" spans="2:5">
      <c r="B2081" s="410" t="s">
        <v>9836</v>
      </c>
      <c r="C2081" s="411">
        <v>17130</v>
      </c>
      <c r="D2081" s="412">
        <v>45440</v>
      </c>
      <c r="E2081" s="410" t="s">
        <v>10135</v>
      </c>
    </row>
    <row r="2082" spans="2:5">
      <c r="B2082" s="410" t="s">
        <v>9836</v>
      </c>
      <c r="C2082" s="411">
        <v>17120</v>
      </c>
      <c r="D2082" s="412">
        <v>45440</v>
      </c>
      <c r="E2082" s="410" t="s">
        <v>10355</v>
      </c>
    </row>
    <row r="2083" spans="2:5">
      <c r="B2083" s="410" t="s">
        <v>9836</v>
      </c>
      <c r="C2083" s="411">
        <v>17116</v>
      </c>
      <c r="D2083" s="412">
        <v>45440</v>
      </c>
      <c r="E2083" s="410" t="s">
        <v>10356</v>
      </c>
    </row>
    <row r="2084" spans="2:5">
      <c r="B2084" s="410" t="s">
        <v>9836</v>
      </c>
      <c r="C2084" s="411">
        <v>17111</v>
      </c>
      <c r="D2084" s="412">
        <v>45440</v>
      </c>
      <c r="E2084" s="410" t="s">
        <v>10136</v>
      </c>
    </row>
    <row r="2085" spans="2:5">
      <c r="B2085" s="410" t="s">
        <v>9836</v>
      </c>
      <c r="C2085" s="411">
        <v>17108</v>
      </c>
      <c r="D2085" s="412">
        <v>45440</v>
      </c>
      <c r="E2085" s="410" t="s">
        <v>10137</v>
      </c>
    </row>
    <row r="2086" spans="2:5">
      <c r="B2086" s="410" t="s">
        <v>9836</v>
      </c>
      <c r="C2086" s="411">
        <v>17098</v>
      </c>
      <c r="D2086" s="412">
        <v>45440</v>
      </c>
      <c r="E2086" s="410" t="s">
        <v>10138</v>
      </c>
    </row>
    <row r="2087" spans="2:5">
      <c r="B2087" s="410" t="s">
        <v>9836</v>
      </c>
      <c r="C2087" s="411">
        <v>17097</v>
      </c>
      <c r="D2087" s="412">
        <v>45440</v>
      </c>
      <c r="E2087" s="410" t="s">
        <v>10357</v>
      </c>
    </row>
    <row r="2088" spans="2:5">
      <c r="B2088" s="410" t="s">
        <v>9836</v>
      </c>
      <c r="C2088" s="411">
        <v>17094</v>
      </c>
      <c r="D2088" s="412">
        <v>45440</v>
      </c>
      <c r="E2088" s="410" t="s">
        <v>10358</v>
      </c>
    </row>
    <row r="2089" spans="2:5">
      <c r="B2089" s="410" t="s">
        <v>9836</v>
      </c>
      <c r="C2089" s="411">
        <v>17088</v>
      </c>
      <c r="D2089" s="412">
        <v>45440</v>
      </c>
      <c r="E2089" s="410" t="s">
        <v>10139</v>
      </c>
    </row>
    <row r="2090" spans="2:5">
      <c r="B2090" s="410" t="s">
        <v>9836</v>
      </c>
      <c r="C2090" s="411">
        <v>17081</v>
      </c>
      <c r="D2090" s="412">
        <v>45440</v>
      </c>
      <c r="E2090" s="410" t="s">
        <v>10140</v>
      </c>
    </row>
    <row r="2091" spans="2:5">
      <c r="B2091" s="410" t="s">
        <v>9836</v>
      </c>
      <c r="C2091" s="411">
        <v>17079</v>
      </c>
      <c r="D2091" s="412">
        <v>45440</v>
      </c>
      <c r="E2091" s="410" t="s">
        <v>10359</v>
      </c>
    </row>
    <row r="2092" spans="2:5">
      <c r="B2092" s="410" t="s">
        <v>9836</v>
      </c>
      <c r="C2092" s="411">
        <v>17075</v>
      </c>
      <c r="D2092" s="412">
        <v>45440</v>
      </c>
      <c r="E2092" s="410" t="s">
        <v>10141</v>
      </c>
    </row>
    <row r="2093" spans="2:5">
      <c r="B2093" s="410" t="s">
        <v>9836</v>
      </c>
      <c r="C2093" s="411">
        <v>17070</v>
      </c>
      <c r="D2093" s="412">
        <v>45440</v>
      </c>
      <c r="E2093" s="410" t="s">
        <v>10360</v>
      </c>
    </row>
    <row r="2094" spans="2:5">
      <c r="B2094" s="410" t="s">
        <v>9836</v>
      </c>
      <c r="C2094" s="411">
        <v>17069</v>
      </c>
      <c r="D2094" s="412">
        <v>45440</v>
      </c>
      <c r="E2094" s="410" t="s">
        <v>10361</v>
      </c>
    </row>
    <row r="2095" spans="2:5">
      <c r="B2095" s="410" t="s">
        <v>9836</v>
      </c>
      <c r="C2095" s="411">
        <v>17068</v>
      </c>
      <c r="D2095" s="412">
        <v>45440</v>
      </c>
      <c r="E2095" s="410" t="s">
        <v>10142</v>
      </c>
    </row>
    <row r="2096" spans="2:5">
      <c r="B2096" s="410" t="s">
        <v>9836</v>
      </c>
      <c r="C2096" s="411">
        <v>17066</v>
      </c>
      <c r="D2096" s="412">
        <v>45440</v>
      </c>
      <c r="E2096" s="410" t="s">
        <v>10362</v>
      </c>
    </row>
    <row r="2097" spans="2:5">
      <c r="B2097" s="410" t="s">
        <v>9836</v>
      </c>
      <c r="C2097" s="411">
        <v>17061</v>
      </c>
      <c r="D2097" s="412">
        <v>45440</v>
      </c>
      <c r="E2097" s="410" t="s">
        <v>10143</v>
      </c>
    </row>
    <row r="2098" spans="2:5">
      <c r="B2098" s="410" t="s">
        <v>9836</v>
      </c>
      <c r="C2098" s="411">
        <v>17060</v>
      </c>
      <c r="D2098" s="412">
        <v>45440</v>
      </c>
      <c r="E2098" s="410" t="s">
        <v>10363</v>
      </c>
    </row>
    <row r="2099" spans="2:5">
      <c r="B2099" s="410" t="s">
        <v>9836</v>
      </c>
      <c r="C2099" s="411">
        <v>17059</v>
      </c>
      <c r="D2099" s="412">
        <v>45440</v>
      </c>
      <c r="E2099" s="410" t="s">
        <v>10144</v>
      </c>
    </row>
    <row r="2100" spans="2:5">
      <c r="B2100" s="410" t="s">
        <v>9836</v>
      </c>
      <c r="C2100" s="411">
        <v>17054</v>
      </c>
      <c r="D2100" s="412">
        <v>45440</v>
      </c>
      <c r="E2100" s="410" t="s">
        <v>10145</v>
      </c>
    </row>
    <row r="2101" spans="2:5">
      <c r="B2101" s="410" t="s">
        <v>9836</v>
      </c>
      <c r="C2101" s="411">
        <v>17053</v>
      </c>
      <c r="D2101" s="412">
        <v>45440</v>
      </c>
      <c r="E2101" s="410" t="s">
        <v>10364</v>
      </c>
    </row>
    <row r="2102" spans="2:5">
      <c r="B2102" s="410" t="s">
        <v>9836</v>
      </c>
      <c r="C2102" s="411">
        <v>17051</v>
      </c>
      <c r="D2102" s="412">
        <v>45440</v>
      </c>
      <c r="E2102" s="410" t="s">
        <v>10146</v>
      </c>
    </row>
    <row r="2103" spans="2:5">
      <c r="B2103" s="410" t="s">
        <v>9836</v>
      </c>
      <c r="C2103" s="411">
        <v>17050</v>
      </c>
      <c r="D2103" s="412">
        <v>45440</v>
      </c>
      <c r="E2103" s="410" t="s">
        <v>10147</v>
      </c>
    </row>
    <row r="2104" spans="2:5">
      <c r="B2104" s="410" t="s">
        <v>9836</v>
      </c>
      <c r="C2104" s="411">
        <v>17049</v>
      </c>
      <c r="D2104" s="412">
        <v>45440</v>
      </c>
      <c r="E2104" s="410" t="s">
        <v>10148</v>
      </c>
    </row>
    <row r="2105" spans="2:5">
      <c r="B2105" s="410" t="s">
        <v>9836</v>
      </c>
      <c r="C2105" s="411">
        <v>17047</v>
      </c>
      <c r="D2105" s="412">
        <v>45440</v>
      </c>
      <c r="E2105" s="410" t="s">
        <v>10365</v>
      </c>
    </row>
    <row r="2106" spans="2:5">
      <c r="B2106" s="410" t="s">
        <v>9836</v>
      </c>
      <c r="C2106" s="411">
        <v>17044</v>
      </c>
      <c r="D2106" s="412">
        <v>45440</v>
      </c>
      <c r="E2106" s="410" t="s">
        <v>10366</v>
      </c>
    </row>
    <row r="2107" spans="2:5">
      <c r="B2107" s="410" t="s">
        <v>9836</v>
      </c>
      <c r="C2107" s="411">
        <v>17042</v>
      </c>
      <c r="D2107" s="412">
        <v>45440</v>
      </c>
      <c r="E2107" s="410" t="s">
        <v>10149</v>
      </c>
    </row>
    <row r="2108" spans="2:5">
      <c r="B2108" s="410" t="s">
        <v>9836</v>
      </c>
      <c r="C2108" s="411">
        <v>17039</v>
      </c>
      <c r="D2108" s="412">
        <v>45440</v>
      </c>
      <c r="E2108" s="410" t="s">
        <v>10367</v>
      </c>
    </row>
    <row r="2109" spans="2:5">
      <c r="B2109" s="410" t="s">
        <v>9836</v>
      </c>
      <c r="C2109" s="411">
        <v>17035</v>
      </c>
      <c r="D2109" s="412">
        <v>45440</v>
      </c>
      <c r="E2109" s="410" t="s">
        <v>10150</v>
      </c>
    </row>
    <row r="2110" spans="2:5">
      <c r="B2110" s="410" t="s">
        <v>9836</v>
      </c>
      <c r="C2110" s="411">
        <v>17034</v>
      </c>
      <c r="D2110" s="412">
        <v>45440</v>
      </c>
      <c r="E2110" s="410" t="s">
        <v>10151</v>
      </c>
    </row>
    <row r="2111" spans="2:5">
      <c r="B2111" s="410" t="s">
        <v>9836</v>
      </c>
      <c r="C2111" s="411">
        <v>17031</v>
      </c>
      <c r="D2111" s="412">
        <v>45440</v>
      </c>
      <c r="E2111" s="410" t="s">
        <v>10152</v>
      </c>
    </row>
    <row r="2112" spans="2:5">
      <c r="B2112" s="410" t="s">
        <v>9836</v>
      </c>
      <c r="C2112" s="411">
        <v>17030</v>
      </c>
      <c r="D2112" s="412">
        <v>45440</v>
      </c>
      <c r="E2112" s="410" t="s">
        <v>10368</v>
      </c>
    </row>
    <row r="2113" spans="2:5">
      <c r="B2113" s="410" t="s">
        <v>9836</v>
      </c>
      <c r="C2113" s="411">
        <v>17027</v>
      </c>
      <c r="D2113" s="412">
        <v>45440</v>
      </c>
      <c r="E2113" s="410" t="s">
        <v>10153</v>
      </c>
    </row>
    <row r="2114" spans="2:5">
      <c r="B2114" s="410" t="s">
        <v>9836</v>
      </c>
      <c r="C2114" s="411">
        <v>17017</v>
      </c>
      <c r="D2114" s="412">
        <v>45440</v>
      </c>
      <c r="E2114" s="410" t="s">
        <v>10369</v>
      </c>
    </row>
    <row r="2115" spans="2:5">
      <c r="B2115" s="410" t="s">
        <v>9836</v>
      </c>
      <c r="C2115" s="411">
        <v>17003</v>
      </c>
      <c r="D2115" s="412">
        <v>45440</v>
      </c>
      <c r="E2115" s="410" t="s">
        <v>10154</v>
      </c>
    </row>
    <row r="2116" spans="2:5">
      <c r="B2116" s="410" t="s">
        <v>9836</v>
      </c>
      <c r="C2116" s="411">
        <v>16978</v>
      </c>
      <c r="D2116" s="412">
        <v>45440</v>
      </c>
      <c r="E2116" s="410" t="s">
        <v>10155</v>
      </c>
    </row>
    <row r="2117" spans="2:5">
      <c r="B2117" s="410" t="s">
        <v>9836</v>
      </c>
      <c r="C2117" s="411">
        <v>16971</v>
      </c>
      <c r="D2117" s="412">
        <v>45440</v>
      </c>
      <c r="E2117" s="410" t="s">
        <v>10156</v>
      </c>
    </row>
    <row r="2118" spans="2:5">
      <c r="B2118" s="410" t="s">
        <v>9836</v>
      </c>
      <c r="C2118" s="411">
        <v>16966</v>
      </c>
      <c r="D2118" s="412">
        <v>45440</v>
      </c>
      <c r="E2118" s="410" t="s">
        <v>10157</v>
      </c>
    </row>
    <row r="2119" spans="2:5">
      <c r="B2119" s="410" t="s">
        <v>9836</v>
      </c>
      <c r="C2119" s="411">
        <v>16958</v>
      </c>
      <c r="D2119" s="412">
        <v>45440</v>
      </c>
      <c r="E2119" s="410" t="s">
        <v>10370</v>
      </c>
    </row>
    <row r="2120" spans="2:5">
      <c r="B2120" s="410" t="s">
        <v>9836</v>
      </c>
      <c r="C2120" s="411">
        <v>16956</v>
      </c>
      <c r="D2120" s="412">
        <v>45440</v>
      </c>
      <c r="E2120" s="410" t="s">
        <v>10158</v>
      </c>
    </row>
    <row r="2121" spans="2:5">
      <c r="B2121" s="410" t="s">
        <v>9836</v>
      </c>
      <c r="C2121" s="411">
        <v>16954</v>
      </c>
      <c r="D2121" s="412">
        <v>45440</v>
      </c>
      <c r="E2121" s="410" t="s">
        <v>10371</v>
      </c>
    </row>
    <row r="2122" spans="2:5">
      <c r="B2122" s="410" t="s">
        <v>9836</v>
      </c>
      <c r="C2122" s="411">
        <v>16951</v>
      </c>
      <c r="D2122" s="412">
        <v>45440</v>
      </c>
      <c r="E2122" s="410" t="s">
        <v>10159</v>
      </c>
    </row>
    <row r="2123" spans="2:5">
      <c r="B2123" s="410" t="s">
        <v>9836</v>
      </c>
      <c r="C2123" s="411">
        <v>16924</v>
      </c>
      <c r="D2123" s="412">
        <v>45440</v>
      </c>
      <c r="E2123" s="410" t="s">
        <v>10160</v>
      </c>
    </row>
    <row r="2124" spans="2:5">
      <c r="B2124" s="410" t="s">
        <v>9836</v>
      </c>
      <c r="C2124" s="411">
        <v>16922</v>
      </c>
      <c r="D2124" s="412">
        <v>45440</v>
      </c>
      <c r="E2124" s="410" t="s">
        <v>10372</v>
      </c>
    </row>
    <row r="2125" spans="2:5">
      <c r="B2125" s="410" t="s">
        <v>9836</v>
      </c>
      <c r="C2125" s="411">
        <v>16918</v>
      </c>
      <c r="D2125" s="412">
        <v>45440</v>
      </c>
      <c r="E2125" s="410" t="s">
        <v>10161</v>
      </c>
    </row>
    <row r="2126" spans="2:5">
      <c r="B2126" s="410" t="s">
        <v>9836</v>
      </c>
      <c r="C2126" s="411">
        <v>16915</v>
      </c>
      <c r="D2126" s="412">
        <v>45440</v>
      </c>
      <c r="E2126" s="410" t="s">
        <v>10373</v>
      </c>
    </row>
    <row r="2127" spans="2:5">
      <c r="B2127" s="410" t="s">
        <v>9836</v>
      </c>
      <c r="C2127" s="411">
        <v>16907</v>
      </c>
      <c r="D2127" s="412">
        <v>45440</v>
      </c>
      <c r="E2127" s="410" t="s">
        <v>10374</v>
      </c>
    </row>
    <row r="2128" spans="2:5">
      <c r="B2128" s="410" t="s">
        <v>9836</v>
      </c>
      <c r="C2128" s="411">
        <v>16906</v>
      </c>
      <c r="D2128" s="412">
        <v>45440</v>
      </c>
      <c r="E2128" s="410" t="s">
        <v>10375</v>
      </c>
    </row>
    <row r="2129" spans="2:5">
      <c r="B2129" s="410" t="s">
        <v>9836</v>
      </c>
      <c r="C2129" s="411">
        <v>16902</v>
      </c>
      <c r="D2129" s="412">
        <v>45440</v>
      </c>
      <c r="E2129" s="410" t="s">
        <v>10162</v>
      </c>
    </row>
    <row r="2130" spans="2:5">
      <c r="B2130" s="410" t="s">
        <v>9836</v>
      </c>
      <c r="C2130" s="411">
        <v>16901</v>
      </c>
      <c r="D2130" s="412">
        <v>45440</v>
      </c>
      <c r="E2130" s="410" t="s">
        <v>10163</v>
      </c>
    </row>
    <row r="2131" spans="2:5">
      <c r="B2131" s="410" t="s">
        <v>9836</v>
      </c>
      <c r="C2131" s="411">
        <v>16899</v>
      </c>
      <c r="D2131" s="412">
        <v>45440</v>
      </c>
      <c r="E2131" s="410" t="s">
        <v>10164</v>
      </c>
    </row>
    <row r="2132" spans="2:5">
      <c r="B2132" s="410" t="s">
        <v>9836</v>
      </c>
      <c r="C2132" s="411">
        <v>16883</v>
      </c>
      <c r="D2132" s="412">
        <v>45440</v>
      </c>
      <c r="E2132" s="410" t="s">
        <v>10165</v>
      </c>
    </row>
    <row r="2133" spans="2:5">
      <c r="B2133" s="410" t="s">
        <v>9836</v>
      </c>
      <c r="C2133" s="411">
        <v>16879</v>
      </c>
      <c r="D2133" s="412">
        <v>45440</v>
      </c>
      <c r="E2133" s="410" t="s">
        <v>10166</v>
      </c>
    </row>
    <row r="2134" spans="2:5">
      <c r="B2134" s="410" t="s">
        <v>9836</v>
      </c>
      <c r="C2134" s="411">
        <v>16877</v>
      </c>
      <c r="D2134" s="412">
        <v>45440</v>
      </c>
      <c r="E2134" s="410" t="s">
        <v>10167</v>
      </c>
    </row>
    <row r="2135" spans="2:5">
      <c r="B2135" s="410" t="s">
        <v>9836</v>
      </c>
      <c r="C2135" s="411">
        <v>16876</v>
      </c>
      <c r="D2135" s="412">
        <v>45440</v>
      </c>
      <c r="E2135" s="410" t="s">
        <v>10168</v>
      </c>
    </row>
    <row r="2136" spans="2:5">
      <c r="B2136" s="410" t="s">
        <v>9836</v>
      </c>
      <c r="C2136" s="411">
        <v>16865</v>
      </c>
      <c r="D2136" s="412">
        <v>45440</v>
      </c>
      <c r="E2136" s="410" t="s">
        <v>10376</v>
      </c>
    </row>
    <row r="2137" spans="2:5">
      <c r="B2137" s="410" t="s">
        <v>9836</v>
      </c>
      <c r="C2137" s="411">
        <v>16861</v>
      </c>
      <c r="D2137" s="412">
        <v>45440</v>
      </c>
      <c r="E2137" s="410" t="s">
        <v>10377</v>
      </c>
    </row>
    <row r="2138" spans="2:5">
      <c r="B2138" s="410" t="s">
        <v>9836</v>
      </c>
      <c r="C2138" s="411">
        <v>16852</v>
      </c>
      <c r="D2138" s="412">
        <v>45440</v>
      </c>
      <c r="E2138" s="410" t="s">
        <v>10169</v>
      </c>
    </row>
    <row r="2139" spans="2:5">
      <c r="B2139" s="410" t="s">
        <v>9836</v>
      </c>
      <c r="C2139" s="411">
        <v>16851</v>
      </c>
      <c r="D2139" s="412">
        <v>45440</v>
      </c>
      <c r="E2139" s="410" t="s">
        <v>10378</v>
      </c>
    </row>
    <row r="2140" spans="2:5">
      <c r="B2140" s="410" t="s">
        <v>9836</v>
      </c>
      <c r="C2140" s="411">
        <v>16850</v>
      </c>
      <c r="D2140" s="412">
        <v>45440</v>
      </c>
      <c r="E2140" s="410" t="s">
        <v>10379</v>
      </c>
    </row>
    <row r="2141" spans="2:5">
      <c r="B2141" s="410" t="s">
        <v>9836</v>
      </c>
      <c r="C2141" s="411">
        <v>16845</v>
      </c>
      <c r="D2141" s="412">
        <v>45440</v>
      </c>
      <c r="E2141" s="410" t="s">
        <v>10170</v>
      </c>
    </row>
    <row r="2142" spans="2:5">
      <c r="B2142" s="410" t="s">
        <v>9836</v>
      </c>
      <c r="C2142" s="411">
        <v>16843</v>
      </c>
      <c r="D2142" s="412">
        <v>45440</v>
      </c>
      <c r="E2142" s="410" t="s">
        <v>10171</v>
      </c>
    </row>
    <row r="2143" spans="2:5">
      <c r="B2143" s="410" t="s">
        <v>9836</v>
      </c>
      <c r="C2143" s="411">
        <v>16837</v>
      </c>
      <c r="D2143" s="412">
        <v>45440</v>
      </c>
      <c r="E2143" s="410" t="s">
        <v>10380</v>
      </c>
    </row>
    <row r="2144" spans="2:5">
      <c r="B2144" s="410" t="s">
        <v>9836</v>
      </c>
      <c r="C2144" s="411">
        <v>16836</v>
      </c>
      <c r="D2144" s="412">
        <v>45440</v>
      </c>
      <c r="E2144" s="410" t="s">
        <v>10172</v>
      </c>
    </row>
    <row r="2145" spans="2:5">
      <c r="B2145" s="410" t="s">
        <v>9836</v>
      </c>
      <c r="C2145" s="411">
        <v>16833</v>
      </c>
      <c r="D2145" s="412">
        <v>45440</v>
      </c>
      <c r="E2145" s="410" t="s">
        <v>10173</v>
      </c>
    </row>
    <row r="2146" spans="2:5">
      <c r="B2146" s="410" t="s">
        <v>9836</v>
      </c>
      <c r="C2146" s="411">
        <v>16830</v>
      </c>
      <c r="D2146" s="412">
        <v>45440</v>
      </c>
      <c r="E2146" s="410" t="s">
        <v>10381</v>
      </c>
    </row>
    <row r="2147" spans="2:5">
      <c r="B2147" s="410" t="s">
        <v>9836</v>
      </c>
      <c r="C2147" s="411">
        <v>16828</v>
      </c>
      <c r="D2147" s="412">
        <v>45440</v>
      </c>
      <c r="E2147" s="410" t="s">
        <v>10174</v>
      </c>
    </row>
    <row r="2148" spans="2:5">
      <c r="B2148" s="410" t="s">
        <v>9836</v>
      </c>
      <c r="C2148" s="411">
        <v>16820</v>
      </c>
      <c r="D2148" s="412">
        <v>45440</v>
      </c>
      <c r="E2148" s="410" t="s">
        <v>10175</v>
      </c>
    </row>
    <row r="2149" spans="2:5">
      <c r="B2149" s="410" t="s">
        <v>9836</v>
      </c>
      <c r="C2149" s="411">
        <v>16819</v>
      </c>
      <c r="D2149" s="412">
        <v>45440</v>
      </c>
      <c r="E2149" s="410" t="s">
        <v>10176</v>
      </c>
    </row>
    <row r="2150" spans="2:5">
      <c r="B2150" s="410" t="s">
        <v>9836</v>
      </c>
      <c r="C2150" s="411">
        <v>16809</v>
      </c>
      <c r="D2150" s="412">
        <v>45440</v>
      </c>
      <c r="E2150" s="410" t="s">
        <v>10177</v>
      </c>
    </row>
    <row r="2151" spans="2:5">
      <c r="B2151" s="410" t="s">
        <v>9836</v>
      </c>
      <c r="C2151" s="411">
        <v>16805</v>
      </c>
      <c r="D2151" s="412">
        <v>45440</v>
      </c>
      <c r="E2151" s="410" t="s">
        <v>10178</v>
      </c>
    </row>
    <row r="2152" spans="2:5">
      <c r="B2152" s="410" t="s">
        <v>9836</v>
      </c>
      <c r="C2152" s="411">
        <v>16802</v>
      </c>
      <c r="D2152" s="412">
        <v>45440</v>
      </c>
      <c r="E2152" s="410" t="s">
        <v>10382</v>
      </c>
    </row>
    <row r="2153" spans="2:5">
      <c r="B2153" s="410" t="s">
        <v>9836</v>
      </c>
      <c r="C2153" s="411">
        <v>16800</v>
      </c>
      <c r="D2153" s="412">
        <v>45440</v>
      </c>
      <c r="E2153" s="410" t="s">
        <v>10179</v>
      </c>
    </row>
    <row r="2154" spans="2:5">
      <c r="B2154" s="410" t="s">
        <v>9836</v>
      </c>
      <c r="C2154" s="411">
        <v>16799</v>
      </c>
      <c r="D2154" s="412">
        <v>45440</v>
      </c>
      <c r="E2154" s="410" t="s">
        <v>10180</v>
      </c>
    </row>
    <row r="2155" spans="2:5">
      <c r="B2155" s="410" t="s">
        <v>9836</v>
      </c>
      <c r="C2155" s="411">
        <v>16798</v>
      </c>
      <c r="D2155" s="412">
        <v>45440</v>
      </c>
      <c r="E2155" s="410" t="s">
        <v>10181</v>
      </c>
    </row>
    <row r="2156" spans="2:5">
      <c r="B2156" s="410" t="s">
        <v>9836</v>
      </c>
      <c r="C2156" s="411">
        <v>16783</v>
      </c>
      <c r="D2156" s="412">
        <v>45440</v>
      </c>
      <c r="E2156" s="410" t="s">
        <v>10383</v>
      </c>
    </row>
    <row r="2157" spans="2:5">
      <c r="B2157" s="410" t="s">
        <v>9836</v>
      </c>
      <c r="C2157" s="411">
        <v>16772</v>
      </c>
      <c r="D2157" s="412">
        <v>45440</v>
      </c>
      <c r="E2157" s="410" t="s">
        <v>10384</v>
      </c>
    </row>
    <row r="2158" spans="2:5">
      <c r="B2158" s="410" t="s">
        <v>9836</v>
      </c>
      <c r="C2158" s="411">
        <v>16771</v>
      </c>
      <c r="D2158" s="412">
        <v>45440</v>
      </c>
      <c r="E2158" s="410" t="s">
        <v>10182</v>
      </c>
    </row>
    <row r="2159" spans="2:5">
      <c r="B2159" s="410" t="s">
        <v>9836</v>
      </c>
      <c r="C2159" s="411">
        <v>16770</v>
      </c>
      <c r="D2159" s="412">
        <v>45440</v>
      </c>
      <c r="E2159" s="410" t="s">
        <v>10183</v>
      </c>
    </row>
    <row r="2160" spans="2:5">
      <c r="B2160" s="410" t="s">
        <v>9836</v>
      </c>
      <c r="C2160" s="411">
        <v>16766</v>
      </c>
      <c r="D2160" s="412">
        <v>45440</v>
      </c>
      <c r="E2160" s="410" t="s">
        <v>10385</v>
      </c>
    </row>
    <row r="2161" spans="2:5">
      <c r="B2161" s="410" t="s">
        <v>9836</v>
      </c>
      <c r="C2161" s="411">
        <v>16765</v>
      </c>
      <c r="D2161" s="412">
        <v>45440</v>
      </c>
      <c r="E2161" s="410" t="s">
        <v>10184</v>
      </c>
    </row>
    <row r="2162" spans="2:5">
      <c r="B2162" s="410" t="s">
        <v>9836</v>
      </c>
      <c r="C2162" s="411">
        <v>16763</v>
      </c>
      <c r="D2162" s="412">
        <v>45440</v>
      </c>
      <c r="E2162" s="410" t="s">
        <v>10185</v>
      </c>
    </row>
    <row r="2163" spans="2:5">
      <c r="B2163" s="410" t="s">
        <v>9836</v>
      </c>
      <c r="C2163" s="411">
        <v>16762</v>
      </c>
      <c r="D2163" s="412">
        <v>45440</v>
      </c>
      <c r="E2163" s="410" t="s">
        <v>10386</v>
      </c>
    </row>
    <row r="2164" spans="2:5">
      <c r="B2164" s="410" t="s">
        <v>9836</v>
      </c>
      <c r="C2164" s="411">
        <v>16761</v>
      </c>
      <c r="D2164" s="412">
        <v>45440</v>
      </c>
      <c r="E2164" s="410" t="s">
        <v>10387</v>
      </c>
    </row>
    <row r="2165" spans="2:5">
      <c r="B2165" s="410" t="s">
        <v>9836</v>
      </c>
      <c r="C2165" s="411">
        <v>16759</v>
      </c>
      <c r="D2165" s="412">
        <v>45440</v>
      </c>
      <c r="E2165" s="410" t="s">
        <v>10388</v>
      </c>
    </row>
    <row r="2166" spans="2:5">
      <c r="B2166" s="410" t="s">
        <v>9836</v>
      </c>
      <c r="C2166" s="411">
        <v>16756</v>
      </c>
      <c r="D2166" s="412">
        <v>45440</v>
      </c>
      <c r="E2166" s="410" t="s">
        <v>10186</v>
      </c>
    </row>
    <row r="2167" spans="2:5">
      <c r="B2167" s="410" t="s">
        <v>9836</v>
      </c>
      <c r="C2167" s="411">
        <v>16755</v>
      </c>
      <c r="D2167" s="412">
        <v>45440</v>
      </c>
      <c r="E2167" s="410" t="s">
        <v>10187</v>
      </c>
    </row>
    <row r="2168" spans="2:5">
      <c r="B2168" s="410" t="s">
        <v>9836</v>
      </c>
      <c r="C2168" s="411">
        <v>16752</v>
      </c>
      <c r="D2168" s="412">
        <v>45440</v>
      </c>
      <c r="E2168" s="410" t="s">
        <v>10188</v>
      </c>
    </row>
    <row r="2169" spans="2:5">
      <c r="B2169" s="410" t="s">
        <v>9836</v>
      </c>
      <c r="C2169" s="411">
        <v>16749</v>
      </c>
      <c r="D2169" s="412">
        <v>45440</v>
      </c>
      <c r="E2169" s="410" t="s">
        <v>10189</v>
      </c>
    </row>
    <row r="2170" spans="2:5">
      <c r="B2170" s="410" t="s">
        <v>9836</v>
      </c>
      <c r="C2170" s="411">
        <v>16748</v>
      </c>
      <c r="D2170" s="412">
        <v>45440</v>
      </c>
      <c r="E2170" s="410" t="s">
        <v>10389</v>
      </c>
    </row>
    <row r="2171" spans="2:5">
      <c r="B2171" s="410" t="s">
        <v>9836</v>
      </c>
      <c r="C2171" s="411">
        <v>16747</v>
      </c>
      <c r="D2171" s="412">
        <v>45440</v>
      </c>
      <c r="E2171" s="410" t="s">
        <v>10190</v>
      </c>
    </row>
    <row r="2172" spans="2:5">
      <c r="B2172" s="410" t="s">
        <v>9836</v>
      </c>
      <c r="C2172" s="411">
        <v>16739</v>
      </c>
      <c r="D2172" s="412">
        <v>45440</v>
      </c>
      <c r="E2172" s="410" t="s">
        <v>10191</v>
      </c>
    </row>
    <row r="2173" spans="2:5">
      <c r="B2173" s="410" t="s">
        <v>9836</v>
      </c>
      <c r="C2173" s="411">
        <v>16734</v>
      </c>
      <c r="D2173" s="412">
        <v>45440</v>
      </c>
      <c r="E2173" s="410" t="s">
        <v>10390</v>
      </c>
    </row>
    <row r="2174" spans="2:5">
      <c r="B2174" s="410" t="s">
        <v>9836</v>
      </c>
      <c r="C2174" s="411">
        <v>16732</v>
      </c>
      <c r="D2174" s="412">
        <v>45440</v>
      </c>
      <c r="E2174" s="410" t="s">
        <v>10391</v>
      </c>
    </row>
    <row r="2175" spans="2:5">
      <c r="B2175" s="410" t="s">
        <v>9836</v>
      </c>
      <c r="C2175" s="411">
        <v>16731</v>
      </c>
      <c r="D2175" s="412">
        <v>45440</v>
      </c>
      <c r="E2175" s="410" t="s">
        <v>10192</v>
      </c>
    </row>
    <row r="2176" spans="2:5">
      <c r="B2176" s="410" t="s">
        <v>9836</v>
      </c>
      <c r="C2176" s="411">
        <v>16730</v>
      </c>
      <c r="D2176" s="412">
        <v>45440</v>
      </c>
      <c r="E2176" s="410" t="s">
        <v>10193</v>
      </c>
    </row>
    <row r="2177" spans="2:5">
      <c r="B2177" s="410" t="s">
        <v>9836</v>
      </c>
      <c r="C2177" s="411">
        <v>16729</v>
      </c>
      <c r="D2177" s="412">
        <v>45440</v>
      </c>
      <c r="E2177" s="410" t="s">
        <v>10392</v>
      </c>
    </row>
    <row r="2178" spans="2:5">
      <c r="B2178" s="410" t="s">
        <v>9836</v>
      </c>
      <c r="C2178" s="411">
        <v>16728</v>
      </c>
      <c r="D2178" s="412">
        <v>45440</v>
      </c>
      <c r="E2178" s="410" t="s">
        <v>10393</v>
      </c>
    </row>
    <row r="2179" spans="2:5">
      <c r="B2179" s="410" t="s">
        <v>9836</v>
      </c>
      <c r="C2179" s="411">
        <v>16727</v>
      </c>
      <c r="D2179" s="412">
        <v>45440</v>
      </c>
      <c r="E2179" s="410" t="s">
        <v>10194</v>
      </c>
    </row>
    <row r="2180" spans="2:5">
      <c r="B2180" s="410" t="s">
        <v>9836</v>
      </c>
      <c r="C2180" s="411">
        <v>16726</v>
      </c>
      <c r="D2180" s="412">
        <v>45440</v>
      </c>
      <c r="E2180" s="410" t="s">
        <v>10195</v>
      </c>
    </row>
    <row r="2181" spans="2:5">
      <c r="B2181" s="410" t="s">
        <v>9836</v>
      </c>
      <c r="C2181" s="411">
        <v>16718</v>
      </c>
      <c r="D2181" s="412">
        <v>45440</v>
      </c>
      <c r="E2181" s="410" t="s">
        <v>10196</v>
      </c>
    </row>
    <row r="2182" spans="2:5">
      <c r="B2182" s="410" t="s">
        <v>9836</v>
      </c>
      <c r="C2182" s="411">
        <v>16714</v>
      </c>
      <c r="D2182" s="412">
        <v>45440</v>
      </c>
      <c r="E2182" s="410" t="s">
        <v>10394</v>
      </c>
    </row>
    <row r="2183" spans="2:5">
      <c r="B2183" s="410" t="s">
        <v>9836</v>
      </c>
      <c r="C2183" s="411">
        <v>16712</v>
      </c>
      <c r="D2183" s="412">
        <v>45440</v>
      </c>
      <c r="E2183" s="410" t="s">
        <v>10197</v>
      </c>
    </row>
    <row r="2184" spans="2:5">
      <c r="B2184" s="410" t="s">
        <v>9836</v>
      </c>
      <c r="C2184" s="411">
        <v>16700</v>
      </c>
      <c r="D2184" s="412">
        <v>45440</v>
      </c>
      <c r="E2184" s="410" t="s">
        <v>10395</v>
      </c>
    </row>
    <row r="2185" spans="2:5">
      <c r="B2185" s="410" t="s">
        <v>9836</v>
      </c>
      <c r="C2185" s="411">
        <v>16697</v>
      </c>
      <c r="D2185" s="412">
        <v>45440</v>
      </c>
      <c r="E2185" s="410" t="s">
        <v>10198</v>
      </c>
    </row>
    <row r="2186" spans="2:5">
      <c r="B2186" s="410" t="s">
        <v>9836</v>
      </c>
      <c r="C2186" s="411">
        <v>16684</v>
      </c>
      <c r="D2186" s="412">
        <v>45440</v>
      </c>
      <c r="E2186" s="410" t="s">
        <v>10396</v>
      </c>
    </row>
    <row r="2187" spans="2:5">
      <c r="B2187" s="410" t="s">
        <v>9836</v>
      </c>
      <c r="C2187" s="411">
        <v>16683</v>
      </c>
      <c r="D2187" s="412">
        <v>45440</v>
      </c>
      <c r="E2187" s="410" t="s">
        <v>10397</v>
      </c>
    </row>
    <row r="2188" spans="2:5">
      <c r="B2188" s="410" t="s">
        <v>9836</v>
      </c>
      <c r="C2188" s="411">
        <v>16682</v>
      </c>
      <c r="D2188" s="412">
        <v>45440</v>
      </c>
      <c r="E2188" s="410" t="s">
        <v>10199</v>
      </c>
    </row>
    <row r="2189" spans="2:5">
      <c r="B2189" s="410" t="s">
        <v>9836</v>
      </c>
      <c r="C2189" s="411">
        <v>16674</v>
      </c>
      <c r="D2189" s="412">
        <v>45440</v>
      </c>
      <c r="E2189" s="410" t="s">
        <v>10200</v>
      </c>
    </row>
    <row r="2190" spans="2:5">
      <c r="B2190" s="410" t="s">
        <v>9836</v>
      </c>
      <c r="C2190" s="411">
        <v>16672</v>
      </c>
      <c r="D2190" s="412">
        <v>45440</v>
      </c>
      <c r="E2190" s="410" t="s">
        <v>10398</v>
      </c>
    </row>
    <row r="2191" spans="2:5">
      <c r="B2191" s="410" t="s">
        <v>9836</v>
      </c>
      <c r="C2191" s="411">
        <v>16671</v>
      </c>
      <c r="D2191" s="412">
        <v>45440</v>
      </c>
      <c r="E2191" s="410" t="s">
        <v>10201</v>
      </c>
    </row>
    <row r="2192" spans="2:5">
      <c r="B2192" s="410" t="s">
        <v>9836</v>
      </c>
      <c r="C2192" s="411">
        <v>16668</v>
      </c>
      <c r="D2192" s="412">
        <v>45440</v>
      </c>
      <c r="E2192" s="410" t="s">
        <v>10202</v>
      </c>
    </row>
    <row r="2193" spans="2:5">
      <c r="B2193" s="410" t="s">
        <v>9836</v>
      </c>
      <c r="C2193" s="411">
        <v>16666</v>
      </c>
      <c r="D2193" s="412">
        <v>45440</v>
      </c>
      <c r="E2193" s="410" t="s">
        <v>10203</v>
      </c>
    </row>
    <row r="2194" spans="2:5">
      <c r="B2194" s="410" t="s">
        <v>9836</v>
      </c>
      <c r="C2194" s="411">
        <v>16663</v>
      </c>
      <c r="D2194" s="412">
        <v>45440</v>
      </c>
      <c r="E2194" s="410" t="s">
        <v>10399</v>
      </c>
    </row>
    <row r="2195" spans="2:5">
      <c r="B2195" s="410" t="s">
        <v>9836</v>
      </c>
      <c r="C2195" s="411">
        <v>16661</v>
      </c>
      <c r="D2195" s="412">
        <v>45440</v>
      </c>
      <c r="E2195" s="410" t="s">
        <v>10400</v>
      </c>
    </row>
    <row r="2196" spans="2:5">
      <c r="B2196" s="410" t="s">
        <v>9836</v>
      </c>
      <c r="C2196" s="411">
        <v>16658</v>
      </c>
      <c r="D2196" s="412">
        <v>45440</v>
      </c>
      <c r="E2196" s="410" t="s">
        <v>10204</v>
      </c>
    </row>
    <row r="2197" spans="2:5">
      <c r="B2197" s="410" t="s">
        <v>9836</v>
      </c>
      <c r="C2197" s="411">
        <v>16655</v>
      </c>
      <c r="D2197" s="412">
        <v>45440</v>
      </c>
      <c r="E2197" s="410" t="s">
        <v>10401</v>
      </c>
    </row>
    <row r="2198" spans="2:5">
      <c r="B2198" s="410" t="s">
        <v>9836</v>
      </c>
      <c r="C2198" s="411">
        <v>16646</v>
      </c>
      <c r="D2198" s="412">
        <v>45440</v>
      </c>
      <c r="E2198" s="410" t="s">
        <v>10205</v>
      </c>
    </row>
    <row r="2199" spans="2:5">
      <c r="B2199" s="410" t="s">
        <v>9836</v>
      </c>
      <c r="C2199" s="411">
        <v>16644</v>
      </c>
      <c r="D2199" s="412">
        <v>45440</v>
      </c>
      <c r="E2199" s="410" t="s">
        <v>10402</v>
      </c>
    </row>
    <row r="2200" spans="2:5">
      <c r="B2200" s="410" t="s">
        <v>9836</v>
      </c>
      <c r="C2200" s="411">
        <v>16642</v>
      </c>
      <c r="D2200" s="412">
        <v>45440</v>
      </c>
      <c r="E2200" s="410" t="s">
        <v>10206</v>
      </c>
    </row>
    <row r="2201" spans="2:5">
      <c r="B2201" s="410" t="s">
        <v>9836</v>
      </c>
      <c r="C2201" s="411">
        <v>16639</v>
      </c>
      <c r="D2201" s="412">
        <v>45440</v>
      </c>
      <c r="E2201" s="410" t="s">
        <v>10207</v>
      </c>
    </row>
    <row r="2202" spans="2:5">
      <c r="B2202" s="410" t="s">
        <v>9836</v>
      </c>
      <c r="C2202" s="411">
        <v>16630</v>
      </c>
      <c r="D2202" s="412">
        <v>45440</v>
      </c>
      <c r="E2202" s="410" t="s">
        <v>10403</v>
      </c>
    </row>
    <row r="2203" spans="2:5">
      <c r="B2203" s="410" t="s">
        <v>9836</v>
      </c>
      <c r="C2203" s="411">
        <v>16628</v>
      </c>
      <c r="D2203" s="412">
        <v>45440</v>
      </c>
      <c r="E2203" s="410" t="s">
        <v>10404</v>
      </c>
    </row>
    <row r="2204" spans="2:5">
      <c r="B2204" s="410" t="s">
        <v>9836</v>
      </c>
      <c r="C2204" s="411">
        <v>16623</v>
      </c>
      <c r="D2204" s="412">
        <v>45440</v>
      </c>
      <c r="E2204" s="410" t="s">
        <v>10208</v>
      </c>
    </row>
    <row r="2205" spans="2:5">
      <c r="B2205" s="410" t="s">
        <v>9836</v>
      </c>
      <c r="C2205" s="411">
        <v>16616</v>
      </c>
      <c r="D2205" s="412">
        <v>45440</v>
      </c>
      <c r="E2205" s="410" t="s">
        <v>10209</v>
      </c>
    </row>
    <row r="2206" spans="2:5">
      <c r="B2206" s="410" t="s">
        <v>9836</v>
      </c>
      <c r="C2206" s="411">
        <v>16610</v>
      </c>
      <c r="D2206" s="412">
        <v>45440</v>
      </c>
      <c r="E2206" s="410" t="s">
        <v>10405</v>
      </c>
    </row>
    <row r="2207" spans="2:5">
      <c r="B2207" s="410" t="s">
        <v>9836</v>
      </c>
      <c r="C2207" s="411">
        <v>16608</v>
      </c>
      <c r="D2207" s="412">
        <v>45440</v>
      </c>
      <c r="E2207" s="410" t="s">
        <v>10210</v>
      </c>
    </row>
    <row r="2208" spans="2:5">
      <c r="B2208" s="410" t="s">
        <v>9836</v>
      </c>
      <c r="C2208" s="411">
        <v>16601</v>
      </c>
      <c r="D2208" s="412">
        <v>45440</v>
      </c>
      <c r="E2208" s="410" t="s">
        <v>10211</v>
      </c>
    </row>
    <row r="2209" spans="2:5">
      <c r="B2209" s="410" t="s">
        <v>9836</v>
      </c>
      <c r="C2209" s="411">
        <v>16598</v>
      </c>
      <c r="D2209" s="412">
        <v>45440</v>
      </c>
      <c r="E2209" s="410" t="s">
        <v>10212</v>
      </c>
    </row>
    <row r="2210" spans="2:5">
      <c r="B2210" s="410" t="s">
        <v>9836</v>
      </c>
      <c r="C2210" s="411">
        <v>16594</v>
      </c>
      <c r="D2210" s="412">
        <v>45440</v>
      </c>
      <c r="E2210" s="410" t="s">
        <v>10406</v>
      </c>
    </row>
    <row r="2211" spans="2:5">
      <c r="B2211" s="410" t="s">
        <v>9836</v>
      </c>
      <c r="C2211" s="411">
        <v>16587</v>
      </c>
      <c r="D2211" s="412">
        <v>45440</v>
      </c>
      <c r="E2211" s="410" t="s">
        <v>10213</v>
      </c>
    </row>
    <row r="2212" spans="2:5">
      <c r="B2212" s="410" t="s">
        <v>9836</v>
      </c>
      <c r="C2212" s="411">
        <v>16585</v>
      </c>
      <c r="D2212" s="412">
        <v>45440</v>
      </c>
      <c r="E2212" s="410" t="s">
        <v>10214</v>
      </c>
    </row>
    <row r="2213" spans="2:5">
      <c r="B2213" s="410" t="s">
        <v>9836</v>
      </c>
      <c r="C2213" s="411">
        <v>16581</v>
      </c>
      <c r="D2213" s="412">
        <v>45440</v>
      </c>
      <c r="E2213" s="410" t="s">
        <v>10215</v>
      </c>
    </row>
    <row r="2214" spans="2:5">
      <c r="B2214" s="410" t="s">
        <v>9836</v>
      </c>
      <c r="C2214" s="411">
        <v>16580</v>
      </c>
      <c r="D2214" s="412">
        <v>45440</v>
      </c>
      <c r="E2214" s="410" t="s">
        <v>10407</v>
      </c>
    </row>
    <row r="2215" spans="2:5">
      <c r="B2215" s="410" t="s">
        <v>9836</v>
      </c>
      <c r="C2215" s="411">
        <v>16577</v>
      </c>
      <c r="D2215" s="412">
        <v>45440</v>
      </c>
      <c r="E2215" s="410" t="s">
        <v>10408</v>
      </c>
    </row>
    <row r="2216" spans="2:5">
      <c r="B2216" s="410" t="s">
        <v>9836</v>
      </c>
      <c r="C2216" s="411">
        <v>16564</v>
      </c>
      <c r="D2216" s="412">
        <v>45440</v>
      </c>
      <c r="E2216" s="410" t="s">
        <v>10409</v>
      </c>
    </row>
    <row r="2217" spans="2:5">
      <c r="B2217" s="410" t="s">
        <v>9836</v>
      </c>
      <c r="C2217" s="411">
        <v>16563</v>
      </c>
      <c r="D2217" s="412">
        <v>45440</v>
      </c>
      <c r="E2217" s="410" t="s">
        <v>10216</v>
      </c>
    </row>
    <row r="2218" spans="2:5">
      <c r="B2218" s="410" t="s">
        <v>9836</v>
      </c>
      <c r="C2218" s="411">
        <v>16560</v>
      </c>
      <c r="D2218" s="412">
        <v>45440</v>
      </c>
      <c r="E2218" s="410" t="s">
        <v>10217</v>
      </c>
    </row>
    <row r="2219" spans="2:5">
      <c r="B2219" s="410" t="s">
        <v>9836</v>
      </c>
      <c r="C2219" s="411">
        <v>16557</v>
      </c>
      <c r="D2219" s="412">
        <v>45440</v>
      </c>
      <c r="E2219" s="410" t="s">
        <v>10218</v>
      </c>
    </row>
    <row r="2220" spans="2:5">
      <c r="B2220" s="410" t="s">
        <v>9836</v>
      </c>
      <c r="C2220" s="411">
        <v>16541</v>
      </c>
      <c r="D2220" s="412">
        <v>45440</v>
      </c>
      <c r="E2220" s="410" t="s">
        <v>10410</v>
      </c>
    </row>
    <row r="2221" spans="2:5">
      <c r="B2221" s="410" t="s">
        <v>9836</v>
      </c>
      <c r="C2221" s="411">
        <v>16528</v>
      </c>
      <c r="D2221" s="412">
        <v>45440</v>
      </c>
      <c r="E2221" s="410" t="s">
        <v>10219</v>
      </c>
    </row>
    <row r="2222" spans="2:5">
      <c r="B2222" s="410" t="s">
        <v>9836</v>
      </c>
      <c r="C2222" s="411">
        <v>16522</v>
      </c>
      <c r="D2222" s="412">
        <v>45440</v>
      </c>
      <c r="E2222" s="410" t="s">
        <v>10220</v>
      </c>
    </row>
    <row r="2223" spans="2:5">
      <c r="B2223" s="410" t="s">
        <v>9836</v>
      </c>
      <c r="C2223" s="411">
        <v>16519</v>
      </c>
      <c r="D2223" s="412">
        <v>45440</v>
      </c>
      <c r="E2223" s="410" t="s">
        <v>10221</v>
      </c>
    </row>
    <row r="2224" spans="2:5">
      <c r="B2224" s="410" t="s">
        <v>9836</v>
      </c>
      <c r="C2224" s="411">
        <v>16511</v>
      </c>
      <c r="D2224" s="412">
        <v>45440</v>
      </c>
      <c r="E2224" s="410" t="s">
        <v>10222</v>
      </c>
    </row>
    <row r="2225" spans="2:5">
      <c r="B2225" s="410" t="s">
        <v>9836</v>
      </c>
      <c r="C2225" s="411">
        <v>16510</v>
      </c>
      <c r="D2225" s="412">
        <v>45440</v>
      </c>
      <c r="E2225" s="410" t="s">
        <v>10411</v>
      </c>
    </row>
    <row r="2226" spans="2:5">
      <c r="B2226" s="410" t="s">
        <v>9836</v>
      </c>
      <c r="C2226" s="411">
        <v>16508</v>
      </c>
      <c r="D2226" s="412">
        <v>45440</v>
      </c>
      <c r="E2226" s="410" t="s">
        <v>10223</v>
      </c>
    </row>
    <row r="2227" spans="2:5">
      <c r="B2227" s="410" t="s">
        <v>9836</v>
      </c>
      <c r="C2227" s="411">
        <v>16507</v>
      </c>
      <c r="D2227" s="412">
        <v>45440</v>
      </c>
      <c r="E2227" s="410" t="s">
        <v>10224</v>
      </c>
    </row>
    <row r="2228" spans="2:5">
      <c r="B2228" s="410" t="s">
        <v>9836</v>
      </c>
      <c r="C2228" s="411">
        <v>16506</v>
      </c>
      <c r="D2228" s="412">
        <v>45440</v>
      </c>
      <c r="E2228" s="410" t="s">
        <v>10225</v>
      </c>
    </row>
    <row r="2229" spans="2:5">
      <c r="B2229" s="410" t="s">
        <v>9836</v>
      </c>
      <c r="C2229" s="411">
        <v>16504</v>
      </c>
      <c r="D2229" s="412">
        <v>45440</v>
      </c>
      <c r="E2229" s="410" t="s">
        <v>10226</v>
      </c>
    </row>
    <row r="2230" spans="2:5">
      <c r="B2230" s="410" t="s">
        <v>9836</v>
      </c>
      <c r="C2230" s="411">
        <v>16503</v>
      </c>
      <c r="D2230" s="412">
        <v>45440</v>
      </c>
      <c r="E2230" s="410" t="s">
        <v>10412</v>
      </c>
    </row>
    <row r="2231" spans="2:5">
      <c r="B2231" s="410" t="s">
        <v>9836</v>
      </c>
      <c r="C2231" s="411">
        <v>16498</v>
      </c>
      <c r="D2231" s="412">
        <v>45440</v>
      </c>
      <c r="E2231" s="410" t="s">
        <v>10227</v>
      </c>
    </row>
    <row r="2232" spans="2:5">
      <c r="B2232" s="410" t="s">
        <v>9836</v>
      </c>
      <c r="C2232" s="411">
        <v>16496</v>
      </c>
      <c r="D2232" s="412">
        <v>45440</v>
      </c>
      <c r="E2232" s="410" t="s">
        <v>10413</v>
      </c>
    </row>
    <row r="2233" spans="2:5">
      <c r="B2233" s="410" t="s">
        <v>9836</v>
      </c>
      <c r="C2233" s="411">
        <v>16489</v>
      </c>
      <c r="D2233" s="412">
        <v>45440</v>
      </c>
      <c r="E2233" s="410" t="s">
        <v>10228</v>
      </c>
    </row>
    <row r="2234" spans="2:5">
      <c r="B2234" s="410" t="s">
        <v>9836</v>
      </c>
      <c r="C2234" s="411">
        <v>16476</v>
      </c>
      <c r="D2234" s="412">
        <v>45440</v>
      </c>
      <c r="E2234" s="410" t="s">
        <v>10414</v>
      </c>
    </row>
    <row r="2235" spans="2:5">
      <c r="B2235" s="410" t="s">
        <v>9836</v>
      </c>
      <c r="C2235" s="411">
        <v>16475</v>
      </c>
      <c r="D2235" s="412">
        <v>45440</v>
      </c>
      <c r="E2235" s="410" t="s">
        <v>10229</v>
      </c>
    </row>
    <row r="2236" spans="2:5">
      <c r="B2236" s="410" t="s">
        <v>9836</v>
      </c>
      <c r="C2236" s="411">
        <v>16474</v>
      </c>
      <c r="D2236" s="412">
        <v>45440</v>
      </c>
      <c r="E2236" s="410" t="s">
        <v>10230</v>
      </c>
    </row>
    <row r="2237" spans="2:5">
      <c r="B2237" s="410" t="s">
        <v>9836</v>
      </c>
      <c r="C2237" s="411">
        <v>16472</v>
      </c>
      <c r="D2237" s="412">
        <v>45440</v>
      </c>
      <c r="E2237" s="410" t="s">
        <v>10231</v>
      </c>
    </row>
    <row r="2238" spans="2:5">
      <c r="B2238" s="410" t="s">
        <v>9836</v>
      </c>
      <c r="C2238" s="411">
        <v>16460</v>
      </c>
      <c r="D2238" s="412">
        <v>45440</v>
      </c>
      <c r="E2238" s="410" t="s">
        <v>10232</v>
      </c>
    </row>
    <row r="2239" spans="2:5">
      <c r="B2239" s="410" t="s">
        <v>9836</v>
      </c>
      <c r="C2239" s="411">
        <v>16456</v>
      </c>
      <c r="D2239" s="412">
        <v>45440</v>
      </c>
      <c r="E2239" s="410" t="s">
        <v>10233</v>
      </c>
    </row>
    <row r="2240" spans="2:5">
      <c r="B2240" s="410" t="s">
        <v>9836</v>
      </c>
      <c r="C2240" s="411">
        <v>16455</v>
      </c>
      <c r="D2240" s="412">
        <v>45440</v>
      </c>
      <c r="E2240" s="410" t="s">
        <v>10415</v>
      </c>
    </row>
    <row r="2241" spans="2:5">
      <c r="B2241" s="410" t="s">
        <v>9836</v>
      </c>
      <c r="C2241" s="411">
        <v>16453</v>
      </c>
      <c r="D2241" s="412">
        <v>45440</v>
      </c>
      <c r="E2241" s="410" t="s">
        <v>10416</v>
      </c>
    </row>
    <row r="2242" spans="2:5">
      <c r="B2242" s="410" t="s">
        <v>9836</v>
      </c>
      <c r="C2242" s="411">
        <v>16450</v>
      </c>
      <c r="D2242" s="412">
        <v>45440</v>
      </c>
      <c r="E2242" s="410" t="s">
        <v>10234</v>
      </c>
    </row>
    <row r="2243" spans="2:5">
      <c r="B2243" s="410" t="s">
        <v>9836</v>
      </c>
      <c r="C2243" s="411">
        <v>16449</v>
      </c>
      <c r="D2243" s="412">
        <v>45440</v>
      </c>
      <c r="E2243" s="410" t="s">
        <v>10235</v>
      </c>
    </row>
    <row r="2244" spans="2:5">
      <c r="B2244" s="410" t="s">
        <v>9836</v>
      </c>
      <c r="C2244" s="411">
        <v>16447</v>
      </c>
      <c r="D2244" s="412">
        <v>45440</v>
      </c>
      <c r="E2244" s="410" t="s">
        <v>10236</v>
      </c>
    </row>
    <row r="2245" spans="2:5">
      <c r="B2245" s="410" t="s">
        <v>9836</v>
      </c>
      <c r="C2245" s="411">
        <v>16444</v>
      </c>
      <c r="D2245" s="412">
        <v>45440</v>
      </c>
      <c r="E2245" s="410" t="s">
        <v>10237</v>
      </c>
    </row>
    <row r="2246" spans="2:5">
      <c r="B2246" s="410" t="s">
        <v>9836</v>
      </c>
      <c r="C2246" s="411">
        <v>16441</v>
      </c>
      <c r="D2246" s="412">
        <v>45440</v>
      </c>
      <c r="E2246" s="410" t="s">
        <v>10238</v>
      </c>
    </row>
    <row r="2247" spans="2:5">
      <c r="B2247" s="410" t="s">
        <v>9836</v>
      </c>
      <c r="C2247" s="411">
        <v>16440</v>
      </c>
      <c r="D2247" s="412">
        <v>45440</v>
      </c>
      <c r="E2247" s="410" t="s">
        <v>10239</v>
      </c>
    </row>
    <row r="2248" spans="2:5">
      <c r="B2248" s="410" t="s">
        <v>9836</v>
      </c>
      <c r="C2248" s="411">
        <v>16439</v>
      </c>
      <c r="D2248" s="412">
        <v>45440</v>
      </c>
      <c r="E2248" s="410" t="s">
        <v>10417</v>
      </c>
    </row>
    <row r="2249" spans="2:5">
      <c r="B2249" s="410" t="s">
        <v>9836</v>
      </c>
      <c r="C2249" s="411">
        <v>16436</v>
      </c>
      <c r="D2249" s="412">
        <v>45440</v>
      </c>
      <c r="E2249" s="410" t="s">
        <v>10240</v>
      </c>
    </row>
    <row r="2250" spans="2:5">
      <c r="B2250" s="410" t="s">
        <v>9836</v>
      </c>
      <c r="C2250" s="411">
        <v>16435</v>
      </c>
      <c r="D2250" s="412">
        <v>45440</v>
      </c>
      <c r="E2250" s="410" t="s">
        <v>10241</v>
      </c>
    </row>
    <row r="2251" spans="2:5">
      <c r="B2251" s="410" t="s">
        <v>9836</v>
      </c>
      <c r="C2251" s="411">
        <v>16424</v>
      </c>
      <c r="D2251" s="412">
        <v>45440</v>
      </c>
      <c r="E2251" s="410" t="s">
        <v>10418</v>
      </c>
    </row>
    <row r="2252" spans="2:5">
      <c r="B2252" s="410" t="s">
        <v>9836</v>
      </c>
      <c r="C2252" s="411">
        <v>16422</v>
      </c>
      <c r="D2252" s="412">
        <v>45440</v>
      </c>
      <c r="E2252" s="410" t="s">
        <v>10419</v>
      </c>
    </row>
    <row r="2253" spans="2:5">
      <c r="B2253" s="410" t="s">
        <v>9836</v>
      </c>
      <c r="C2253" s="411">
        <v>16418</v>
      </c>
      <c r="D2253" s="412">
        <v>45440</v>
      </c>
      <c r="E2253" s="410" t="s">
        <v>10242</v>
      </c>
    </row>
    <row r="2254" spans="2:5">
      <c r="B2254" s="410" t="s">
        <v>9836</v>
      </c>
      <c r="C2254" s="411">
        <v>16413</v>
      </c>
      <c r="D2254" s="412">
        <v>45440</v>
      </c>
      <c r="E2254" s="410" t="s">
        <v>10420</v>
      </c>
    </row>
    <row r="2255" spans="2:5">
      <c r="B2255" s="410" t="s">
        <v>9836</v>
      </c>
      <c r="C2255" s="411">
        <v>16412</v>
      </c>
      <c r="D2255" s="412">
        <v>45440</v>
      </c>
      <c r="E2255" s="410" t="s">
        <v>10421</v>
      </c>
    </row>
    <row r="2256" spans="2:5">
      <c r="B2256" s="410" t="s">
        <v>9836</v>
      </c>
      <c r="C2256" s="411">
        <v>16411</v>
      </c>
      <c r="D2256" s="412">
        <v>45440</v>
      </c>
      <c r="E2256" s="410" t="s">
        <v>10243</v>
      </c>
    </row>
    <row r="2257" spans="2:5">
      <c r="B2257" s="410" t="s">
        <v>9836</v>
      </c>
      <c r="C2257" s="411">
        <v>16409</v>
      </c>
      <c r="D2257" s="412">
        <v>45440</v>
      </c>
      <c r="E2257" s="410" t="s">
        <v>10422</v>
      </c>
    </row>
    <row r="2258" spans="2:5">
      <c r="B2258" s="410" t="s">
        <v>9836</v>
      </c>
      <c r="C2258" s="411">
        <v>16406</v>
      </c>
      <c r="D2258" s="412">
        <v>45440</v>
      </c>
      <c r="E2258" s="410" t="s">
        <v>10244</v>
      </c>
    </row>
    <row r="2259" spans="2:5">
      <c r="B2259" s="410" t="s">
        <v>9836</v>
      </c>
      <c r="C2259" s="411">
        <v>16405</v>
      </c>
      <c r="D2259" s="412">
        <v>45440</v>
      </c>
      <c r="E2259" s="410" t="s">
        <v>10245</v>
      </c>
    </row>
    <row r="2260" spans="2:5">
      <c r="B2260" s="410" t="s">
        <v>9836</v>
      </c>
      <c r="C2260" s="411">
        <v>16401</v>
      </c>
      <c r="D2260" s="412">
        <v>45440</v>
      </c>
      <c r="E2260" s="410" t="s">
        <v>10423</v>
      </c>
    </row>
    <row r="2261" spans="2:5">
      <c r="B2261" s="410" t="s">
        <v>9836</v>
      </c>
      <c r="C2261" s="411">
        <v>16397</v>
      </c>
      <c r="D2261" s="412">
        <v>45440</v>
      </c>
      <c r="E2261" s="410" t="s">
        <v>10246</v>
      </c>
    </row>
    <row r="2262" spans="2:5">
      <c r="B2262" s="410" t="s">
        <v>9836</v>
      </c>
      <c r="C2262" s="411">
        <v>16396</v>
      </c>
      <c r="D2262" s="412">
        <v>45440</v>
      </c>
      <c r="E2262" s="410" t="s">
        <v>10247</v>
      </c>
    </row>
    <row r="2263" spans="2:5">
      <c r="B2263" s="410" t="s">
        <v>9836</v>
      </c>
      <c r="C2263" s="411">
        <v>16395</v>
      </c>
      <c r="D2263" s="412">
        <v>45440</v>
      </c>
      <c r="E2263" s="410" t="s">
        <v>10248</v>
      </c>
    </row>
    <row r="2264" spans="2:5">
      <c r="B2264" s="410" t="s">
        <v>9836</v>
      </c>
      <c r="C2264" s="411">
        <v>16391</v>
      </c>
      <c r="D2264" s="412">
        <v>45440</v>
      </c>
      <c r="E2264" s="410" t="s">
        <v>10249</v>
      </c>
    </row>
    <row r="2265" spans="2:5">
      <c r="B2265" s="410" t="s">
        <v>9836</v>
      </c>
      <c r="C2265" s="411">
        <v>16390</v>
      </c>
      <c r="D2265" s="412">
        <v>45440</v>
      </c>
      <c r="E2265" s="410" t="s">
        <v>10424</v>
      </c>
    </row>
    <row r="2266" spans="2:5">
      <c r="B2266" s="410" t="s">
        <v>9836</v>
      </c>
      <c r="C2266" s="411">
        <v>16388</v>
      </c>
      <c r="D2266" s="412">
        <v>45440</v>
      </c>
      <c r="E2266" s="410" t="s">
        <v>10425</v>
      </c>
    </row>
    <row r="2267" spans="2:5">
      <c r="B2267" s="410" t="s">
        <v>9836</v>
      </c>
      <c r="C2267" s="411">
        <v>16387</v>
      </c>
      <c r="D2267" s="412">
        <v>45440</v>
      </c>
      <c r="E2267" s="410" t="s">
        <v>10426</v>
      </c>
    </row>
    <row r="2268" spans="2:5">
      <c r="B2268" s="410" t="s">
        <v>9836</v>
      </c>
      <c r="C2268" s="411">
        <v>16386</v>
      </c>
      <c r="D2268" s="412">
        <v>45440</v>
      </c>
      <c r="E2268" s="410" t="s">
        <v>10250</v>
      </c>
    </row>
    <row r="2269" spans="2:5">
      <c r="B2269" s="410" t="s">
        <v>9836</v>
      </c>
      <c r="C2269" s="411">
        <v>16383</v>
      </c>
      <c r="D2269" s="412">
        <v>45440</v>
      </c>
      <c r="E2269" s="410" t="s">
        <v>10251</v>
      </c>
    </row>
    <row r="2270" spans="2:5">
      <c r="B2270" s="410" t="s">
        <v>9836</v>
      </c>
      <c r="C2270" s="411">
        <v>16381</v>
      </c>
      <c r="D2270" s="412">
        <v>45440</v>
      </c>
      <c r="E2270" s="410" t="s">
        <v>10252</v>
      </c>
    </row>
    <row r="2271" spans="2:5">
      <c r="B2271" s="410" t="s">
        <v>9836</v>
      </c>
      <c r="C2271" s="411">
        <v>16380</v>
      </c>
      <c r="D2271" s="412">
        <v>45440</v>
      </c>
      <c r="E2271" s="410" t="s">
        <v>10253</v>
      </c>
    </row>
    <row r="2272" spans="2:5">
      <c r="B2272" s="410" t="s">
        <v>9836</v>
      </c>
      <c r="C2272" s="411">
        <v>16368</v>
      </c>
      <c r="D2272" s="412">
        <v>45440</v>
      </c>
      <c r="E2272" s="410" t="s">
        <v>10254</v>
      </c>
    </row>
    <row r="2273" spans="2:5">
      <c r="B2273" s="410" t="s">
        <v>9836</v>
      </c>
      <c r="C2273" s="411">
        <v>16361</v>
      </c>
      <c r="D2273" s="412">
        <v>45440</v>
      </c>
      <c r="E2273" s="410" t="s">
        <v>10255</v>
      </c>
    </row>
    <row r="2274" spans="2:5">
      <c r="B2274" s="410" t="s">
        <v>9836</v>
      </c>
      <c r="C2274" s="411">
        <v>16351</v>
      </c>
      <c r="D2274" s="412">
        <v>45440</v>
      </c>
      <c r="E2274" s="410" t="s">
        <v>10427</v>
      </c>
    </row>
    <row r="2275" spans="2:5">
      <c r="B2275" s="410" t="s">
        <v>9836</v>
      </c>
      <c r="C2275" s="411">
        <v>16350</v>
      </c>
      <c r="D2275" s="412">
        <v>45440</v>
      </c>
      <c r="E2275" s="410" t="s">
        <v>10428</v>
      </c>
    </row>
    <row r="2276" spans="2:5">
      <c r="B2276" s="410" t="s">
        <v>9836</v>
      </c>
      <c r="C2276" s="411">
        <v>16339</v>
      </c>
      <c r="D2276" s="412">
        <v>45440</v>
      </c>
      <c r="E2276" s="410" t="s">
        <v>10429</v>
      </c>
    </row>
    <row r="2277" spans="2:5">
      <c r="B2277" s="410" t="s">
        <v>9836</v>
      </c>
      <c r="C2277" s="411">
        <v>16335</v>
      </c>
      <c r="D2277" s="412">
        <v>45440</v>
      </c>
      <c r="E2277" s="410" t="s">
        <v>10430</v>
      </c>
    </row>
    <row r="2278" spans="2:5">
      <c r="B2278" s="410" t="s">
        <v>9836</v>
      </c>
      <c r="C2278" s="411">
        <v>16325</v>
      </c>
      <c r="D2278" s="412">
        <v>45440</v>
      </c>
      <c r="E2278" s="410" t="s">
        <v>10256</v>
      </c>
    </row>
    <row r="2279" spans="2:5">
      <c r="B2279" s="410" t="s">
        <v>9836</v>
      </c>
      <c r="C2279" s="411">
        <v>16312</v>
      </c>
      <c r="D2279" s="412">
        <v>45440</v>
      </c>
      <c r="E2279" s="410" t="s">
        <v>10257</v>
      </c>
    </row>
    <row r="2280" spans="2:5">
      <c r="B2280" s="410" t="s">
        <v>9836</v>
      </c>
      <c r="C2280" s="411">
        <v>16305</v>
      </c>
      <c r="D2280" s="412">
        <v>45440</v>
      </c>
      <c r="E2280" s="410" t="s">
        <v>10258</v>
      </c>
    </row>
    <row r="2281" spans="2:5">
      <c r="B2281" s="410" t="s">
        <v>9836</v>
      </c>
      <c r="C2281" s="411">
        <v>16304</v>
      </c>
      <c r="D2281" s="412">
        <v>45440</v>
      </c>
      <c r="E2281" s="410" t="s">
        <v>10259</v>
      </c>
    </row>
    <row r="2282" spans="2:5">
      <c r="B2282" s="410" t="s">
        <v>9836</v>
      </c>
      <c r="C2282" s="411">
        <v>16301</v>
      </c>
      <c r="D2282" s="412">
        <v>45440</v>
      </c>
      <c r="E2282" s="410" t="s">
        <v>10431</v>
      </c>
    </row>
    <row r="2283" spans="2:5">
      <c r="B2283" s="410" t="s">
        <v>9836</v>
      </c>
      <c r="C2283" s="411">
        <v>16297</v>
      </c>
      <c r="D2283" s="412">
        <v>45440</v>
      </c>
      <c r="E2283" s="410" t="s">
        <v>10260</v>
      </c>
    </row>
    <row r="2284" spans="2:5">
      <c r="B2284" s="410" t="s">
        <v>9836</v>
      </c>
      <c r="C2284" s="411">
        <v>16295</v>
      </c>
      <c r="D2284" s="412">
        <v>45440</v>
      </c>
      <c r="E2284" s="410" t="s">
        <v>10432</v>
      </c>
    </row>
    <row r="2285" spans="2:5">
      <c r="B2285" s="410" t="s">
        <v>9836</v>
      </c>
      <c r="C2285" s="411">
        <v>16288</v>
      </c>
      <c r="D2285" s="412">
        <v>45440</v>
      </c>
      <c r="E2285" s="410" t="s">
        <v>10433</v>
      </c>
    </row>
    <row r="2286" spans="2:5">
      <c r="B2286" s="410" t="s">
        <v>9836</v>
      </c>
      <c r="C2286" s="411">
        <v>16287</v>
      </c>
      <c r="D2286" s="412">
        <v>45440</v>
      </c>
      <c r="E2286" s="410" t="s">
        <v>10261</v>
      </c>
    </row>
    <row r="2287" spans="2:5">
      <c r="B2287" s="410" t="s">
        <v>9836</v>
      </c>
      <c r="C2287" s="411">
        <v>16286</v>
      </c>
      <c r="D2287" s="412">
        <v>45440</v>
      </c>
      <c r="E2287" s="410" t="s">
        <v>10262</v>
      </c>
    </row>
    <row r="2288" spans="2:5">
      <c r="B2288" s="410" t="s">
        <v>9836</v>
      </c>
      <c r="C2288" s="411">
        <v>16285</v>
      </c>
      <c r="D2288" s="412">
        <v>45440</v>
      </c>
      <c r="E2288" s="410" t="s">
        <v>10263</v>
      </c>
    </row>
    <row r="2289" spans="2:5">
      <c r="B2289" s="410" t="s">
        <v>9836</v>
      </c>
      <c r="C2289" s="411">
        <v>16282</v>
      </c>
      <c r="D2289" s="412">
        <v>45440</v>
      </c>
      <c r="E2289" s="410" t="s">
        <v>10434</v>
      </c>
    </row>
    <row r="2290" spans="2:5">
      <c r="B2290" s="410" t="s">
        <v>9836</v>
      </c>
      <c r="C2290" s="411">
        <v>16277</v>
      </c>
      <c r="D2290" s="412">
        <v>45440</v>
      </c>
      <c r="E2290" s="410" t="s">
        <v>10435</v>
      </c>
    </row>
    <row r="2291" spans="2:5">
      <c r="B2291" s="410" t="s">
        <v>9836</v>
      </c>
      <c r="C2291" s="411">
        <v>16267</v>
      </c>
      <c r="D2291" s="412">
        <v>45440</v>
      </c>
      <c r="E2291" s="410" t="s">
        <v>10264</v>
      </c>
    </row>
    <row r="2292" spans="2:5">
      <c r="B2292" s="410" t="s">
        <v>9836</v>
      </c>
      <c r="C2292" s="411">
        <v>16266</v>
      </c>
      <c r="D2292" s="412">
        <v>45440</v>
      </c>
      <c r="E2292" s="410" t="s">
        <v>10436</v>
      </c>
    </row>
    <row r="2293" spans="2:5">
      <c r="B2293" s="410" t="s">
        <v>9836</v>
      </c>
      <c r="C2293" s="411">
        <v>16265</v>
      </c>
      <c r="D2293" s="412">
        <v>45440</v>
      </c>
      <c r="E2293" s="410" t="s">
        <v>10265</v>
      </c>
    </row>
    <row r="2294" spans="2:5">
      <c r="B2294" s="410" t="s">
        <v>9836</v>
      </c>
      <c r="C2294" s="411">
        <v>16262</v>
      </c>
      <c r="D2294" s="412">
        <v>45440</v>
      </c>
      <c r="E2294" s="410" t="s">
        <v>10266</v>
      </c>
    </row>
    <row r="2295" spans="2:5">
      <c r="B2295" s="410" t="s">
        <v>9836</v>
      </c>
      <c r="C2295" s="411">
        <v>16260</v>
      </c>
      <c r="D2295" s="412">
        <v>45440</v>
      </c>
      <c r="E2295" s="410" t="s">
        <v>10437</v>
      </c>
    </row>
    <row r="2296" spans="2:5">
      <c r="B2296" s="410" t="s">
        <v>9836</v>
      </c>
      <c r="C2296" s="411">
        <v>16259</v>
      </c>
      <c r="D2296" s="412">
        <v>45440</v>
      </c>
      <c r="E2296" s="410" t="s">
        <v>10438</v>
      </c>
    </row>
    <row r="2297" spans="2:5">
      <c r="B2297" s="410" t="s">
        <v>9836</v>
      </c>
      <c r="C2297" s="411">
        <v>16258</v>
      </c>
      <c r="D2297" s="412">
        <v>45440</v>
      </c>
      <c r="E2297" s="410" t="s">
        <v>10267</v>
      </c>
    </row>
    <row r="2298" spans="2:5">
      <c r="B2298" s="410" t="s">
        <v>9836</v>
      </c>
      <c r="C2298" s="411">
        <v>16255</v>
      </c>
      <c r="D2298" s="412">
        <v>45440</v>
      </c>
      <c r="E2298" s="410" t="s">
        <v>10268</v>
      </c>
    </row>
    <row r="2299" spans="2:5">
      <c r="B2299" s="410" t="s">
        <v>9836</v>
      </c>
      <c r="C2299" s="411">
        <v>16248</v>
      </c>
      <c r="D2299" s="412">
        <v>45440</v>
      </c>
      <c r="E2299" s="410" t="s">
        <v>10439</v>
      </c>
    </row>
    <row r="2300" spans="2:5">
      <c r="B2300" s="410" t="s">
        <v>9836</v>
      </c>
      <c r="C2300" s="411">
        <v>16240</v>
      </c>
      <c r="D2300" s="412">
        <v>45440</v>
      </c>
      <c r="E2300" s="410" t="s">
        <v>10269</v>
      </c>
    </row>
    <row r="2301" spans="2:5">
      <c r="B2301" s="410" t="s">
        <v>9836</v>
      </c>
      <c r="C2301" s="411">
        <v>16236</v>
      </c>
      <c r="D2301" s="412">
        <v>45440</v>
      </c>
      <c r="E2301" s="410" t="s">
        <v>10440</v>
      </c>
    </row>
    <row r="2302" spans="2:5">
      <c r="B2302" s="410" t="s">
        <v>9836</v>
      </c>
      <c r="C2302" s="411">
        <v>16233</v>
      </c>
      <c r="D2302" s="412">
        <v>45440</v>
      </c>
      <c r="E2302" s="410" t="s">
        <v>10270</v>
      </c>
    </row>
    <row r="2303" spans="2:5">
      <c r="B2303" s="410" t="s">
        <v>9836</v>
      </c>
      <c r="C2303" s="411">
        <v>16226</v>
      </c>
      <c r="D2303" s="412">
        <v>45440</v>
      </c>
      <c r="E2303" s="410" t="s">
        <v>10441</v>
      </c>
    </row>
    <row r="2304" spans="2:5">
      <c r="B2304" s="410" t="s">
        <v>9836</v>
      </c>
      <c r="C2304" s="411">
        <v>16225</v>
      </c>
      <c r="D2304" s="412">
        <v>45440</v>
      </c>
      <c r="E2304" s="410" t="s">
        <v>10271</v>
      </c>
    </row>
    <row r="2305" spans="2:5">
      <c r="B2305" s="410" t="s">
        <v>9836</v>
      </c>
      <c r="C2305" s="411">
        <v>16224</v>
      </c>
      <c r="D2305" s="412">
        <v>45440</v>
      </c>
      <c r="E2305" s="410" t="s">
        <v>10272</v>
      </c>
    </row>
    <row r="2306" spans="2:5">
      <c r="B2306" s="410" t="s">
        <v>9836</v>
      </c>
      <c r="C2306" s="411">
        <v>16219</v>
      </c>
      <c r="D2306" s="412">
        <v>45440</v>
      </c>
      <c r="E2306" s="410" t="s">
        <v>10273</v>
      </c>
    </row>
    <row r="2307" spans="2:5">
      <c r="B2307" s="410" t="s">
        <v>9836</v>
      </c>
      <c r="C2307" s="411">
        <v>16213</v>
      </c>
      <c r="D2307" s="412">
        <v>45440</v>
      </c>
      <c r="E2307" s="410" t="s">
        <v>10442</v>
      </c>
    </row>
    <row r="2308" spans="2:5">
      <c r="B2308" s="410" t="s">
        <v>9836</v>
      </c>
      <c r="C2308" s="411">
        <v>16206</v>
      </c>
      <c r="D2308" s="412">
        <v>45440</v>
      </c>
      <c r="E2308" s="410" t="s">
        <v>10274</v>
      </c>
    </row>
    <row r="2309" spans="2:5">
      <c r="B2309" s="410" t="s">
        <v>9836</v>
      </c>
      <c r="C2309" s="411">
        <v>16203</v>
      </c>
      <c r="D2309" s="412">
        <v>45440</v>
      </c>
      <c r="E2309" s="410" t="s">
        <v>10275</v>
      </c>
    </row>
    <row r="2310" spans="2:5">
      <c r="B2310" s="410" t="s">
        <v>9836</v>
      </c>
      <c r="C2310" s="411">
        <v>16196</v>
      </c>
      <c r="D2310" s="412">
        <v>45440</v>
      </c>
      <c r="E2310" s="410" t="s">
        <v>10276</v>
      </c>
    </row>
    <row r="2311" spans="2:5">
      <c r="B2311" s="410" t="s">
        <v>9836</v>
      </c>
      <c r="C2311" s="411">
        <v>16195</v>
      </c>
      <c r="D2311" s="412">
        <v>45440</v>
      </c>
      <c r="E2311" s="410" t="s">
        <v>10277</v>
      </c>
    </row>
    <row r="2312" spans="2:5">
      <c r="B2312" s="410" t="s">
        <v>9836</v>
      </c>
      <c r="C2312" s="411">
        <v>16194</v>
      </c>
      <c r="D2312" s="412">
        <v>45440</v>
      </c>
      <c r="E2312" s="410" t="s">
        <v>10278</v>
      </c>
    </row>
    <row r="2313" spans="2:5">
      <c r="B2313" s="410" t="s">
        <v>9836</v>
      </c>
      <c r="C2313" s="411">
        <v>16185</v>
      </c>
      <c r="D2313" s="412">
        <v>45440</v>
      </c>
      <c r="E2313" s="410" t="s">
        <v>10279</v>
      </c>
    </row>
    <row r="2314" spans="2:5">
      <c r="B2314" s="410" t="s">
        <v>9836</v>
      </c>
      <c r="C2314" s="411">
        <v>16184</v>
      </c>
      <c r="D2314" s="412">
        <v>45440</v>
      </c>
      <c r="E2314" s="410" t="s">
        <v>10443</v>
      </c>
    </row>
    <row r="2315" spans="2:5">
      <c r="B2315" s="410" t="s">
        <v>9836</v>
      </c>
      <c r="C2315" s="411">
        <v>16183</v>
      </c>
      <c r="D2315" s="412">
        <v>45440</v>
      </c>
      <c r="E2315" s="410" t="s">
        <v>10280</v>
      </c>
    </row>
    <row r="2316" spans="2:5">
      <c r="B2316" s="410" t="s">
        <v>9836</v>
      </c>
      <c r="C2316" s="411">
        <v>16173</v>
      </c>
      <c r="D2316" s="412">
        <v>45440</v>
      </c>
      <c r="E2316" s="410" t="s">
        <v>10281</v>
      </c>
    </row>
    <row r="2317" spans="2:5">
      <c r="B2317" s="410" t="s">
        <v>9836</v>
      </c>
      <c r="C2317" s="411">
        <v>16168</v>
      </c>
      <c r="D2317" s="412">
        <v>45440</v>
      </c>
      <c r="E2317" s="410" t="s">
        <v>10282</v>
      </c>
    </row>
    <row r="2318" spans="2:5">
      <c r="B2318" s="410" t="s">
        <v>9836</v>
      </c>
      <c r="C2318" s="411">
        <v>16164</v>
      </c>
      <c r="D2318" s="412">
        <v>45440</v>
      </c>
      <c r="E2318" s="410" t="s">
        <v>10283</v>
      </c>
    </row>
    <row r="2319" spans="2:5">
      <c r="B2319" s="410" t="s">
        <v>9836</v>
      </c>
      <c r="C2319" s="411">
        <v>16159</v>
      </c>
      <c r="D2319" s="412">
        <v>45440</v>
      </c>
      <c r="E2319" s="410" t="s">
        <v>10284</v>
      </c>
    </row>
    <row r="2320" spans="2:5">
      <c r="B2320" s="410" t="s">
        <v>9836</v>
      </c>
      <c r="C2320" s="411">
        <v>16158</v>
      </c>
      <c r="D2320" s="412">
        <v>45440</v>
      </c>
      <c r="E2320" s="410" t="s">
        <v>10285</v>
      </c>
    </row>
    <row r="2321" spans="2:5">
      <c r="B2321" s="410" t="s">
        <v>9836</v>
      </c>
      <c r="C2321" s="411">
        <v>16156</v>
      </c>
      <c r="D2321" s="412">
        <v>45440</v>
      </c>
      <c r="E2321" s="410" t="s">
        <v>10286</v>
      </c>
    </row>
    <row r="2322" spans="2:5">
      <c r="B2322" s="410" t="s">
        <v>9836</v>
      </c>
      <c r="C2322" s="411">
        <v>16153</v>
      </c>
      <c r="D2322" s="412">
        <v>45441</v>
      </c>
      <c r="E2322" s="410" t="s">
        <v>10747</v>
      </c>
    </row>
    <row r="2323" spans="2:5">
      <c r="B2323" s="410" t="s">
        <v>9836</v>
      </c>
      <c r="C2323" s="411">
        <v>16148</v>
      </c>
      <c r="D2323" s="412">
        <v>45440</v>
      </c>
      <c r="E2323" s="410" t="s">
        <v>10287</v>
      </c>
    </row>
    <row r="2324" spans="2:5">
      <c r="B2324" s="410" t="s">
        <v>9836</v>
      </c>
      <c r="C2324" s="411">
        <v>16141</v>
      </c>
      <c r="D2324" s="412">
        <v>45440</v>
      </c>
      <c r="E2324" s="410" t="s">
        <v>10288</v>
      </c>
    </row>
    <row r="2325" spans="2:5">
      <c r="B2325" s="410" t="s">
        <v>9836</v>
      </c>
      <c r="C2325" s="411">
        <v>16136</v>
      </c>
      <c r="D2325" s="412">
        <v>45440</v>
      </c>
      <c r="E2325" s="410" t="s">
        <v>10444</v>
      </c>
    </row>
    <row r="2326" spans="2:5">
      <c r="B2326" s="410" t="s">
        <v>9836</v>
      </c>
      <c r="C2326" s="411">
        <v>16130</v>
      </c>
      <c r="D2326" s="412">
        <v>45440</v>
      </c>
      <c r="E2326" s="410" t="s">
        <v>10289</v>
      </c>
    </row>
    <row r="2327" spans="2:5">
      <c r="B2327" s="410" t="s">
        <v>9836</v>
      </c>
      <c r="C2327" s="411">
        <v>16126</v>
      </c>
      <c r="D2327" s="412">
        <v>45440</v>
      </c>
      <c r="E2327" s="410" t="s">
        <v>10445</v>
      </c>
    </row>
    <row r="2328" spans="2:5">
      <c r="B2328" s="410" t="s">
        <v>9836</v>
      </c>
      <c r="C2328" s="411">
        <v>16124</v>
      </c>
      <c r="D2328" s="412">
        <v>45440</v>
      </c>
      <c r="E2328" s="410" t="s">
        <v>10290</v>
      </c>
    </row>
    <row r="2329" spans="2:5">
      <c r="B2329" s="410" t="s">
        <v>9836</v>
      </c>
      <c r="C2329" s="411">
        <v>16122</v>
      </c>
      <c r="D2329" s="412">
        <v>45440</v>
      </c>
      <c r="E2329" s="410" t="s">
        <v>10446</v>
      </c>
    </row>
    <row r="2330" spans="2:5">
      <c r="B2330" s="410" t="s">
        <v>9836</v>
      </c>
      <c r="C2330" s="411">
        <v>16119</v>
      </c>
      <c r="D2330" s="412">
        <v>45440</v>
      </c>
      <c r="E2330" s="410" t="s">
        <v>10291</v>
      </c>
    </row>
    <row r="2331" spans="2:5">
      <c r="B2331" s="410" t="s">
        <v>9836</v>
      </c>
      <c r="C2331" s="411">
        <v>16118</v>
      </c>
      <c r="D2331" s="412">
        <v>45440</v>
      </c>
      <c r="E2331" s="410" t="s">
        <v>10292</v>
      </c>
    </row>
    <row r="2332" spans="2:5">
      <c r="B2332" s="410" t="s">
        <v>9836</v>
      </c>
      <c r="C2332" s="411">
        <v>16115</v>
      </c>
      <c r="D2332" s="412">
        <v>45440</v>
      </c>
      <c r="E2332" s="410" t="s">
        <v>10447</v>
      </c>
    </row>
    <row r="2333" spans="2:5">
      <c r="B2333" s="410" t="s">
        <v>9836</v>
      </c>
      <c r="C2333" s="411">
        <v>16114</v>
      </c>
      <c r="D2333" s="412">
        <v>45440</v>
      </c>
      <c r="E2333" s="410" t="s">
        <v>10448</v>
      </c>
    </row>
    <row r="2334" spans="2:5">
      <c r="B2334" s="410" t="s">
        <v>9836</v>
      </c>
      <c r="C2334" s="411">
        <v>16113</v>
      </c>
      <c r="D2334" s="412">
        <v>45440</v>
      </c>
      <c r="E2334" s="410" t="s">
        <v>10293</v>
      </c>
    </row>
    <row r="2335" spans="2:5">
      <c r="B2335" s="410" t="s">
        <v>9836</v>
      </c>
      <c r="C2335" s="411">
        <v>16104</v>
      </c>
      <c r="D2335" s="412">
        <v>45440</v>
      </c>
      <c r="E2335" s="410" t="s">
        <v>10294</v>
      </c>
    </row>
    <row r="2336" spans="2:5">
      <c r="B2336" s="410" t="s">
        <v>9836</v>
      </c>
      <c r="C2336" s="411">
        <v>16088</v>
      </c>
      <c r="D2336" s="412">
        <v>45440</v>
      </c>
      <c r="E2336" s="410" t="s">
        <v>10449</v>
      </c>
    </row>
    <row r="2337" spans="2:5">
      <c r="B2337" s="410" t="s">
        <v>9836</v>
      </c>
      <c r="C2337" s="411">
        <v>16083</v>
      </c>
      <c r="D2337" s="412">
        <v>45440</v>
      </c>
      <c r="E2337" s="410" t="s">
        <v>10295</v>
      </c>
    </row>
    <row r="2338" spans="2:5">
      <c r="B2338" s="410" t="s">
        <v>9836</v>
      </c>
      <c r="C2338" s="411">
        <v>16077</v>
      </c>
      <c r="D2338" s="412">
        <v>45440</v>
      </c>
      <c r="E2338" s="410" t="s">
        <v>10296</v>
      </c>
    </row>
    <row r="2339" spans="2:5">
      <c r="B2339" s="410" t="s">
        <v>9836</v>
      </c>
      <c r="C2339" s="411">
        <v>16075</v>
      </c>
      <c r="D2339" s="412">
        <v>45440</v>
      </c>
      <c r="E2339" s="410" t="s">
        <v>10297</v>
      </c>
    </row>
    <row r="2340" spans="2:5">
      <c r="B2340" s="410" t="s">
        <v>9836</v>
      </c>
      <c r="C2340" s="411">
        <v>16069</v>
      </c>
      <c r="D2340" s="412">
        <v>45440</v>
      </c>
      <c r="E2340" s="410" t="s">
        <v>10298</v>
      </c>
    </row>
    <row r="2341" spans="2:5">
      <c r="B2341" s="410" t="s">
        <v>9836</v>
      </c>
      <c r="C2341" s="411">
        <v>16057</v>
      </c>
      <c r="D2341" s="412">
        <v>45440</v>
      </c>
      <c r="E2341" s="410" t="s">
        <v>10450</v>
      </c>
    </row>
    <row r="2342" spans="2:5">
      <c r="B2342" s="410" t="s">
        <v>9836</v>
      </c>
      <c r="C2342" s="411">
        <v>16056</v>
      </c>
      <c r="D2342" s="412">
        <v>45440</v>
      </c>
      <c r="E2342" s="410" t="s">
        <v>10299</v>
      </c>
    </row>
    <row r="2343" spans="2:5">
      <c r="B2343" s="410" t="s">
        <v>9836</v>
      </c>
      <c r="C2343" s="411">
        <v>16055</v>
      </c>
      <c r="D2343" s="412">
        <v>45440</v>
      </c>
      <c r="E2343" s="410" t="s">
        <v>10451</v>
      </c>
    </row>
    <row r="2344" spans="2:5">
      <c r="B2344" s="410" t="s">
        <v>9836</v>
      </c>
      <c r="C2344" s="411">
        <v>16053</v>
      </c>
      <c r="D2344" s="412">
        <v>45440</v>
      </c>
      <c r="E2344" s="410" t="s">
        <v>10300</v>
      </c>
    </row>
    <row r="2345" spans="2:5">
      <c r="B2345" s="410" t="s">
        <v>9836</v>
      </c>
      <c r="C2345" s="411">
        <v>16051</v>
      </c>
      <c r="D2345" s="412">
        <v>45440</v>
      </c>
      <c r="E2345" s="410" t="s">
        <v>10452</v>
      </c>
    </row>
    <row r="2346" spans="2:5">
      <c r="B2346" s="410" t="s">
        <v>9836</v>
      </c>
      <c r="C2346" s="411">
        <v>16043</v>
      </c>
      <c r="D2346" s="412">
        <v>45440</v>
      </c>
      <c r="E2346" s="410" t="s">
        <v>10301</v>
      </c>
    </row>
    <row r="2347" spans="2:5">
      <c r="B2347" s="410" t="s">
        <v>9836</v>
      </c>
      <c r="C2347" s="411">
        <v>16041</v>
      </c>
      <c r="D2347" s="412">
        <v>45440</v>
      </c>
      <c r="E2347" s="410" t="s">
        <v>10302</v>
      </c>
    </row>
    <row r="2348" spans="2:5">
      <c r="B2348" s="410" t="s">
        <v>9836</v>
      </c>
      <c r="C2348" s="411">
        <v>16039</v>
      </c>
      <c r="D2348" s="412">
        <v>45440</v>
      </c>
      <c r="E2348" s="410" t="s">
        <v>10303</v>
      </c>
    </row>
    <row r="2349" spans="2:5">
      <c r="B2349" s="410" t="s">
        <v>9836</v>
      </c>
      <c r="C2349" s="411">
        <v>16036</v>
      </c>
      <c r="D2349" s="412">
        <v>45440</v>
      </c>
      <c r="E2349" s="410" t="s">
        <v>10304</v>
      </c>
    </row>
    <row r="2350" spans="2:5">
      <c r="B2350" s="410" t="s">
        <v>9836</v>
      </c>
      <c r="C2350" s="411">
        <v>16030</v>
      </c>
      <c r="D2350" s="412">
        <v>45440</v>
      </c>
      <c r="E2350" s="410" t="s">
        <v>10305</v>
      </c>
    </row>
    <row r="2351" spans="2:5">
      <c r="B2351" s="410" t="s">
        <v>9836</v>
      </c>
      <c r="C2351" s="411">
        <v>16029</v>
      </c>
      <c r="D2351" s="412">
        <v>45440</v>
      </c>
      <c r="E2351" s="410" t="s">
        <v>10306</v>
      </c>
    </row>
    <row r="2352" spans="2:5">
      <c r="B2352" s="410" t="s">
        <v>9836</v>
      </c>
      <c r="C2352" s="411">
        <v>16027</v>
      </c>
      <c r="D2352" s="412">
        <v>45440</v>
      </c>
      <c r="E2352" s="410" t="s">
        <v>10307</v>
      </c>
    </row>
    <row r="2353" spans="2:5">
      <c r="B2353" s="410" t="s">
        <v>9836</v>
      </c>
      <c r="C2353" s="411">
        <v>16013</v>
      </c>
      <c r="D2353" s="412">
        <v>45440</v>
      </c>
      <c r="E2353" s="410" t="s">
        <v>10308</v>
      </c>
    </row>
    <row r="2354" spans="2:5">
      <c r="B2354" s="410" t="s">
        <v>9836</v>
      </c>
      <c r="C2354" s="411">
        <v>16012</v>
      </c>
      <c r="D2354" s="412">
        <v>45440</v>
      </c>
      <c r="E2354" s="410" t="s">
        <v>10309</v>
      </c>
    </row>
    <row r="2355" spans="2:5">
      <c r="B2355" s="410" t="s">
        <v>9836</v>
      </c>
      <c r="C2355" s="411">
        <v>16003</v>
      </c>
      <c r="D2355" s="412">
        <v>45440</v>
      </c>
      <c r="E2355" s="410" t="s">
        <v>10453</v>
      </c>
    </row>
    <row r="2356" spans="2:5">
      <c r="B2356" s="410" t="s">
        <v>9836</v>
      </c>
      <c r="C2356" s="411">
        <v>16002</v>
      </c>
      <c r="D2356" s="412">
        <v>45440</v>
      </c>
      <c r="E2356" s="410" t="s">
        <v>10310</v>
      </c>
    </row>
    <row r="2357" spans="2:5">
      <c r="B2357" s="410" t="s">
        <v>9836</v>
      </c>
      <c r="C2357" s="411">
        <v>16000</v>
      </c>
      <c r="D2357" s="412">
        <v>45440</v>
      </c>
      <c r="E2357" s="410" t="s">
        <v>10454</v>
      </c>
    </row>
    <row r="2358" spans="2:5">
      <c r="B2358" s="410" t="s">
        <v>9836</v>
      </c>
      <c r="C2358" s="411">
        <v>15994</v>
      </c>
      <c r="D2358" s="412">
        <v>45440</v>
      </c>
      <c r="E2358" s="410" t="s">
        <v>10311</v>
      </c>
    </row>
    <row r="2359" spans="2:5">
      <c r="B2359" s="410" t="s">
        <v>9836</v>
      </c>
      <c r="C2359" s="411">
        <v>15992</v>
      </c>
      <c r="D2359" s="412">
        <v>45440</v>
      </c>
      <c r="E2359" s="410" t="s">
        <v>10312</v>
      </c>
    </row>
    <row r="2360" spans="2:5">
      <c r="B2360" s="410" t="s">
        <v>9836</v>
      </c>
      <c r="C2360" s="411">
        <v>15991</v>
      </c>
      <c r="D2360" s="412">
        <v>45440</v>
      </c>
      <c r="E2360" s="410" t="s">
        <v>10313</v>
      </c>
    </row>
    <row r="2361" spans="2:5">
      <c r="B2361" s="410" t="s">
        <v>9836</v>
      </c>
      <c r="C2361" s="411">
        <v>15988</v>
      </c>
      <c r="D2361" s="412">
        <v>45440</v>
      </c>
      <c r="E2361" s="410" t="s">
        <v>10314</v>
      </c>
    </row>
    <row r="2362" spans="2:5">
      <c r="B2362" s="410" t="s">
        <v>9836</v>
      </c>
      <c r="C2362" s="411">
        <v>15986</v>
      </c>
      <c r="D2362" s="412">
        <v>45440</v>
      </c>
      <c r="E2362" s="410" t="s">
        <v>10315</v>
      </c>
    </row>
    <row r="2363" spans="2:5">
      <c r="B2363" s="410" t="s">
        <v>9836</v>
      </c>
      <c r="C2363" s="411">
        <v>15983</v>
      </c>
      <c r="D2363" s="412">
        <v>45440</v>
      </c>
      <c r="E2363" s="410" t="s">
        <v>10455</v>
      </c>
    </row>
    <row r="2364" spans="2:5">
      <c r="B2364" s="410" t="s">
        <v>9836</v>
      </c>
      <c r="C2364" s="411">
        <v>15979</v>
      </c>
      <c r="D2364" s="412">
        <v>45440</v>
      </c>
      <c r="E2364" s="410" t="s">
        <v>10316</v>
      </c>
    </row>
    <row r="2365" spans="2:5">
      <c r="B2365" s="410" t="s">
        <v>9836</v>
      </c>
      <c r="C2365" s="411">
        <v>15975</v>
      </c>
      <c r="D2365" s="412">
        <v>45440</v>
      </c>
      <c r="E2365" s="410" t="s">
        <v>10456</v>
      </c>
    </row>
    <row r="2366" spans="2:5">
      <c r="B2366" s="410" t="s">
        <v>9836</v>
      </c>
      <c r="C2366" s="411">
        <v>15973</v>
      </c>
      <c r="D2366" s="412">
        <v>45440</v>
      </c>
      <c r="E2366" s="410" t="s">
        <v>10457</v>
      </c>
    </row>
    <row r="2367" spans="2:5">
      <c r="B2367" s="410" t="s">
        <v>9836</v>
      </c>
      <c r="C2367" s="411">
        <v>15971</v>
      </c>
      <c r="D2367" s="412">
        <v>45440</v>
      </c>
      <c r="E2367" s="410" t="s">
        <v>10317</v>
      </c>
    </row>
    <row r="2368" spans="2:5">
      <c r="B2368" s="410" t="s">
        <v>9836</v>
      </c>
      <c r="C2368" s="411">
        <v>15956</v>
      </c>
      <c r="D2368" s="412">
        <v>45440</v>
      </c>
      <c r="E2368" s="410" t="s">
        <v>10458</v>
      </c>
    </row>
    <row r="2369" spans="2:5">
      <c r="B2369" s="410" t="s">
        <v>9836</v>
      </c>
      <c r="C2369" s="411">
        <v>15950</v>
      </c>
      <c r="D2369" s="412">
        <v>45440</v>
      </c>
      <c r="E2369" s="410" t="s">
        <v>10459</v>
      </c>
    </row>
    <row r="2370" spans="2:5">
      <c r="B2370" s="410" t="s">
        <v>9836</v>
      </c>
      <c r="C2370" s="411">
        <v>15943</v>
      </c>
      <c r="D2370" s="412">
        <v>45440</v>
      </c>
      <c r="E2370" s="410" t="s">
        <v>10318</v>
      </c>
    </row>
    <row r="2371" spans="2:5">
      <c r="B2371" s="410" t="s">
        <v>9836</v>
      </c>
      <c r="C2371" s="411">
        <v>15942</v>
      </c>
      <c r="D2371" s="412">
        <v>45440</v>
      </c>
      <c r="E2371" s="410" t="s">
        <v>10319</v>
      </c>
    </row>
    <row r="2372" spans="2:5">
      <c r="B2372" s="410" t="s">
        <v>9836</v>
      </c>
      <c r="C2372" s="411">
        <v>15941</v>
      </c>
      <c r="D2372" s="412">
        <v>45440</v>
      </c>
      <c r="E2372" s="410" t="s">
        <v>10460</v>
      </c>
    </row>
    <row r="2373" spans="2:5">
      <c r="B2373" s="410" t="s">
        <v>9836</v>
      </c>
      <c r="C2373" s="411">
        <v>15934</v>
      </c>
      <c r="D2373" s="412">
        <v>45440</v>
      </c>
      <c r="E2373" s="410" t="s">
        <v>10320</v>
      </c>
    </row>
    <row r="2374" spans="2:5">
      <c r="B2374" s="410" t="s">
        <v>9836</v>
      </c>
      <c r="C2374" s="411">
        <v>15928</v>
      </c>
      <c r="D2374" s="412">
        <v>45440</v>
      </c>
      <c r="E2374" s="410" t="s">
        <v>10461</v>
      </c>
    </row>
    <row r="2375" spans="2:5">
      <c r="B2375" s="410" t="s">
        <v>9836</v>
      </c>
      <c r="C2375" s="411">
        <v>15926</v>
      </c>
      <c r="D2375" s="412">
        <v>45440</v>
      </c>
      <c r="E2375" s="410" t="s">
        <v>10321</v>
      </c>
    </row>
    <row r="2376" spans="2:5">
      <c r="B2376" s="410" t="s">
        <v>9836</v>
      </c>
      <c r="C2376" s="411">
        <v>15925</v>
      </c>
      <c r="D2376" s="412">
        <v>45440</v>
      </c>
      <c r="E2376" s="410" t="s">
        <v>10462</v>
      </c>
    </row>
    <row r="2377" spans="2:5">
      <c r="B2377" s="410" t="s">
        <v>9836</v>
      </c>
      <c r="C2377" s="411">
        <v>15920</v>
      </c>
      <c r="D2377" s="412">
        <v>45440</v>
      </c>
      <c r="E2377" s="410" t="s">
        <v>10322</v>
      </c>
    </row>
    <row r="2378" spans="2:5">
      <c r="B2378" s="410" t="s">
        <v>9836</v>
      </c>
      <c r="C2378" s="411">
        <v>15913</v>
      </c>
      <c r="D2378" s="412">
        <v>45440</v>
      </c>
      <c r="E2378" s="410" t="s">
        <v>10323</v>
      </c>
    </row>
    <row r="2379" spans="2:5">
      <c r="B2379" s="410" t="s">
        <v>9836</v>
      </c>
      <c r="C2379" s="411">
        <v>15912</v>
      </c>
      <c r="D2379" s="412">
        <v>45440</v>
      </c>
      <c r="E2379" s="410" t="s">
        <v>10463</v>
      </c>
    </row>
    <row r="2380" spans="2:5">
      <c r="B2380" s="410" t="s">
        <v>9836</v>
      </c>
      <c r="C2380" s="411">
        <v>15911</v>
      </c>
      <c r="D2380" s="412">
        <v>45440</v>
      </c>
      <c r="E2380" s="410" t="s">
        <v>10324</v>
      </c>
    </row>
    <row r="2381" spans="2:5">
      <c r="B2381" s="410" t="s">
        <v>9836</v>
      </c>
      <c r="C2381" s="411">
        <v>15908</v>
      </c>
      <c r="D2381" s="412">
        <v>45440</v>
      </c>
      <c r="E2381" s="410" t="s">
        <v>10464</v>
      </c>
    </row>
    <row r="2382" spans="2:5">
      <c r="B2382" s="410" t="s">
        <v>9836</v>
      </c>
      <c r="C2382" s="411">
        <v>15903</v>
      </c>
      <c r="D2382" s="412">
        <v>45440</v>
      </c>
      <c r="E2382" s="410" t="s">
        <v>10325</v>
      </c>
    </row>
    <row r="2383" spans="2:5">
      <c r="B2383" s="410" t="s">
        <v>9836</v>
      </c>
      <c r="C2383" s="411">
        <v>15895</v>
      </c>
      <c r="D2383" s="412">
        <v>45440</v>
      </c>
      <c r="E2383" s="410" t="s">
        <v>10326</v>
      </c>
    </row>
    <row r="2384" spans="2:5">
      <c r="B2384" s="410" t="s">
        <v>9836</v>
      </c>
      <c r="C2384" s="411">
        <v>15894</v>
      </c>
      <c r="D2384" s="412">
        <v>45440</v>
      </c>
      <c r="E2384" s="410" t="s">
        <v>10465</v>
      </c>
    </row>
    <row r="2385" spans="2:5">
      <c r="B2385" s="410" t="s">
        <v>9836</v>
      </c>
      <c r="C2385" s="411">
        <v>15891</v>
      </c>
      <c r="D2385" s="412">
        <v>45440</v>
      </c>
      <c r="E2385" s="410" t="s">
        <v>10466</v>
      </c>
    </row>
    <row r="2386" spans="2:5">
      <c r="B2386" s="410" t="s">
        <v>9836</v>
      </c>
      <c r="C2386" s="411">
        <v>15885</v>
      </c>
      <c r="D2386" s="412">
        <v>45440</v>
      </c>
      <c r="E2386" s="410" t="s">
        <v>10327</v>
      </c>
    </row>
    <row r="2387" spans="2:5">
      <c r="B2387" s="410" t="s">
        <v>9836</v>
      </c>
      <c r="C2387" s="411">
        <v>15882</v>
      </c>
      <c r="D2387" s="412">
        <v>45440</v>
      </c>
      <c r="E2387" s="410" t="s">
        <v>10328</v>
      </c>
    </row>
    <row r="2388" spans="2:5">
      <c r="B2388" s="410" t="s">
        <v>9836</v>
      </c>
      <c r="C2388" s="411">
        <v>15881</v>
      </c>
      <c r="D2388" s="412">
        <v>45440</v>
      </c>
      <c r="E2388" s="410" t="s">
        <v>10467</v>
      </c>
    </row>
    <row r="2389" spans="2:5">
      <c r="B2389" s="410" t="s">
        <v>9836</v>
      </c>
      <c r="C2389" s="411">
        <v>15877</v>
      </c>
      <c r="D2389" s="412">
        <v>45440</v>
      </c>
      <c r="E2389" s="410" t="s">
        <v>10329</v>
      </c>
    </row>
    <row r="2390" spans="2:5">
      <c r="B2390" s="410" t="s">
        <v>9836</v>
      </c>
      <c r="C2390" s="411">
        <v>15871</v>
      </c>
      <c r="D2390" s="412">
        <v>45440</v>
      </c>
      <c r="E2390" s="410" t="s">
        <v>10330</v>
      </c>
    </row>
    <row r="2391" spans="2:5">
      <c r="B2391" s="410" t="s">
        <v>9836</v>
      </c>
      <c r="C2391" s="411">
        <v>15868</v>
      </c>
      <c r="D2391" s="412">
        <v>45440</v>
      </c>
      <c r="E2391" s="410" t="s">
        <v>10468</v>
      </c>
    </row>
    <row r="2392" spans="2:5">
      <c r="B2392" s="410" t="s">
        <v>9836</v>
      </c>
      <c r="C2392" s="411">
        <v>15861</v>
      </c>
      <c r="D2392" s="412">
        <v>45440</v>
      </c>
      <c r="E2392" s="410" t="s">
        <v>10331</v>
      </c>
    </row>
    <row r="2393" spans="2:5">
      <c r="B2393" s="410" t="s">
        <v>9836</v>
      </c>
      <c r="C2393" s="411">
        <v>15842</v>
      </c>
      <c r="D2393" s="412">
        <v>45440</v>
      </c>
      <c r="E2393" s="410" t="s">
        <v>10469</v>
      </c>
    </row>
    <row r="2394" spans="2:5">
      <c r="B2394" s="410" t="s">
        <v>9836</v>
      </c>
      <c r="C2394" s="411">
        <v>15840</v>
      </c>
      <c r="D2394" s="412">
        <v>45440</v>
      </c>
      <c r="E2394" s="410" t="s">
        <v>10470</v>
      </c>
    </row>
    <row r="2395" spans="2:5">
      <c r="B2395" s="410" t="s">
        <v>9836</v>
      </c>
      <c r="C2395" s="411">
        <v>15834</v>
      </c>
      <c r="D2395" s="412">
        <v>45440</v>
      </c>
      <c r="E2395" s="410" t="s">
        <v>10471</v>
      </c>
    </row>
    <row r="2396" spans="2:5">
      <c r="B2396" s="410" t="s">
        <v>9836</v>
      </c>
      <c r="C2396" s="411">
        <v>15831</v>
      </c>
      <c r="D2396" s="412">
        <v>45440</v>
      </c>
      <c r="E2396" s="410" t="s">
        <v>10472</v>
      </c>
    </row>
    <row r="2397" spans="2:5">
      <c r="B2397" s="410" t="s">
        <v>9836</v>
      </c>
      <c r="C2397" s="411">
        <v>15829</v>
      </c>
      <c r="D2397" s="412">
        <v>45440</v>
      </c>
      <c r="E2397" s="410" t="s">
        <v>10332</v>
      </c>
    </row>
    <row r="2398" spans="2:5">
      <c r="B2398" s="410" t="s">
        <v>9836</v>
      </c>
      <c r="C2398" s="411">
        <v>15824</v>
      </c>
      <c r="D2398" s="412">
        <v>45440</v>
      </c>
      <c r="E2398" s="410" t="s">
        <v>10333</v>
      </c>
    </row>
    <row r="2399" spans="2:5">
      <c r="B2399" s="410" t="s">
        <v>9836</v>
      </c>
      <c r="C2399" s="411">
        <v>15821</v>
      </c>
      <c r="D2399" s="412">
        <v>45440</v>
      </c>
      <c r="E2399" s="410" t="s">
        <v>10473</v>
      </c>
    </row>
    <row r="2400" spans="2:5">
      <c r="B2400" s="410" t="s">
        <v>9836</v>
      </c>
      <c r="C2400" s="411">
        <v>15816</v>
      </c>
      <c r="D2400" s="412">
        <v>45440</v>
      </c>
      <c r="E2400" s="410" t="s">
        <v>10474</v>
      </c>
    </row>
    <row r="2401" spans="2:7">
      <c r="B2401" s="410" t="s">
        <v>9836</v>
      </c>
      <c r="C2401" s="411">
        <v>15815</v>
      </c>
      <c r="D2401" s="412">
        <v>45440</v>
      </c>
      <c r="E2401" s="410" t="s">
        <v>10475</v>
      </c>
    </row>
    <row r="2402" spans="2:7">
      <c r="B2402" s="410" t="s">
        <v>9836</v>
      </c>
      <c r="C2402" s="411">
        <v>15805</v>
      </c>
      <c r="D2402" s="412">
        <v>45440</v>
      </c>
      <c r="E2402" s="410" t="s">
        <v>10476</v>
      </c>
    </row>
    <row r="2403" spans="2:7">
      <c r="B2403" s="410" t="s">
        <v>9836</v>
      </c>
      <c r="C2403" s="411">
        <v>15793</v>
      </c>
      <c r="D2403" s="412">
        <v>45440</v>
      </c>
      <c r="E2403" s="410" t="s">
        <v>10477</v>
      </c>
    </row>
    <row r="2404" spans="2:7">
      <c r="B2404" s="410" t="s">
        <v>9836</v>
      </c>
      <c r="C2404" s="411">
        <v>15789</v>
      </c>
      <c r="D2404" s="412">
        <v>45440</v>
      </c>
      <c r="E2404" s="410" t="s">
        <v>10478</v>
      </c>
    </row>
    <row r="2405" spans="2:7">
      <c r="B2405" s="410" t="s">
        <v>9836</v>
      </c>
      <c r="C2405" s="411">
        <v>15788</v>
      </c>
      <c r="D2405" s="412">
        <v>45440</v>
      </c>
      <c r="E2405" s="410" t="s">
        <v>10479</v>
      </c>
    </row>
    <row r="2406" spans="2:7">
      <c r="B2406" s="410" t="s">
        <v>9836</v>
      </c>
      <c r="C2406" s="411">
        <v>15780</v>
      </c>
      <c r="D2406" s="412">
        <v>45440</v>
      </c>
      <c r="E2406" s="410" t="s">
        <v>10480</v>
      </c>
    </row>
    <row r="2407" spans="2:7">
      <c r="B2407" s="410" t="s">
        <v>9836</v>
      </c>
      <c r="C2407" s="411">
        <v>15778</v>
      </c>
      <c r="D2407" s="412">
        <v>45440</v>
      </c>
      <c r="E2407" s="410" t="s">
        <v>10481</v>
      </c>
    </row>
    <row r="2408" spans="2:7">
      <c r="B2408" s="410" t="s">
        <v>9836</v>
      </c>
      <c r="C2408" s="411">
        <v>15773</v>
      </c>
      <c r="D2408" s="412">
        <v>45440</v>
      </c>
      <c r="E2408" s="410" t="s">
        <v>10482</v>
      </c>
    </row>
    <row r="2409" spans="2:7">
      <c r="B2409" s="410" t="s">
        <v>9836</v>
      </c>
      <c r="C2409" s="411">
        <v>15771</v>
      </c>
      <c r="D2409" s="412">
        <v>45440</v>
      </c>
      <c r="E2409" s="410" t="s">
        <v>10483</v>
      </c>
    </row>
    <row r="2410" spans="2:7">
      <c r="B2410" s="410" t="s">
        <v>9836</v>
      </c>
      <c r="C2410" s="411">
        <v>15768</v>
      </c>
      <c r="D2410" s="412">
        <v>45439</v>
      </c>
      <c r="E2410" s="410" t="s">
        <v>9962</v>
      </c>
    </row>
    <row r="2411" spans="2:7">
      <c r="B2411" s="410" t="s">
        <v>9836</v>
      </c>
      <c r="C2411" s="411">
        <v>15767</v>
      </c>
      <c r="D2411" s="412">
        <v>45439</v>
      </c>
      <c r="E2411" s="410" t="s">
        <v>9838</v>
      </c>
      <c r="F2411" s="410">
        <v>3</v>
      </c>
      <c r="G2411" s="410" t="s">
        <v>10059</v>
      </c>
    </row>
    <row r="2412" spans="2:7">
      <c r="B2412" s="410" t="s">
        <v>9836</v>
      </c>
      <c r="C2412" s="411">
        <v>15765</v>
      </c>
      <c r="D2412" s="412">
        <v>45439</v>
      </c>
      <c r="E2412" s="410" t="s">
        <v>9963</v>
      </c>
    </row>
    <row r="2413" spans="2:7">
      <c r="B2413" s="410" t="s">
        <v>9836</v>
      </c>
      <c r="C2413" s="411">
        <v>15756</v>
      </c>
      <c r="D2413" s="412">
        <v>45439</v>
      </c>
      <c r="E2413" s="410" t="s">
        <v>9839</v>
      </c>
      <c r="F2413" s="410">
        <v>5</v>
      </c>
      <c r="G2413" s="410" t="s">
        <v>10060</v>
      </c>
    </row>
    <row r="2414" spans="2:7">
      <c r="B2414" s="410" t="s">
        <v>9836</v>
      </c>
      <c r="C2414" s="411">
        <v>15754</v>
      </c>
      <c r="D2414" s="412">
        <v>45439</v>
      </c>
      <c r="E2414" s="410" t="s">
        <v>9964</v>
      </c>
    </row>
    <row r="2415" spans="2:7">
      <c r="B2415" s="410" t="s">
        <v>9836</v>
      </c>
      <c r="C2415" s="411">
        <v>15750</v>
      </c>
      <c r="D2415" s="412">
        <v>45439</v>
      </c>
      <c r="E2415" s="410" t="s">
        <v>9965</v>
      </c>
    </row>
    <row r="2416" spans="2:7">
      <c r="B2416" s="410" t="s">
        <v>9836</v>
      </c>
      <c r="C2416" s="411">
        <v>15744</v>
      </c>
      <c r="D2416" s="412">
        <v>45439</v>
      </c>
      <c r="E2416" s="410" t="s">
        <v>9840</v>
      </c>
      <c r="F2416" s="410">
        <v>3</v>
      </c>
      <c r="G2416" s="410" t="s">
        <v>10061</v>
      </c>
    </row>
    <row r="2417" spans="2:7">
      <c r="B2417" s="410" t="s">
        <v>9836</v>
      </c>
      <c r="C2417" s="411">
        <v>15743</v>
      </c>
      <c r="D2417" s="412">
        <v>45439</v>
      </c>
      <c r="E2417" s="410" t="s">
        <v>9841</v>
      </c>
      <c r="F2417" s="410">
        <v>5</v>
      </c>
      <c r="G2417" s="410" t="s">
        <v>10060</v>
      </c>
    </row>
    <row r="2418" spans="2:7">
      <c r="B2418" s="410" t="s">
        <v>9836</v>
      </c>
      <c r="C2418" s="411">
        <v>15739</v>
      </c>
      <c r="D2418" s="412">
        <v>45439</v>
      </c>
      <c r="E2418" s="410" t="s">
        <v>9966</v>
      </c>
    </row>
    <row r="2419" spans="2:7">
      <c r="B2419" s="410" t="s">
        <v>9836</v>
      </c>
      <c r="C2419" s="411">
        <v>15732</v>
      </c>
      <c r="D2419" s="412">
        <v>45439</v>
      </c>
      <c r="E2419" s="410" t="s">
        <v>9842</v>
      </c>
      <c r="F2419" s="410">
        <v>2</v>
      </c>
      <c r="G2419" s="410" t="s">
        <v>10062</v>
      </c>
    </row>
    <row r="2420" spans="2:7">
      <c r="B2420" s="410" t="s">
        <v>9836</v>
      </c>
      <c r="C2420" s="411">
        <v>15731</v>
      </c>
      <c r="D2420" s="412">
        <v>45439</v>
      </c>
      <c r="E2420" s="410" t="s">
        <v>9843</v>
      </c>
      <c r="F2420" s="410">
        <v>4</v>
      </c>
      <c r="G2420" s="410" t="s">
        <v>10063</v>
      </c>
    </row>
    <row r="2421" spans="2:7">
      <c r="B2421" s="410" t="s">
        <v>9836</v>
      </c>
      <c r="C2421" s="411">
        <v>15729</v>
      </c>
      <c r="D2421" s="412">
        <v>45439</v>
      </c>
      <c r="E2421" s="410" t="s">
        <v>9967</v>
      </c>
    </row>
    <row r="2422" spans="2:7">
      <c r="B2422" s="410" t="s">
        <v>9836</v>
      </c>
      <c r="C2422" s="411">
        <v>15727</v>
      </c>
      <c r="D2422" s="412">
        <v>45439</v>
      </c>
      <c r="E2422" s="410" t="s">
        <v>9968</v>
      </c>
    </row>
    <row r="2423" spans="2:7">
      <c r="B2423" s="410" t="s">
        <v>9836</v>
      </c>
      <c r="C2423" s="411">
        <v>15723</v>
      </c>
      <c r="D2423" s="412">
        <v>45439</v>
      </c>
      <c r="E2423" s="410" t="s">
        <v>9969</v>
      </c>
    </row>
    <row r="2424" spans="2:7">
      <c r="B2424" s="410" t="s">
        <v>9836</v>
      </c>
      <c r="C2424" s="411">
        <v>15722</v>
      </c>
      <c r="D2424" s="412">
        <v>45439</v>
      </c>
      <c r="E2424" s="410" t="s">
        <v>9844</v>
      </c>
      <c r="F2424" s="410">
        <v>3</v>
      </c>
      <c r="G2424" s="410" t="s">
        <v>10064</v>
      </c>
    </row>
    <row r="2425" spans="2:7">
      <c r="B2425" s="410" t="s">
        <v>9836</v>
      </c>
      <c r="C2425" s="411">
        <v>15719</v>
      </c>
      <c r="D2425" s="412">
        <v>45439</v>
      </c>
      <c r="E2425" s="410" t="s">
        <v>9970</v>
      </c>
    </row>
    <row r="2426" spans="2:7">
      <c r="B2426" s="410" t="s">
        <v>9836</v>
      </c>
      <c r="C2426" s="411">
        <v>15712</v>
      </c>
      <c r="D2426" s="412">
        <v>45439</v>
      </c>
      <c r="E2426" s="410" t="s">
        <v>9971</v>
      </c>
    </row>
    <row r="2427" spans="2:7">
      <c r="B2427" s="410" t="s">
        <v>9836</v>
      </c>
      <c r="C2427" s="411">
        <v>15709</v>
      </c>
      <c r="D2427" s="412">
        <v>45439</v>
      </c>
      <c r="E2427" s="410" t="s">
        <v>9845</v>
      </c>
      <c r="F2427" s="410">
        <v>3</v>
      </c>
      <c r="G2427" s="410" t="s">
        <v>10065</v>
      </c>
    </row>
    <row r="2428" spans="2:7" s="49" customFormat="1">
      <c r="B2428" s="49" t="s">
        <v>9836</v>
      </c>
      <c r="C2428" s="413">
        <v>15706</v>
      </c>
      <c r="D2428" s="414">
        <v>45439</v>
      </c>
      <c r="E2428" s="49" t="s">
        <v>9846</v>
      </c>
      <c r="F2428" s="49">
        <v>7</v>
      </c>
      <c r="G2428" s="49" t="s">
        <v>10066</v>
      </c>
    </row>
    <row r="2429" spans="2:7">
      <c r="B2429" s="410" t="s">
        <v>9836</v>
      </c>
      <c r="C2429" s="411">
        <v>15699</v>
      </c>
      <c r="D2429" s="412">
        <v>45439</v>
      </c>
      <c r="E2429" s="410" t="s">
        <v>9972</v>
      </c>
    </row>
    <row r="2430" spans="2:7">
      <c r="B2430" s="410" t="s">
        <v>9836</v>
      </c>
      <c r="C2430" s="411">
        <v>15687</v>
      </c>
      <c r="D2430" s="412">
        <v>45439</v>
      </c>
      <c r="E2430" s="410" t="s">
        <v>9973</v>
      </c>
    </row>
    <row r="2431" spans="2:7">
      <c r="B2431" s="410" t="s">
        <v>9836</v>
      </c>
      <c r="C2431" s="411">
        <v>15682</v>
      </c>
      <c r="D2431" s="412">
        <v>45439</v>
      </c>
      <c r="E2431" s="410" t="s">
        <v>9847</v>
      </c>
      <c r="F2431" s="410">
        <v>4</v>
      </c>
      <c r="G2431" s="410" t="s">
        <v>10067</v>
      </c>
    </row>
    <row r="2432" spans="2:7">
      <c r="B2432" s="410" t="s">
        <v>9836</v>
      </c>
      <c r="C2432" s="411">
        <v>15676</v>
      </c>
      <c r="D2432" s="412">
        <v>45439</v>
      </c>
      <c r="E2432" s="410" t="s">
        <v>9974</v>
      </c>
    </row>
    <row r="2433" spans="2:7">
      <c r="B2433" s="410" t="s">
        <v>9836</v>
      </c>
      <c r="C2433" s="411">
        <v>15673</v>
      </c>
      <c r="D2433" s="412">
        <v>45439</v>
      </c>
      <c r="E2433" s="410" t="s">
        <v>9848</v>
      </c>
      <c r="F2433" s="410">
        <v>3</v>
      </c>
      <c r="G2433" s="410" t="s">
        <v>10068</v>
      </c>
    </row>
    <row r="2434" spans="2:7">
      <c r="B2434" s="410" t="s">
        <v>9836</v>
      </c>
      <c r="C2434" s="411">
        <v>15662</v>
      </c>
      <c r="D2434" s="412">
        <v>45439</v>
      </c>
      <c r="E2434" s="410" t="s">
        <v>9849</v>
      </c>
      <c r="F2434" s="410">
        <v>3</v>
      </c>
      <c r="G2434" s="410" t="s">
        <v>10069</v>
      </c>
    </row>
    <row r="2435" spans="2:7">
      <c r="B2435" s="410" t="s">
        <v>9836</v>
      </c>
      <c r="C2435" s="411">
        <v>15655</v>
      </c>
      <c r="D2435" s="412">
        <v>45439</v>
      </c>
      <c r="E2435" s="49" t="s">
        <v>9975</v>
      </c>
    </row>
    <row r="2436" spans="2:7">
      <c r="B2436" s="410" t="s">
        <v>9836</v>
      </c>
      <c r="C2436" s="411">
        <v>15644</v>
      </c>
      <c r="D2436" s="412">
        <v>45439</v>
      </c>
      <c r="E2436" s="410" t="s">
        <v>9850</v>
      </c>
      <c r="F2436" s="410">
        <v>4</v>
      </c>
      <c r="G2436" s="410" t="s">
        <v>10061</v>
      </c>
    </row>
    <row r="2437" spans="2:7">
      <c r="B2437" s="410" t="s">
        <v>9836</v>
      </c>
      <c r="C2437" s="411">
        <v>15643</v>
      </c>
      <c r="D2437" s="412">
        <v>45439</v>
      </c>
      <c r="E2437" s="410" t="s">
        <v>9976</v>
      </c>
    </row>
    <row r="2438" spans="2:7">
      <c r="B2438" s="410" t="s">
        <v>9836</v>
      </c>
      <c r="C2438" s="411">
        <v>15642</v>
      </c>
      <c r="D2438" s="412">
        <v>45439</v>
      </c>
      <c r="E2438" s="410" t="s">
        <v>9851</v>
      </c>
      <c r="F2438" s="410">
        <v>3</v>
      </c>
      <c r="G2438" s="410" t="s">
        <v>10070</v>
      </c>
    </row>
    <row r="2439" spans="2:7">
      <c r="B2439" s="410" t="s">
        <v>9836</v>
      </c>
      <c r="C2439" s="411">
        <v>15636</v>
      </c>
      <c r="D2439" s="412">
        <v>45439</v>
      </c>
      <c r="E2439" s="410" t="s">
        <v>9977</v>
      </c>
    </row>
    <row r="2440" spans="2:7">
      <c r="B2440" s="410" t="s">
        <v>9836</v>
      </c>
      <c r="C2440" s="411">
        <v>15632</v>
      </c>
      <c r="D2440" s="412">
        <v>45439</v>
      </c>
      <c r="E2440" s="410" t="s">
        <v>9852</v>
      </c>
      <c r="F2440" s="410">
        <v>3</v>
      </c>
      <c r="G2440" s="410" t="s">
        <v>10061</v>
      </c>
    </row>
    <row r="2441" spans="2:7">
      <c r="B2441" s="410" t="s">
        <v>9836</v>
      </c>
      <c r="C2441" s="411">
        <v>15625</v>
      </c>
      <c r="D2441" s="412">
        <v>45439</v>
      </c>
      <c r="E2441" s="410" t="s">
        <v>9978</v>
      </c>
    </row>
    <row r="2442" spans="2:7">
      <c r="B2442" s="410" t="s">
        <v>9836</v>
      </c>
      <c r="C2442" s="411">
        <v>15624</v>
      </c>
      <c r="D2442" s="412">
        <v>45439</v>
      </c>
      <c r="E2442" s="410" t="s">
        <v>9853</v>
      </c>
      <c r="F2442" s="410">
        <v>3</v>
      </c>
      <c r="G2442" s="410" t="s">
        <v>10071</v>
      </c>
    </row>
    <row r="2443" spans="2:7">
      <c r="B2443" s="410" t="s">
        <v>9836</v>
      </c>
      <c r="C2443" s="411">
        <v>15618</v>
      </c>
      <c r="D2443" s="412">
        <v>45439</v>
      </c>
      <c r="E2443" s="410" t="s">
        <v>9854</v>
      </c>
      <c r="F2443" s="410">
        <v>4</v>
      </c>
      <c r="G2443" s="410" t="s">
        <v>10072</v>
      </c>
    </row>
    <row r="2444" spans="2:7">
      <c r="B2444" s="410" t="s">
        <v>9836</v>
      </c>
      <c r="C2444" s="411">
        <v>15616</v>
      </c>
      <c r="D2444" s="412">
        <v>45439</v>
      </c>
      <c r="E2444" s="410" t="s">
        <v>9979</v>
      </c>
    </row>
    <row r="2445" spans="2:7">
      <c r="B2445" s="410" t="s">
        <v>9836</v>
      </c>
      <c r="C2445" s="411">
        <v>15613</v>
      </c>
      <c r="D2445" s="412">
        <v>45439</v>
      </c>
      <c r="E2445" s="410" t="s">
        <v>9855</v>
      </c>
      <c r="F2445" s="410">
        <v>5</v>
      </c>
      <c r="G2445" s="410" t="s">
        <v>10073</v>
      </c>
    </row>
    <row r="2446" spans="2:7">
      <c r="B2446" s="410" t="s">
        <v>9836</v>
      </c>
      <c r="C2446" s="411">
        <v>15605</v>
      </c>
      <c r="D2446" s="412">
        <v>45439</v>
      </c>
      <c r="E2446" s="410" t="s">
        <v>9856</v>
      </c>
      <c r="F2446" s="410">
        <v>4</v>
      </c>
      <c r="G2446" s="410" t="s">
        <v>10074</v>
      </c>
    </row>
    <row r="2447" spans="2:7">
      <c r="B2447" s="410" t="s">
        <v>9836</v>
      </c>
      <c r="C2447" s="411">
        <v>15603</v>
      </c>
      <c r="D2447" s="412">
        <v>45439</v>
      </c>
      <c r="E2447" s="410" t="s">
        <v>9857</v>
      </c>
      <c r="F2447" s="410">
        <v>3</v>
      </c>
      <c r="G2447" s="410" t="s">
        <v>10075</v>
      </c>
    </row>
    <row r="2448" spans="2:7">
      <c r="B2448" s="410" t="s">
        <v>9836</v>
      </c>
      <c r="C2448" s="411">
        <v>15600</v>
      </c>
      <c r="D2448" s="412">
        <v>45439</v>
      </c>
      <c r="E2448" s="410" t="s">
        <v>9980</v>
      </c>
    </row>
    <row r="2449" spans="2:7">
      <c r="B2449" s="410" t="s">
        <v>9836</v>
      </c>
      <c r="C2449" s="411">
        <v>15599</v>
      </c>
      <c r="D2449" s="412">
        <v>45439</v>
      </c>
      <c r="E2449" s="410" t="s">
        <v>9858</v>
      </c>
      <c r="F2449" s="410">
        <v>2</v>
      </c>
      <c r="G2449" s="410" t="s">
        <v>10076</v>
      </c>
    </row>
    <row r="2450" spans="2:7">
      <c r="B2450" s="410" t="s">
        <v>9836</v>
      </c>
      <c r="C2450" s="411">
        <v>15598</v>
      </c>
      <c r="D2450" s="412">
        <v>45439</v>
      </c>
      <c r="E2450" s="410" t="s">
        <v>9859</v>
      </c>
      <c r="F2450" s="410">
        <v>5</v>
      </c>
      <c r="G2450" s="410" t="s">
        <v>10077</v>
      </c>
    </row>
    <row r="2451" spans="2:7">
      <c r="B2451" s="410" t="s">
        <v>9836</v>
      </c>
      <c r="C2451" s="411">
        <v>15593</v>
      </c>
      <c r="D2451" s="412">
        <v>45439</v>
      </c>
      <c r="E2451" s="410" t="s">
        <v>9860</v>
      </c>
      <c r="F2451" s="410">
        <v>4</v>
      </c>
      <c r="G2451" s="410" t="s">
        <v>10078</v>
      </c>
    </row>
    <row r="2452" spans="2:7">
      <c r="B2452" s="410" t="s">
        <v>9836</v>
      </c>
      <c r="C2452" s="411">
        <v>15589</v>
      </c>
      <c r="D2452" s="412">
        <v>45439</v>
      </c>
      <c r="E2452" s="410" t="s">
        <v>9861</v>
      </c>
      <c r="F2452" s="410">
        <v>2</v>
      </c>
      <c r="G2452" s="410" t="s">
        <v>10079</v>
      </c>
    </row>
    <row r="2453" spans="2:7">
      <c r="B2453" s="410" t="s">
        <v>9836</v>
      </c>
      <c r="C2453" s="411">
        <v>15586</v>
      </c>
      <c r="D2453" s="412">
        <v>45439</v>
      </c>
      <c r="E2453" s="410" t="s">
        <v>9862</v>
      </c>
      <c r="F2453" s="410">
        <v>3</v>
      </c>
      <c r="G2453" s="410" t="s">
        <v>10080</v>
      </c>
    </row>
    <row r="2454" spans="2:7">
      <c r="B2454" s="410" t="s">
        <v>9836</v>
      </c>
      <c r="C2454" s="411">
        <v>15583</v>
      </c>
      <c r="D2454" s="412">
        <v>45439</v>
      </c>
      <c r="E2454" s="410" t="s">
        <v>9863</v>
      </c>
      <c r="F2454" s="410">
        <v>3</v>
      </c>
      <c r="G2454" s="410" t="s">
        <v>10081</v>
      </c>
    </row>
    <row r="2455" spans="2:7">
      <c r="B2455" s="410" t="s">
        <v>9836</v>
      </c>
      <c r="C2455" s="411">
        <v>15579</v>
      </c>
      <c r="D2455" s="412">
        <v>45439</v>
      </c>
      <c r="E2455" s="410" t="s">
        <v>9981</v>
      </c>
    </row>
    <row r="2456" spans="2:7">
      <c r="B2456" s="410" t="s">
        <v>9836</v>
      </c>
      <c r="C2456" s="411">
        <v>15564</v>
      </c>
      <c r="D2456" s="412">
        <v>45439</v>
      </c>
      <c r="E2456" s="410" t="s">
        <v>9864</v>
      </c>
      <c r="F2456" s="410">
        <v>3</v>
      </c>
      <c r="G2456" s="410" t="s">
        <v>10082</v>
      </c>
    </row>
    <row r="2457" spans="2:7">
      <c r="B2457" s="410" t="s">
        <v>9836</v>
      </c>
      <c r="C2457" s="411">
        <v>15557</v>
      </c>
      <c r="D2457" s="412">
        <v>45439</v>
      </c>
      <c r="E2457" s="410" t="s">
        <v>9865</v>
      </c>
      <c r="F2457" s="410">
        <v>3</v>
      </c>
      <c r="G2457" s="410" t="s">
        <v>10082</v>
      </c>
    </row>
    <row r="2458" spans="2:7">
      <c r="B2458" s="410" t="s">
        <v>9836</v>
      </c>
      <c r="C2458" s="411">
        <v>15556</v>
      </c>
      <c r="D2458" s="412">
        <v>45439</v>
      </c>
      <c r="E2458" s="410" t="s">
        <v>9866</v>
      </c>
      <c r="F2458" s="410">
        <v>3</v>
      </c>
      <c r="G2458" s="410" t="s">
        <v>10083</v>
      </c>
    </row>
    <row r="2459" spans="2:7">
      <c r="B2459" s="49" t="s">
        <v>9836</v>
      </c>
      <c r="C2459" s="413">
        <v>15551</v>
      </c>
      <c r="D2459" s="414">
        <v>45439</v>
      </c>
      <c r="E2459" s="49" t="s">
        <v>9867</v>
      </c>
      <c r="F2459" s="49">
        <v>7</v>
      </c>
      <c r="G2459" s="49" t="s">
        <v>10084</v>
      </c>
    </row>
    <row r="2460" spans="2:7">
      <c r="B2460" s="410" t="s">
        <v>9836</v>
      </c>
      <c r="C2460" s="411">
        <v>15545</v>
      </c>
      <c r="D2460" s="412">
        <v>45439</v>
      </c>
      <c r="E2460" s="410" t="s">
        <v>9982</v>
      </c>
    </row>
    <row r="2461" spans="2:7">
      <c r="B2461" s="410" t="s">
        <v>9836</v>
      </c>
      <c r="C2461" s="411">
        <v>15544</v>
      </c>
      <c r="D2461" s="412">
        <v>45439</v>
      </c>
      <c r="E2461" s="410" t="s">
        <v>9983</v>
      </c>
    </row>
    <row r="2462" spans="2:7">
      <c r="B2462" s="410" t="s">
        <v>9836</v>
      </c>
      <c r="C2462" s="411">
        <v>15542</v>
      </c>
      <c r="D2462" s="412">
        <v>45439</v>
      </c>
      <c r="E2462" s="410" t="s">
        <v>9984</v>
      </c>
    </row>
    <row r="2463" spans="2:7">
      <c r="B2463" s="410" t="s">
        <v>9836</v>
      </c>
      <c r="C2463" s="411">
        <v>15540</v>
      </c>
      <c r="D2463" s="412">
        <v>45439</v>
      </c>
      <c r="E2463" s="410" t="s">
        <v>9868</v>
      </c>
      <c r="F2463" s="410">
        <v>5</v>
      </c>
      <c r="G2463" s="410" t="s">
        <v>10085</v>
      </c>
    </row>
    <row r="2464" spans="2:7">
      <c r="B2464" s="410" t="s">
        <v>9836</v>
      </c>
      <c r="C2464" s="411">
        <v>15539</v>
      </c>
      <c r="D2464" s="412">
        <v>45439</v>
      </c>
      <c r="E2464" s="410" t="s">
        <v>9985</v>
      </c>
    </row>
    <row r="2465" spans="2:7">
      <c r="B2465" s="410" t="s">
        <v>9836</v>
      </c>
      <c r="C2465" s="411">
        <v>15524</v>
      </c>
      <c r="D2465" s="412">
        <v>45439</v>
      </c>
      <c r="E2465" s="410" t="s">
        <v>9986</v>
      </c>
    </row>
    <row r="2466" spans="2:7">
      <c r="B2466" s="410" t="s">
        <v>9836</v>
      </c>
      <c r="C2466" s="411">
        <v>15523</v>
      </c>
      <c r="D2466" s="412">
        <v>45439</v>
      </c>
      <c r="E2466" s="410" t="s">
        <v>9987</v>
      </c>
    </row>
    <row r="2467" spans="2:7">
      <c r="B2467" s="410" t="s">
        <v>9836</v>
      </c>
      <c r="C2467" s="411">
        <v>15517</v>
      </c>
      <c r="D2467" s="412">
        <v>45439</v>
      </c>
      <c r="E2467" s="410" t="s">
        <v>9988</v>
      </c>
    </row>
    <row r="2468" spans="2:7">
      <c r="B2468" s="410" t="s">
        <v>9836</v>
      </c>
      <c r="C2468" s="411">
        <v>15514</v>
      </c>
      <c r="D2468" s="412">
        <v>45439</v>
      </c>
      <c r="E2468" s="410" t="s">
        <v>9989</v>
      </c>
    </row>
    <row r="2469" spans="2:7">
      <c r="B2469" s="410" t="s">
        <v>9836</v>
      </c>
      <c r="C2469" s="411">
        <v>15512</v>
      </c>
      <c r="D2469" s="412">
        <v>45439</v>
      </c>
      <c r="E2469" s="410" t="s">
        <v>9869</v>
      </c>
      <c r="F2469" s="410">
        <v>3</v>
      </c>
      <c r="G2469" s="410" t="s">
        <v>10086</v>
      </c>
    </row>
    <row r="2470" spans="2:7">
      <c r="B2470" s="410" t="s">
        <v>9836</v>
      </c>
      <c r="C2470" s="411">
        <v>15509</v>
      </c>
      <c r="D2470" s="412">
        <v>45439</v>
      </c>
      <c r="E2470" s="410" t="s">
        <v>9990</v>
      </c>
    </row>
    <row r="2471" spans="2:7">
      <c r="B2471" s="410" t="s">
        <v>9836</v>
      </c>
      <c r="C2471" s="411">
        <v>15508</v>
      </c>
      <c r="D2471" s="412">
        <v>45439</v>
      </c>
      <c r="E2471" s="410" t="s">
        <v>9991</v>
      </c>
    </row>
    <row r="2472" spans="2:7" s="49" customFormat="1">
      <c r="B2472" s="49" t="s">
        <v>9836</v>
      </c>
      <c r="C2472" s="413">
        <v>15506</v>
      </c>
      <c r="D2472" s="414">
        <v>45439</v>
      </c>
      <c r="E2472" s="49" t="s">
        <v>9870</v>
      </c>
      <c r="F2472" s="49">
        <v>9</v>
      </c>
      <c r="G2472" s="49" t="s">
        <v>10087</v>
      </c>
    </row>
    <row r="2473" spans="2:7">
      <c r="B2473" s="410" t="s">
        <v>9836</v>
      </c>
      <c r="C2473" s="411">
        <v>15505</v>
      </c>
      <c r="D2473" s="412">
        <v>45439</v>
      </c>
      <c r="E2473" s="410" t="s">
        <v>9871</v>
      </c>
      <c r="F2473" s="410">
        <v>4</v>
      </c>
      <c r="G2473" s="410" t="s">
        <v>10088</v>
      </c>
    </row>
    <row r="2474" spans="2:7">
      <c r="B2474" s="410" t="s">
        <v>9836</v>
      </c>
      <c r="C2474" s="411">
        <v>15500</v>
      </c>
      <c r="D2474" s="412">
        <v>45439</v>
      </c>
      <c r="E2474" s="410" t="s">
        <v>9992</v>
      </c>
    </row>
    <row r="2475" spans="2:7">
      <c r="B2475" s="410" t="s">
        <v>9836</v>
      </c>
      <c r="C2475" s="411">
        <v>15495</v>
      </c>
      <c r="D2475" s="412">
        <v>45439</v>
      </c>
      <c r="E2475" s="410" t="s">
        <v>9872</v>
      </c>
      <c r="F2475" s="410">
        <v>3</v>
      </c>
      <c r="G2475" s="410" t="s">
        <v>10069</v>
      </c>
    </row>
    <row r="2476" spans="2:7">
      <c r="B2476" s="410" t="s">
        <v>9836</v>
      </c>
      <c r="C2476" s="411">
        <v>15489</v>
      </c>
      <c r="D2476" s="412">
        <v>45439</v>
      </c>
      <c r="E2476" s="410" t="s">
        <v>9993</v>
      </c>
    </row>
    <row r="2477" spans="2:7">
      <c r="B2477" s="410" t="s">
        <v>9836</v>
      </c>
      <c r="C2477" s="411">
        <v>15485</v>
      </c>
      <c r="D2477" s="412">
        <v>45439</v>
      </c>
      <c r="E2477" s="410" t="s">
        <v>9994</v>
      </c>
    </row>
    <row r="2478" spans="2:7">
      <c r="B2478" s="410" t="s">
        <v>9836</v>
      </c>
      <c r="C2478" s="411">
        <v>15481</v>
      </c>
      <c r="D2478" s="412">
        <v>45439</v>
      </c>
      <c r="E2478" s="410" t="s">
        <v>9873</v>
      </c>
      <c r="F2478" s="410">
        <v>7</v>
      </c>
      <c r="G2478" s="410" t="s">
        <v>10089</v>
      </c>
    </row>
    <row r="2479" spans="2:7">
      <c r="B2479" s="410" t="s">
        <v>9836</v>
      </c>
      <c r="C2479" s="411">
        <v>15480</v>
      </c>
      <c r="D2479" s="412">
        <v>45439</v>
      </c>
      <c r="E2479" s="410" t="s">
        <v>9874</v>
      </c>
      <c r="F2479" s="410">
        <v>3</v>
      </c>
      <c r="G2479" s="410" t="s">
        <v>10090</v>
      </c>
    </row>
    <row r="2480" spans="2:7">
      <c r="B2480" s="410" t="s">
        <v>9836</v>
      </c>
      <c r="C2480" s="411">
        <v>15476</v>
      </c>
      <c r="D2480" s="412">
        <v>45439</v>
      </c>
      <c r="E2480" s="410" t="s">
        <v>9875</v>
      </c>
      <c r="F2480" s="410">
        <v>3</v>
      </c>
      <c r="G2480" s="410" t="s">
        <v>10091</v>
      </c>
    </row>
    <row r="2481" spans="2:5">
      <c r="B2481" s="410" t="s">
        <v>9836</v>
      </c>
      <c r="C2481" s="411">
        <v>15474</v>
      </c>
      <c r="D2481" s="412">
        <v>45439</v>
      </c>
      <c r="E2481" s="410" t="s">
        <v>9876</v>
      </c>
    </row>
    <row r="2482" spans="2:5">
      <c r="B2482" s="410" t="s">
        <v>9836</v>
      </c>
      <c r="C2482" s="411">
        <v>15473</v>
      </c>
      <c r="D2482" s="412">
        <v>45439</v>
      </c>
      <c r="E2482" s="410" t="s">
        <v>9995</v>
      </c>
    </row>
    <row r="2483" spans="2:5">
      <c r="B2483" s="410" t="s">
        <v>9836</v>
      </c>
      <c r="C2483" s="411">
        <v>15459</v>
      </c>
      <c r="D2483" s="412">
        <v>45439</v>
      </c>
      <c r="E2483" s="410" t="s">
        <v>9996</v>
      </c>
    </row>
    <row r="2484" spans="2:5">
      <c r="B2484" s="410" t="s">
        <v>9836</v>
      </c>
      <c r="C2484" s="411">
        <v>15458</v>
      </c>
      <c r="D2484" s="412">
        <v>45439</v>
      </c>
      <c r="E2484" s="410" t="s">
        <v>9877</v>
      </c>
    </row>
    <row r="2485" spans="2:5">
      <c r="B2485" s="410" t="s">
        <v>9836</v>
      </c>
      <c r="C2485" s="411">
        <v>15452</v>
      </c>
      <c r="D2485" s="412">
        <v>45439</v>
      </c>
      <c r="E2485" s="410" t="s">
        <v>9997</v>
      </c>
    </row>
    <row r="2486" spans="2:5">
      <c r="B2486" s="410" t="s">
        <v>9836</v>
      </c>
      <c r="C2486" s="411">
        <v>15446</v>
      </c>
      <c r="D2486" s="412">
        <v>45439</v>
      </c>
      <c r="E2486" s="410" t="s">
        <v>9878</v>
      </c>
    </row>
    <row r="2487" spans="2:5">
      <c r="B2487" s="410" t="s">
        <v>9836</v>
      </c>
      <c r="C2487" s="411">
        <v>15444</v>
      </c>
      <c r="D2487" s="412">
        <v>45439</v>
      </c>
      <c r="E2487" s="410" t="s">
        <v>9879</v>
      </c>
    </row>
    <row r="2488" spans="2:5">
      <c r="B2488" s="410" t="s">
        <v>9836</v>
      </c>
      <c r="C2488" s="411">
        <v>15443</v>
      </c>
      <c r="D2488" s="412">
        <v>45439</v>
      </c>
      <c r="E2488" s="410" t="s">
        <v>9880</v>
      </c>
    </row>
    <row r="2489" spans="2:5">
      <c r="B2489" s="410" t="s">
        <v>9836</v>
      </c>
      <c r="C2489" s="411">
        <v>15442</v>
      </c>
      <c r="D2489" s="412">
        <v>45439</v>
      </c>
      <c r="E2489" s="410" t="s">
        <v>9998</v>
      </c>
    </row>
    <row r="2490" spans="2:5">
      <c r="B2490" s="410" t="s">
        <v>9836</v>
      </c>
      <c r="C2490" s="411">
        <v>15441</v>
      </c>
      <c r="D2490" s="412">
        <v>45439</v>
      </c>
      <c r="E2490" s="410" t="s">
        <v>9999</v>
      </c>
    </row>
    <row r="2491" spans="2:5">
      <c r="B2491" s="410" t="s">
        <v>9836</v>
      </c>
      <c r="C2491" s="411">
        <v>15438</v>
      </c>
      <c r="D2491" s="412">
        <v>45439</v>
      </c>
      <c r="E2491" s="410" t="s">
        <v>10000</v>
      </c>
    </row>
    <row r="2492" spans="2:5">
      <c r="B2492" s="410" t="s">
        <v>9836</v>
      </c>
      <c r="C2492" s="411">
        <v>15434</v>
      </c>
      <c r="D2492" s="412">
        <v>45439</v>
      </c>
      <c r="E2492" s="410" t="s">
        <v>10001</v>
      </c>
    </row>
    <row r="2493" spans="2:5">
      <c r="B2493" s="410" t="s">
        <v>9836</v>
      </c>
      <c r="C2493" s="411">
        <v>15431</v>
      </c>
      <c r="D2493" s="412">
        <v>45439</v>
      </c>
      <c r="E2493" s="410" t="s">
        <v>10002</v>
      </c>
    </row>
    <row r="2494" spans="2:5">
      <c r="B2494" s="426">
        <v>2405</v>
      </c>
      <c r="C2494" s="411">
        <v>15430</v>
      </c>
      <c r="D2494" s="412">
        <v>45439</v>
      </c>
      <c r="E2494" s="410" t="s">
        <v>9881</v>
      </c>
    </row>
    <row r="2495" spans="2:5">
      <c r="B2495" s="426">
        <v>2405</v>
      </c>
      <c r="C2495" s="411">
        <v>15429</v>
      </c>
      <c r="D2495" s="412">
        <v>45439</v>
      </c>
      <c r="E2495" s="410" t="s">
        <v>9882</v>
      </c>
    </row>
    <row r="2496" spans="2:5">
      <c r="B2496" s="426">
        <v>2405</v>
      </c>
      <c r="C2496" s="411">
        <v>15428</v>
      </c>
      <c r="D2496" s="412">
        <v>45439</v>
      </c>
      <c r="E2496" s="410" t="s">
        <v>10003</v>
      </c>
    </row>
    <row r="2497" spans="2:5">
      <c r="B2497" s="426">
        <v>2405</v>
      </c>
      <c r="C2497" s="411">
        <v>15424</v>
      </c>
      <c r="D2497" s="412">
        <v>45439</v>
      </c>
      <c r="E2497" s="410" t="s">
        <v>9883</v>
      </c>
    </row>
    <row r="2498" spans="2:5">
      <c r="B2498" s="426">
        <v>2405</v>
      </c>
      <c r="C2498" s="411">
        <v>15423</v>
      </c>
      <c r="D2498" s="412">
        <v>45439</v>
      </c>
      <c r="E2498" s="410" t="s">
        <v>9884</v>
      </c>
    </row>
    <row r="2499" spans="2:5">
      <c r="B2499" s="426">
        <v>2405</v>
      </c>
      <c r="C2499" s="411">
        <v>15421</v>
      </c>
      <c r="D2499" s="412">
        <v>45439</v>
      </c>
      <c r="E2499" s="410" t="s">
        <v>9885</v>
      </c>
    </row>
    <row r="2500" spans="2:5">
      <c r="B2500" s="426">
        <v>2405</v>
      </c>
      <c r="C2500" s="411">
        <v>15412</v>
      </c>
      <c r="D2500" s="412">
        <v>45439</v>
      </c>
      <c r="E2500" s="410" t="s">
        <v>10004</v>
      </c>
    </row>
    <row r="2501" spans="2:5">
      <c r="B2501" s="426">
        <v>2405</v>
      </c>
      <c r="C2501" s="411">
        <v>15407</v>
      </c>
      <c r="D2501" s="412">
        <v>45439</v>
      </c>
      <c r="E2501" s="410" t="s">
        <v>9886</v>
      </c>
    </row>
    <row r="2502" spans="2:5">
      <c r="B2502" s="426">
        <v>2405</v>
      </c>
      <c r="C2502" s="411">
        <v>15406</v>
      </c>
      <c r="D2502" s="412">
        <v>45439</v>
      </c>
      <c r="E2502" s="410" t="s">
        <v>10005</v>
      </c>
    </row>
    <row r="2503" spans="2:5">
      <c r="B2503" s="426">
        <v>2405</v>
      </c>
      <c r="C2503" s="411">
        <v>15403</v>
      </c>
      <c r="D2503" s="412">
        <v>45439</v>
      </c>
      <c r="E2503" s="410" t="s">
        <v>9887</v>
      </c>
    </row>
    <row r="2504" spans="2:5">
      <c r="B2504" s="426">
        <v>2405</v>
      </c>
      <c r="C2504" s="411">
        <v>15393</v>
      </c>
      <c r="D2504" s="412">
        <v>45439</v>
      </c>
      <c r="E2504" s="410" t="s">
        <v>10006</v>
      </c>
    </row>
    <row r="2505" spans="2:5">
      <c r="B2505" s="426">
        <v>2405</v>
      </c>
      <c r="C2505" s="411">
        <v>15389</v>
      </c>
      <c r="D2505" s="412">
        <v>45439</v>
      </c>
      <c r="E2505" s="410" t="s">
        <v>9888</v>
      </c>
    </row>
    <row r="2506" spans="2:5">
      <c r="B2506" s="426">
        <v>2405</v>
      </c>
      <c r="C2506" s="411">
        <v>15384</v>
      </c>
      <c r="D2506" s="412">
        <v>45439</v>
      </c>
      <c r="E2506" s="410" t="s">
        <v>9889</v>
      </c>
    </row>
    <row r="2507" spans="2:5">
      <c r="B2507" s="426">
        <v>2405</v>
      </c>
      <c r="C2507" s="411">
        <v>15379</v>
      </c>
      <c r="D2507" s="412">
        <v>45439</v>
      </c>
      <c r="E2507" s="410" t="s">
        <v>10007</v>
      </c>
    </row>
    <row r="2508" spans="2:5">
      <c r="B2508" s="426">
        <v>2405</v>
      </c>
      <c r="C2508" s="411">
        <v>15376</v>
      </c>
      <c r="D2508" s="412">
        <v>45439</v>
      </c>
      <c r="E2508" s="410" t="s">
        <v>9890</v>
      </c>
    </row>
    <row r="2509" spans="2:5">
      <c r="B2509" s="426">
        <v>2405</v>
      </c>
      <c r="C2509" s="411">
        <v>15369</v>
      </c>
      <c r="D2509" s="412">
        <v>45439</v>
      </c>
      <c r="E2509" s="410" t="s">
        <v>9891</v>
      </c>
    </row>
    <row r="2510" spans="2:5">
      <c r="B2510" s="426">
        <v>2405</v>
      </c>
      <c r="C2510" s="411">
        <v>15362</v>
      </c>
      <c r="D2510" s="412">
        <v>45439</v>
      </c>
      <c r="E2510" s="410" t="s">
        <v>9892</v>
      </c>
    </row>
    <row r="2511" spans="2:5">
      <c r="B2511" s="426">
        <v>2405</v>
      </c>
      <c r="C2511" s="411">
        <v>15358</v>
      </c>
      <c r="D2511" s="412">
        <v>45439</v>
      </c>
      <c r="E2511" s="410" t="s">
        <v>10008</v>
      </c>
    </row>
    <row r="2512" spans="2:5">
      <c r="B2512" s="426">
        <v>2405</v>
      </c>
      <c r="C2512" s="411">
        <v>15357</v>
      </c>
      <c r="D2512" s="412">
        <v>45439</v>
      </c>
      <c r="E2512" s="410" t="s">
        <v>10009</v>
      </c>
    </row>
    <row r="2513" spans="2:5">
      <c r="B2513" s="426">
        <v>2405</v>
      </c>
      <c r="C2513" s="411">
        <v>15346</v>
      </c>
      <c r="D2513" s="412">
        <v>45439</v>
      </c>
      <c r="E2513" s="410" t="s">
        <v>10010</v>
      </c>
    </row>
    <row r="2514" spans="2:5">
      <c r="B2514" s="426">
        <v>2405</v>
      </c>
      <c r="C2514" s="411">
        <v>15337</v>
      </c>
      <c r="D2514" s="412">
        <v>45439</v>
      </c>
      <c r="E2514" s="410" t="s">
        <v>10011</v>
      </c>
    </row>
    <row r="2515" spans="2:5">
      <c r="B2515" s="426">
        <v>2405</v>
      </c>
      <c r="C2515" s="411">
        <v>15332</v>
      </c>
      <c r="D2515" s="412">
        <v>45439</v>
      </c>
      <c r="E2515" s="410" t="s">
        <v>9893</v>
      </c>
    </row>
    <row r="2516" spans="2:5">
      <c r="B2516" s="426">
        <v>2405</v>
      </c>
      <c r="C2516" s="411">
        <v>15330</v>
      </c>
      <c r="D2516" s="412">
        <v>45439</v>
      </c>
      <c r="E2516" s="49" t="s">
        <v>10012</v>
      </c>
    </row>
    <row r="2517" spans="2:5">
      <c r="B2517" s="426">
        <v>2405</v>
      </c>
      <c r="C2517" s="411">
        <v>15328</v>
      </c>
      <c r="D2517" s="412">
        <v>45439</v>
      </c>
      <c r="E2517" s="410" t="s">
        <v>9894</v>
      </c>
    </row>
    <row r="2518" spans="2:5">
      <c r="B2518" s="426">
        <v>2405</v>
      </c>
      <c r="C2518" s="411">
        <v>15325</v>
      </c>
      <c r="D2518" s="412">
        <v>45439</v>
      </c>
      <c r="E2518" s="410" t="s">
        <v>9895</v>
      </c>
    </row>
    <row r="2519" spans="2:5">
      <c r="B2519" s="426">
        <v>2405</v>
      </c>
      <c r="C2519" s="411">
        <v>15317</v>
      </c>
      <c r="D2519" s="412">
        <v>45439</v>
      </c>
      <c r="E2519" s="410" t="s">
        <v>9896</v>
      </c>
    </row>
    <row r="2520" spans="2:5">
      <c r="B2520" s="426">
        <v>2405</v>
      </c>
      <c r="C2520" s="411">
        <v>15316</v>
      </c>
      <c r="D2520" s="412">
        <v>45439</v>
      </c>
      <c r="E2520" s="410" t="s">
        <v>9897</v>
      </c>
    </row>
    <row r="2521" spans="2:5">
      <c r="B2521" s="426">
        <v>2405</v>
      </c>
      <c r="C2521" s="411">
        <v>15314</v>
      </c>
      <c r="D2521" s="412">
        <v>45439</v>
      </c>
      <c r="E2521" s="410" t="s">
        <v>9898</v>
      </c>
    </row>
    <row r="2522" spans="2:5">
      <c r="B2522" s="426">
        <v>2405</v>
      </c>
      <c r="C2522" s="411">
        <v>15312</v>
      </c>
      <c r="D2522" s="412">
        <v>45439</v>
      </c>
      <c r="E2522" s="410" t="s">
        <v>9899</v>
      </c>
    </row>
    <row r="2523" spans="2:5">
      <c r="B2523" s="426">
        <v>2405</v>
      </c>
      <c r="C2523" s="411">
        <v>15310</v>
      </c>
      <c r="D2523" s="412">
        <v>45439</v>
      </c>
      <c r="E2523" s="410" t="s">
        <v>9900</v>
      </c>
    </row>
    <row r="2524" spans="2:5">
      <c r="B2524" s="426">
        <v>2405</v>
      </c>
      <c r="C2524" s="411">
        <v>15304</v>
      </c>
      <c r="D2524" s="412">
        <v>45439</v>
      </c>
      <c r="E2524" s="410" t="s">
        <v>9901</v>
      </c>
    </row>
    <row r="2525" spans="2:5">
      <c r="B2525" s="426">
        <v>2405</v>
      </c>
      <c r="C2525" s="411">
        <v>15303</v>
      </c>
      <c r="D2525" s="412">
        <v>45439</v>
      </c>
      <c r="E2525" s="410" t="s">
        <v>9902</v>
      </c>
    </row>
    <row r="2526" spans="2:5">
      <c r="B2526" s="426">
        <v>2405</v>
      </c>
      <c r="C2526" s="411">
        <v>15302</v>
      </c>
      <c r="D2526" s="412">
        <v>45439</v>
      </c>
      <c r="E2526" s="410" t="s">
        <v>10013</v>
      </c>
    </row>
    <row r="2527" spans="2:5">
      <c r="B2527" s="426">
        <v>2405</v>
      </c>
      <c r="C2527" s="411">
        <v>15301</v>
      </c>
      <c r="D2527" s="412">
        <v>45439</v>
      </c>
      <c r="E2527" s="410" t="s">
        <v>9903</v>
      </c>
    </row>
    <row r="2528" spans="2:5">
      <c r="B2528" s="426">
        <v>2405</v>
      </c>
      <c r="C2528" s="411">
        <v>15294</v>
      </c>
      <c r="D2528" s="412">
        <v>45439</v>
      </c>
      <c r="E2528" s="410" t="s">
        <v>10014</v>
      </c>
    </row>
    <row r="2529" spans="2:5">
      <c r="B2529" s="426">
        <v>2405</v>
      </c>
      <c r="C2529" s="411">
        <v>15292</v>
      </c>
      <c r="D2529" s="412">
        <v>45439</v>
      </c>
      <c r="E2529" s="410" t="s">
        <v>9904</v>
      </c>
    </row>
    <row r="2530" spans="2:5">
      <c r="B2530" s="426">
        <v>2405</v>
      </c>
      <c r="C2530" s="411">
        <v>15285</v>
      </c>
      <c r="D2530" s="412">
        <v>45439</v>
      </c>
      <c r="E2530" s="410" t="s">
        <v>9905</v>
      </c>
    </row>
    <row r="2531" spans="2:5">
      <c r="B2531" s="426">
        <v>2405</v>
      </c>
      <c r="C2531" s="411">
        <v>15282</v>
      </c>
      <c r="D2531" s="412">
        <v>45439</v>
      </c>
      <c r="E2531" s="410" t="s">
        <v>9906</v>
      </c>
    </row>
    <row r="2532" spans="2:5">
      <c r="B2532" s="426">
        <v>2405</v>
      </c>
      <c r="C2532" s="411">
        <v>15280</v>
      </c>
      <c r="D2532" s="412">
        <v>45439</v>
      </c>
      <c r="E2532" s="410" t="s">
        <v>10015</v>
      </c>
    </row>
    <row r="2533" spans="2:5">
      <c r="B2533" s="426">
        <v>2405</v>
      </c>
      <c r="C2533" s="411">
        <v>15273</v>
      </c>
      <c r="D2533" s="412">
        <v>45439</v>
      </c>
      <c r="E2533" s="410" t="s">
        <v>9907</v>
      </c>
    </row>
    <row r="2534" spans="2:5">
      <c r="B2534" s="426">
        <v>2405</v>
      </c>
      <c r="C2534" s="411">
        <v>15269</v>
      </c>
      <c r="D2534" s="412">
        <v>45439</v>
      </c>
      <c r="E2534" s="410" t="s">
        <v>10016</v>
      </c>
    </row>
    <row r="2535" spans="2:5">
      <c r="B2535" s="426">
        <v>2405</v>
      </c>
      <c r="C2535" s="411">
        <v>15268</v>
      </c>
      <c r="D2535" s="412">
        <v>45439</v>
      </c>
      <c r="E2535" s="410" t="s">
        <v>9908</v>
      </c>
    </row>
    <row r="2536" spans="2:5">
      <c r="B2536" s="426">
        <v>2405</v>
      </c>
      <c r="C2536" s="411">
        <v>15256</v>
      </c>
      <c r="D2536" s="412">
        <v>45439</v>
      </c>
      <c r="E2536" s="410" t="s">
        <v>9909</v>
      </c>
    </row>
    <row r="2537" spans="2:5">
      <c r="B2537" s="426">
        <v>2405</v>
      </c>
      <c r="C2537" s="411">
        <v>15254</v>
      </c>
      <c r="D2537" s="412">
        <v>45439</v>
      </c>
      <c r="E2537" s="410" t="s">
        <v>10017</v>
      </c>
    </row>
    <row r="2538" spans="2:5">
      <c r="B2538" s="426">
        <v>2405</v>
      </c>
      <c r="C2538" s="411">
        <v>15252</v>
      </c>
      <c r="D2538" s="412">
        <v>45439</v>
      </c>
      <c r="E2538" s="410" t="s">
        <v>9910</v>
      </c>
    </row>
    <row r="2539" spans="2:5">
      <c r="B2539" s="426">
        <v>2405</v>
      </c>
      <c r="C2539" s="411">
        <v>15251</v>
      </c>
      <c r="D2539" s="412">
        <v>45439</v>
      </c>
      <c r="E2539" s="410" t="s">
        <v>10018</v>
      </c>
    </row>
    <row r="2540" spans="2:5">
      <c r="B2540" s="426">
        <v>2405</v>
      </c>
      <c r="C2540" s="411">
        <v>15247</v>
      </c>
      <c r="D2540" s="412">
        <v>45439</v>
      </c>
      <c r="E2540" s="410" t="s">
        <v>9911</v>
      </c>
    </row>
    <row r="2541" spans="2:5">
      <c r="B2541" s="426">
        <v>2405</v>
      </c>
      <c r="C2541" s="411">
        <v>15245</v>
      </c>
      <c r="D2541" s="412">
        <v>45439</v>
      </c>
      <c r="E2541" s="410" t="s">
        <v>9912</v>
      </c>
    </row>
    <row r="2542" spans="2:5">
      <c r="B2542" s="426">
        <v>2405</v>
      </c>
      <c r="C2542" s="411">
        <v>15244</v>
      </c>
      <c r="D2542" s="412">
        <v>45439</v>
      </c>
      <c r="E2542" s="410" t="s">
        <v>9913</v>
      </c>
    </row>
    <row r="2543" spans="2:5">
      <c r="B2543" s="426">
        <v>2405</v>
      </c>
      <c r="C2543" s="411">
        <v>15240</v>
      </c>
      <c r="D2543" s="412">
        <v>45439</v>
      </c>
      <c r="E2543" s="410" t="s">
        <v>9914</v>
      </c>
    </row>
    <row r="2544" spans="2:5">
      <c r="B2544" s="426">
        <v>2405</v>
      </c>
      <c r="C2544" s="411">
        <v>15231</v>
      </c>
      <c r="D2544" s="412">
        <v>45439</v>
      </c>
      <c r="E2544" s="410" t="s">
        <v>9915</v>
      </c>
    </row>
    <row r="2545" spans="2:5">
      <c r="B2545" s="426">
        <v>2405</v>
      </c>
      <c r="C2545" s="411">
        <v>15230</v>
      </c>
      <c r="D2545" s="412">
        <v>45439</v>
      </c>
      <c r="E2545" s="410" t="s">
        <v>10019</v>
      </c>
    </row>
    <row r="2546" spans="2:5">
      <c r="B2546" s="426">
        <v>2405</v>
      </c>
      <c r="C2546" s="411">
        <v>15228</v>
      </c>
      <c r="D2546" s="412">
        <v>45439</v>
      </c>
      <c r="E2546" s="410" t="s">
        <v>9916</v>
      </c>
    </row>
    <row r="2547" spans="2:5">
      <c r="B2547" s="426">
        <v>2405</v>
      </c>
      <c r="C2547" s="411">
        <v>15223</v>
      </c>
      <c r="D2547" s="412">
        <v>45439</v>
      </c>
      <c r="E2547" s="410" t="s">
        <v>10020</v>
      </c>
    </row>
    <row r="2548" spans="2:5">
      <c r="B2548" s="426">
        <v>2405</v>
      </c>
      <c r="C2548" s="411">
        <v>15218</v>
      </c>
      <c r="D2548" s="412">
        <v>45439</v>
      </c>
      <c r="E2548" s="410" t="s">
        <v>9917</v>
      </c>
    </row>
    <row r="2549" spans="2:5">
      <c r="B2549" s="426">
        <v>2405</v>
      </c>
      <c r="C2549" s="411">
        <v>15216</v>
      </c>
      <c r="D2549" s="412">
        <v>45439</v>
      </c>
      <c r="E2549" s="410" t="s">
        <v>9918</v>
      </c>
    </row>
    <row r="2550" spans="2:5">
      <c r="B2550" s="426">
        <v>2405</v>
      </c>
      <c r="C2550" s="411">
        <v>15200</v>
      </c>
      <c r="D2550" s="412">
        <v>45439</v>
      </c>
      <c r="E2550" s="410" t="s">
        <v>9919</v>
      </c>
    </row>
    <row r="2551" spans="2:5">
      <c r="B2551" s="426">
        <v>2405</v>
      </c>
      <c r="C2551" s="411">
        <v>15194</v>
      </c>
      <c r="D2551" s="412">
        <v>45439</v>
      </c>
      <c r="E2551" s="410" t="s">
        <v>9920</v>
      </c>
    </row>
    <row r="2552" spans="2:5">
      <c r="B2552" s="426">
        <v>2405</v>
      </c>
      <c r="C2552" s="411">
        <v>15184</v>
      </c>
      <c r="D2552" s="412">
        <v>45439</v>
      </c>
      <c r="E2552" s="410" t="s">
        <v>10021</v>
      </c>
    </row>
    <row r="2553" spans="2:5">
      <c r="B2553" s="426">
        <v>2405</v>
      </c>
      <c r="C2553" s="411">
        <v>15177</v>
      </c>
      <c r="D2553" s="412">
        <v>45439</v>
      </c>
      <c r="E2553" s="410" t="s">
        <v>9921</v>
      </c>
    </row>
    <row r="2554" spans="2:5">
      <c r="B2554" s="426">
        <v>2405</v>
      </c>
      <c r="C2554" s="411">
        <v>15172</v>
      </c>
      <c r="D2554" s="412">
        <v>45439</v>
      </c>
      <c r="E2554" s="410" t="s">
        <v>10022</v>
      </c>
    </row>
    <row r="2555" spans="2:5">
      <c r="B2555" s="426">
        <v>2405</v>
      </c>
      <c r="C2555" s="411">
        <v>15167</v>
      </c>
      <c r="D2555" s="412">
        <v>45439</v>
      </c>
      <c r="E2555" s="410" t="s">
        <v>10023</v>
      </c>
    </row>
    <row r="2556" spans="2:5">
      <c r="B2556" s="426">
        <v>2405</v>
      </c>
      <c r="C2556" s="411">
        <v>15164</v>
      </c>
      <c r="D2556" s="412">
        <v>45439</v>
      </c>
      <c r="E2556" s="410" t="s">
        <v>10024</v>
      </c>
    </row>
    <row r="2557" spans="2:5">
      <c r="B2557" s="426">
        <v>2405</v>
      </c>
      <c r="C2557" s="411">
        <v>15158</v>
      </c>
      <c r="D2557" s="412">
        <v>45439</v>
      </c>
      <c r="E2557" s="410" t="s">
        <v>10025</v>
      </c>
    </row>
    <row r="2558" spans="2:5">
      <c r="B2558" s="426">
        <v>2405</v>
      </c>
      <c r="C2558" s="411">
        <v>15154</v>
      </c>
      <c r="D2558" s="412">
        <v>45439</v>
      </c>
      <c r="E2558" s="410" t="s">
        <v>10026</v>
      </c>
    </row>
    <row r="2559" spans="2:5">
      <c r="B2559" s="426">
        <v>2405</v>
      </c>
      <c r="C2559" s="411">
        <v>15150</v>
      </c>
      <c r="D2559" s="412">
        <v>45439</v>
      </c>
      <c r="E2559" s="410" t="s">
        <v>9922</v>
      </c>
    </row>
    <row r="2560" spans="2:5">
      <c r="B2560" s="426">
        <v>2405</v>
      </c>
      <c r="C2560" s="411">
        <v>15143</v>
      </c>
      <c r="D2560" s="412">
        <v>45439</v>
      </c>
      <c r="E2560" s="410" t="s">
        <v>9923</v>
      </c>
    </row>
    <row r="2561" spans="2:5">
      <c r="B2561" s="426">
        <v>2405</v>
      </c>
      <c r="C2561" s="411">
        <v>15140</v>
      </c>
      <c r="D2561" s="412">
        <v>45439</v>
      </c>
      <c r="E2561" s="410" t="s">
        <v>9924</v>
      </c>
    </row>
    <row r="2562" spans="2:5">
      <c r="B2562" s="426">
        <v>2405</v>
      </c>
      <c r="C2562" s="411">
        <v>15135</v>
      </c>
      <c r="D2562" s="412">
        <v>45439</v>
      </c>
      <c r="E2562" s="410" t="s">
        <v>9925</v>
      </c>
    </row>
    <row r="2563" spans="2:5">
      <c r="B2563" s="426">
        <v>2405</v>
      </c>
      <c r="C2563" s="411">
        <v>15132</v>
      </c>
      <c r="D2563" s="412">
        <v>45439</v>
      </c>
      <c r="E2563" s="410" t="s">
        <v>10027</v>
      </c>
    </row>
    <row r="2564" spans="2:5">
      <c r="B2564" s="426">
        <v>2405</v>
      </c>
      <c r="C2564" s="411">
        <v>15130</v>
      </c>
      <c r="D2564" s="412">
        <v>45439</v>
      </c>
      <c r="E2564" s="410" t="s">
        <v>10028</v>
      </c>
    </row>
    <row r="2565" spans="2:5">
      <c r="B2565" s="426">
        <v>2405</v>
      </c>
      <c r="C2565" s="411">
        <v>15124</v>
      </c>
      <c r="D2565" s="412">
        <v>45439</v>
      </c>
      <c r="E2565" s="410" t="s">
        <v>9926</v>
      </c>
    </row>
    <row r="2566" spans="2:5">
      <c r="B2566" s="426">
        <v>2405</v>
      </c>
      <c r="C2566" s="411">
        <v>15120</v>
      </c>
      <c r="D2566" s="412">
        <v>45439</v>
      </c>
      <c r="E2566" s="410" t="s">
        <v>9927</v>
      </c>
    </row>
    <row r="2567" spans="2:5">
      <c r="B2567" s="426">
        <v>2405</v>
      </c>
      <c r="C2567" s="411">
        <v>15119</v>
      </c>
      <c r="D2567" s="412">
        <v>45439</v>
      </c>
      <c r="E2567" s="410" t="s">
        <v>9928</v>
      </c>
    </row>
    <row r="2568" spans="2:5">
      <c r="B2568" s="426">
        <v>2405</v>
      </c>
      <c r="C2568" s="411">
        <v>15116</v>
      </c>
      <c r="D2568" s="412">
        <v>45439</v>
      </c>
      <c r="E2568" s="410" t="s">
        <v>9929</v>
      </c>
    </row>
    <row r="2569" spans="2:5">
      <c r="B2569" s="426">
        <v>2405</v>
      </c>
      <c r="C2569" s="411">
        <v>15115</v>
      </c>
      <c r="D2569" s="412">
        <v>45439</v>
      </c>
      <c r="E2569" s="410" t="s">
        <v>9930</v>
      </c>
    </row>
    <row r="2570" spans="2:5">
      <c r="B2570" s="426">
        <v>2405</v>
      </c>
      <c r="C2570" s="411">
        <v>15107</v>
      </c>
      <c r="D2570" s="412">
        <v>45439</v>
      </c>
      <c r="E2570" s="410" t="s">
        <v>10029</v>
      </c>
    </row>
    <row r="2571" spans="2:5">
      <c r="B2571" s="426">
        <v>2405</v>
      </c>
      <c r="C2571" s="411">
        <v>15106</v>
      </c>
      <c r="D2571" s="412">
        <v>45439</v>
      </c>
      <c r="E2571" s="410" t="s">
        <v>10032</v>
      </c>
    </row>
    <row r="2572" spans="2:5">
      <c r="B2572" s="426">
        <v>2405</v>
      </c>
      <c r="C2572" s="411">
        <v>15105</v>
      </c>
      <c r="D2572" s="412">
        <v>45439</v>
      </c>
      <c r="E2572" s="410" t="s">
        <v>10031</v>
      </c>
    </row>
    <row r="2573" spans="2:5">
      <c r="B2573" s="426">
        <v>2405</v>
      </c>
      <c r="C2573" s="411">
        <v>15103</v>
      </c>
      <c r="D2573" s="412">
        <v>45439</v>
      </c>
      <c r="E2573" s="49" t="s">
        <v>10030</v>
      </c>
    </row>
    <row r="2574" spans="2:5">
      <c r="B2574" s="426">
        <v>2405</v>
      </c>
      <c r="C2574" s="411">
        <v>15098</v>
      </c>
      <c r="D2574" s="412">
        <v>45439</v>
      </c>
      <c r="E2574" s="410" t="s">
        <v>10033</v>
      </c>
    </row>
    <row r="2575" spans="2:5">
      <c r="B2575" s="426">
        <v>2405</v>
      </c>
      <c r="C2575" s="411">
        <v>15096</v>
      </c>
      <c r="D2575" s="412">
        <v>45439</v>
      </c>
      <c r="E2575" s="410" t="s">
        <v>10034</v>
      </c>
    </row>
    <row r="2576" spans="2:5">
      <c r="B2576" s="426">
        <v>2405</v>
      </c>
      <c r="C2576" s="411">
        <v>15094</v>
      </c>
      <c r="D2576" s="412">
        <v>45439</v>
      </c>
      <c r="E2576" s="410" t="s">
        <v>9931</v>
      </c>
    </row>
    <row r="2577" spans="2:5">
      <c r="B2577" s="426">
        <v>2405</v>
      </c>
      <c r="C2577" s="411">
        <v>15090</v>
      </c>
      <c r="D2577" s="412">
        <v>45439</v>
      </c>
      <c r="E2577" s="410" t="s">
        <v>9932</v>
      </c>
    </row>
    <row r="2578" spans="2:5">
      <c r="B2578" s="426">
        <v>2405</v>
      </c>
      <c r="C2578" s="411">
        <v>15084</v>
      </c>
      <c r="D2578" s="412">
        <v>45439</v>
      </c>
      <c r="E2578" s="410" t="s">
        <v>10035</v>
      </c>
    </row>
    <row r="2579" spans="2:5">
      <c r="B2579" s="426">
        <v>2405</v>
      </c>
      <c r="C2579" s="411">
        <v>15081</v>
      </c>
      <c r="D2579" s="412">
        <v>45439</v>
      </c>
      <c r="E2579" s="410" t="s">
        <v>9933</v>
      </c>
    </row>
    <row r="2580" spans="2:5">
      <c r="B2580" s="426">
        <v>2405</v>
      </c>
      <c r="C2580" s="411">
        <v>15079</v>
      </c>
      <c r="D2580" s="412">
        <v>45439</v>
      </c>
      <c r="E2580" s="410" t="s">
        <v>9934</v>
      </c>
    </row>
    <row r="2581" spans="2:5">
      <c r="B2581" s="426">
        <v>2405</v>
      </c>
      <c r="C2581" s="411">
        <v>15074</v>
      </c>
      <c r="D2581" s="412">
        <v>45439</v>
      </c>
      <c r="E2581" s="410" t="s">
        <v>10036</v>
      </c>
    </row>
    <row r="2582" spans="2:5">
      <c r="B2582" s="426">
        <v>2405</v>
      </c>
      <c r="C2582" s="411">
        <v>15065</v>
      </c>
      <c r="D2582" s="412">
        <v>45439</v>
      </c>
      <c r="E2582" s="410" t="s">
        <v>9935</v>
      </c>
    </row>
    <row r="2583" spans="2:5">
      <c r="B2583" s="426">
        <v>2405</v>
      </c>
      <c r="C2583" s="411">
        <v>15063</v>
      </c>
      <c r="D2583" s="412">
        <v>45439</v>
      </c>
      <c r="E2583" s="410" t="s">
        <v>9936</v>
      </c>
    </row>
    <row r="2584" spans="2:5">
      <c r="B2584" s="426">
        <v>2405</v>
      </c>
      <c r="C2584" s="411">
        <v>15062</v>
      </c>
      <c r="D2584" s="412">
        <v>45439</v>
      </c>
      <c r="E2584" s="410" t="s">
        <v>9937</v>
      </c>
    </row>
    <row r="2585" spans="2:5">
      <c r="B2585" s="426">
        <v>2405</v>
      </c>
      <c r="C2585" s="411">
        <v>15059</v>
      </c>
      <c r="D2585" s="412">
        <v>45439</v>
      </c>
      <c r="E2585" s="410" t="s">
        <v>9938</v>
      </c>
    </row>
    <row r="2586" spans="2:5">
      <c r="B2586" s="426">
        <v>2405</v>
      </c>
      <c r="C2586" s="411">
        <v>15056</v>
      </c>
      <c r="D2586" s="412">
        <v>45439</v>
      </c>
      <c r="E2586" s="410" t="s">
        <v>9939</v>
      </c>
    </row>
    <row r="2587" spans="2:5">
      <c r="B2587" s="426">
        <v>2405</v>
      </c>
      <c r="C2587" s="411">
        <v>15055</v>
      </c>
      <c r="D2587" s="412">
        <v>45439</v>
      </c>
      <c r="E2587" s="410" t="s">
        <v>9940</v>
      </c>
    </row>
    <row r="2588" spans="2:5">
      <c r="B2588" s="426">
        <v>2405</v>
      </c>
      <c r="C2588" s="411">
        <v>15054</v>
      </c>
      <c r="D2588" s="412">
        <v>45439</v>
      </c>
      <c r="E2588" s="410" t="s">
        <v>10037</v>
      </c>
    </row>
    <row r="2589" spans="2:5">
      <c r="B2589" s="426">
        <v>2405</v>
      </c>
      <c r="C2589" s="411">
        <v>15052</v>
      </c>
      <c r="D2589" s="412">
        <v>45439</v>
      </c>
      <c r="E2589" s="410" t="s">
        <v>9941</v>
      </c>
    </row>
    <row r="2590" spans="2:5">
      <c r="B2590" s="426">
        <v>2405</v>
      </c>
      <c r="C2590" s="411">
        <v>15050</v>
      </c>
      <c r="D2590" s="412">
        <v>45439</v>
      </c>
      <c r="E2590" s="410" t="s">
        <v>10038</v>
      </c>
    </row>
    <row r="2591" spans="2:5">
      <c r="B2591" s="426">
        <v>2405</v>
      </c>
      <c r="C2591" s="411">
        <v>15047</v>
      </c>
      <c r="D2591" s="412">
        <v>45439</v>
      </c>
      <c r="E2591" s="410" t="s">
        <v>9942</v>
      </c>
    </row>
    <row r="2592" spans="2:5">
      <c r="B2592" s="426">
        <v>2405</v>
      </c>
      <c r="C2592" s="411">
        <v>15039</v>
      </c>
      <c r="D2592" s="412">
        <v>45439</v>
      </c>
      <c r="E2592" s="410" t="s">
        <v>10039</v>
      </c>
    </row>
    <row r="2593" spans="2:5">
      <c r="B2593" s="426">
        <v>2405</v>
      </c>
      <c r="C2593" s="411">
        <v>15036</v>
      </c>
      <c r="D2593" s="412">
        <v>45439</v>
      </c>
      <c r="E2593" s="410" t="s">
        <v>10040</v>
      </c>
    </row>
    <row r="2594" spans="2:5">
      <c r="B2594" s="426">
        <v>2405</v>
      </c>
      <c r="C2594" s="411">
        <v>15031</v>
      </c>
      <c r="D2594" s="412">
        <v>45439</v>
      </c>
      <c r="E2594" s="410" t="s">
        <v>9943</v>
      </c>
    </row>
    <row r="2595" spans="2:5">
      <c r="B2595" s="426">
        <v>2405</v>
      </c>
      <c r="C2595" s="411">
        <v>15025</v>
      </c>
      <c r="D2595" s="412">
        <v>45439</v>
      </c>
      <c r="E2595" s="410" t="s">
        <v>9944</v>
      </c>
    </row>
    <row r="2596" spans="2:5">
      <c r="B2596" s="426">
        <v>2405</v>
      </c>
      <c r="C2596" s="411">
        <v>15019</v>
      </c>
      <c r="D2596" s="412">
        <v>45439</v>
      </c>
      <c r="E2596" s="410" t="s">
        <v>10041</v>
      </c>
    </row>
    <row r="2597" spans="2:5">
      <c r="B2597" s="426">
        <v>2405</v>
      </c>
      <c r="C2597" s="411">
        <v>15018</v>
      </c>
      <c r="D2597" s="412">
        <v>45439</v>
      </c>
      <c r="E2597" s="410" t="s">
        <v>9945</v>
      </c>
    </row>
    <row r="2598" spans="2:5">
      <c r="B2598" s="426">
        <v>2405</v>
      </c>
      <c r="C2598" s="411">
        <v>15013</v>
      </c>
      <c r="D2598" s="412">
        <v>45439</v>
      </c>
      <c r="E2598" s="49" t="s">
        <v>9946</v>
      </c>
    </row>
    <row r="2599" spans="2:5">
      <c r="B2599" s="426">
        <v>2405</v>
      </c>
      <c r="C2599" s="411">
        <v>15012</v>
      </c>
      <c r="D2599" s="412">
        <v>45439</v>
      </c>
      <c r="E2599" s="410" t="s">
        <v>10042</v>
      </c>
    </row>
    <row r="2600" spans="2:5">
      <c r="B2600" s="426">
        <v>2405</v>
      </c>
      <c r="C2600" s="411">
        <v>15010</v>
      </c>
      <c r="D2600" s="412">
        <v>45439</v>
      </c>
      <c r="E2600" s="410" t="s">
        <v>9947</v>
      </c>
    </row>
    <row r="2601" spans="2:5">
      <c r="B2601" s="426">
        <v>2405</v>
      </c>
      <c r="C2601" s="411">
        <v>15007</v>
      </c>
      <c r="D2601" s="412">
        <v>45439</v>
      </c>
      <c r="E2601" s="410" t="s">
        <v>10043</v>
      </c>
    </row>
    <row r="2602" spans="2:5">
      <c r="B2602" s="426">
        <v>2405</v>
      </c>
      <c r="C2602" s="411">
        <v>15006</v>
      </c>
      <c r="D2602" s="412">
        <v>45439</v>
      </c>
      <c r="E2602" s="410" t="s">
        <v>9948</v>
      </c>
    </row>
    <row r="2603" spans="2:5">
      <c r="B2603" s="426">
        <v>2405</v>
      </c>
      <c r="C2603" s="411">
        <v>15002</v>
      </c>
      <c r="D2603" s="412">
        <v>45439</v>
      </c>
      <c r="E2603" s="410" t="s">
        <v>9949</v>
      </c>
    </row>
    <row r="2604" spans="2:5">
      <c r="B2604" s="426">
        <v>2405</v>
      </c>
      <c r="C2604" s="411">
        <v>14995</v>
      </c>
      <c r="D2604" s="412">
        <v>45439</v>
      </c>
      <c r="E2604" s="410" t="s">
        <v>10044</v>
      </c>
    </row>
    <row r="2605" spans="2:5">
      <c r="B2605" s="426">
        <v>2405</v>
      </c>
      <c r="C2605" s="411">
        <v>14992</v>
      </c>
      <c r="D2605" s="412">
        <v>45439</v>
      </c>
      <c r="E2605" s="410" t="s">
        <v>10045</v>
      </c>
    </row>
    <row r="2606" spans="2:5">
      <c r="B2606" s="426">
        <v>2405</v>
      </c>
      <c r="C2606" s="411">
        <v>14986</v>
      </c>
      <c r="D2606" s="412">
        <v>45439</v>
      </c>
      <c r="E2606" s="410" t="s">
        <v>10046</v>
      </c>
    </row>
    <row r="2607" spans="2:5">
      <c r="B2607" s="426">
        <v>2405</v>
      </c>
      <c r="C2607" s="411">
        <v>14982</v>
      </c>
      <c r="D2607" s="412">
        <v>45439</v>
      </c>
      <c r="E2607" s="410" t="s">
        <v>9950</v>
      </c>
    </row>
    <row r="2608" spans="2:5">
      <c r="B2608" s="426">
        <v>2405</v>
      </c>
      <c r="C2608" s="411">
        <v>14981</v>
      </c>
      <c r="D2608" s="412">
        <v>45439</v>
      </c>
      <c r="E2608" s="410" t="s">
        <v>9951</v>
      </c>
    </row>
    <row r="2609" spans="2:5">
      <c r="B2609" s="426">
        <v>2405</v>
      </c>
      <c r="C2609" s="411">
        <v>14973</v>
      </c>
      <c r="D2609" s="412">
        <v>45439</v>
      </c>
      <c r="E2609" s="410" t="s">
        <v>9952</v>
      </c>
    </row>
    <row r="2610" spans="2:5">
      <c r="B2610" s="426">
        <v>2405</v>
      </c>
      <c r="C2610" s="411">
        <v>14961</v>
      </c>
      <c r="D2610" s="412">
        <v>45439</v>
      </c>
      <c r="E2610" s="410" t="s">
        <v>10047</v>
      </c>
    </row>
    <row r="2611" spans="2:5">
      <c r="B2611" s="426">
        <v>2405</v>
      </c>
      <c r="C2611" s="411">
        <v>14957</v>
      </c>
      <c r="D2611" s="412">
        <v>45439</v>
      </c>
      <c r="E2611" s="410" t="s">
        <v>9953</v>
      </c>
    </row>
    <row r="2612" spans="2:5">
      <c r="B2612" s="426">
        <v>2405</v>
      </c>
      <c r="C2612" s="411">
        <v>14956</v>
      </c>
      <c r="D2612" s="412">
        <v>45439</v>
      </c>
      <c r="E2612" s="410" t="s">
        <v>10048</v>
      </c>
    </row>
    <row r="2613" spans="2:5">
      <c r="B2613" s="426">
        <v>2405</v>
      </c>
      <c r="C2613" s="411">
        <v>14953</v>
      </c>
      <c r="D2613" s="412">
        <v>45439</v>
      </c>
      <c r="E2613" s="410" t="s">
        <v>9954</v>
      </c>
    </row>
    <row r="2614" spans="2:5">
      <c r="B2614" s="426">
        <v>2405</v>
      </c>
      <c r="C2614" s="411">
        <v>14932</v>
      </c>
      <c r="D2614" s="412">
        <v>45439</v>
      </c>
      <c r="E2614" s="410" t="s">
        <v>9955</v>
      </c>
    </row>
    <row r="2615" spans="2:5">
      <c r="B2615" s="426">
        <v>2405</v>
      </c>
      <c r="C2615" s="411">
        <v>14930</v>
      </c>
      <c r="D2615" s="412">
        <v>45439</v>
      </c>
      <c r="E2615" s="410" t="s">
        <v>10049</v>
      </c>
    </row>
    <row r="2616" spans="2:5">
      <c r="B2616" s="426">
        <v>2405</v>
      </c>
      <c r="C2616" s="411">
        <v>14925</v>
      </c>
      <c r="D2616" s="412">
        <v>45439</v>
      </c>
      <c r="E2616" s="410" t="s">
        <v>10050</v>
      </c>
    </row>
    <row r="2617" spans="2:5">
      <c r="B2617" s="426">
        <v>2405</v>
      </c>
      <c r="C2617" s="411">
        <v>14923</v>
      </c>
      <c r="D2617" s="412">
        <v>45439</v>
      </c>
      <c r="E2617" s="410" t="s">
        <v>9956</v>
      </c>
    </row>
    <row r="2618" spans="2:5">
      <c r="B2618" s="426">
        <v>2405</v>
      </c>
      <c r="C2618" s="411">
        <v>14918</v>
      </c>
      <c r="D2618" s="412">
        <v>45439</v>
      </c>
      <c r="E2618" s="410" t="s">
        <v>9957</v>
      </c>
    </row>
    <row r="2619" spans="2:5">
      <c r="B2619" s="426">
        <v>2405</v>
      </c>
      <c r="C2619" s="411">
        <v>14917</v>
      </c>
      <c r="D2619" s="412">
        <v>45439</v>
      </c>
      <c r="E2619" s="410" t="s">
        <v>9958</v>
      </c>
    </row>
    <row r="2620" spans="2:5">
      <c r="B2620" s="426">
        <v>2405</v>
      </c>
      <c r="C2620" s="411">
        <v>14913</v>
      </c>
      <c r="D2620" s="412">
        <v>45439</v>
      </c>
      <c r="E2620" s="410" t="s">
        <v>10051</v>
      </c>
    </row>
    <row r="2621" spans="2:5">
      <c r="B2621" s="426">
        <v>2405</v>
      </c>
      <c r="C2621" s="411">
        <v>14908</v>
      </c>
      <c r="D2621" s="412">
        <v>45439</v>
      </c>
      <c r="E2621" s="410" t="s">
        <v>9959</v>
      </c>
    </row>
    <row r="2622" spans="2:5">
      <c r="B2622" s="426">
        <v>2405</v>
      </c>
      <c r="C2622" s="411">
        <v>14900</v>
      </c>
      <c r="D2622" s="412">
        <v>45439</v>
      </c>
      <c r="E2622" s="410" t="s">
        <v>10052</v>
      </c>
    </row>
    <row r="2623" spans="2:5">
      <c r="B2623" s="426">
        <v>2405</v>
      </c>
      <c r="C2623" s="411">
        <v>14899</v>
      </c>
      <c r="D2623" s="412">
        <v>45439</v>
      </c>
      <c r="E2623" s="410" t="s">
        <v>10053</v>
      </c>
    </row>
    <row r="2624" spans="2:5">
      <c r="B2624" s="426">
        <v>2405</v>
      </c>
      <c r="C2624" s="411">
        <v>14896</v>
      </c>
      <c r="D2624" s="412">
        <v>45439</v>
      </c>
      <c r="E2624" s="410" t="s">
        <v>10054</v>
      </c>
    </row>
    <row r="2625" spans="2:5">
      <c r="B2625" s="426">
        <v>2405</v>
      </c>
      <c r="C2625" s="411">
        <v>14893</v>
      </c>
      <c r="D2625" s="412">
        <v>45439</v>
      </c>
      <c r="E2625" s="410" t="s">
        <v>9960</v>
      </c>
    </row>
    <row r="2626" spans="2:5">
      <c r="B2626" s="426">
        <v>2405</v>
      </c>
      <c r="C2626" s="411">
        <v>14891</v>
      </c>
      <c r="D2626" s="412">
        <v>45439</v>
      </c>
      <c r="E2626" s="410" t="s">
        <v>10055</v>
      </c>
    </row>
    <row r="2627" spans="2:5">
      <c r="B2627" s="426">
        <v>2405</v>
      </c>
      <c r="C2627" s="411">
        <v>14885</v>
      </c>
      <c r="D2627" s="412">
        <v>45439</v>
      </c>
      <c r="E2627" s="410" t="s">
        <v>9961</v>
      </c>
    </row>
    <row r="2628" spans="2:5">
      <c r="B2628" s="426">
        <v>2405</v>
      </c>
      <c r="C2628" s="411">
        <v>14878</v>
      </c>
      <c r="D2628" s="412">
        <v>45439</v>
      </c>
      <c r="E2628" s="410" t="s">
        <v>10056</v>
      </c>
    </row>
    <row r="2629" spans="2:5">
      <c r="B2629" s="426">
        <v>2405</v>
      </c>
      <c r="C2629" s="411">
        <v>14877</v>
      </c>
      <c r="D2629" s="412">
        <v>45439</v>
      </c>
      <c r="E2629" s="410" t="s">
        <v>10057</v>
      </c>
    </row>
    <row r="2630" spans="2:5">
      <c r="B2630" s="413">
        <v>2405</v>
      </c>
      <c r="C2630" s="413">
        <v>14785</v>
      </c>
      <c r="D2630" s="414">
        <v>45448</v>
      </c>
      <c r="E2630" s="49" t="s">
        <v>11531</v>
      </c>
    </row>
    <row r="2631" spans="2:5">
      <c r="B2631" s="426">
        <v>2405</v>
      </c>
      <c r="C2631" s="426">
        <v>14156</v>
      </c>
      <c r="D2631" s="412">
        <v>45453</v>
      </c>
      <c r="E2631" s="424" t="s">
        <v>12509</v>
      </c>
    </row>
    <row r="2632" spans="2:5">
      <c r="B2632" s="426">
        <v>2405</v>
      </c>
      <c r="C2632" s="411">
        <v>14018</v>
      </c>
      <c r="D2632" s="412">
        <v>45440</v>
      </c>
      <c r="E2632" s="410" t="s">
        <v>10484</v>
      </c>
    </row>
    <row r="2633" spans="2:5">
      <c r="B2633" s="426">
        <v>2405</v>
      </c>
      <c r="C2633" s="411">
        <v>13554</v>
      </c>
      <c r="D2633" s="412">
        <v>45453</v>
      </c>
      <c r="E2633" s="423" t="s">
        <v>12405</v>
      </c>
    </row>
    <row r="2634" spans="2:5">
      <c r="B2634" s="426">
        <v>2405</v>
      </c>
      <c r="C2634" s="411">
        <v>11093</v>
      </c>
      <c r="D2634" s="412">
        <v>45453</v>
      </c>
      <c r="E2634" s="423" t="s">
        <v>12419</v>
      </c>
    </row>
    <row r="2635" spans="2:5">
      <c r="B2635" s="426">
        <v>2405</v>
      </c>
      <c r="C2635" s="411">
        <v>8005</v>
      </c>
      <c r="D2635" s="412">
        <v>45450</v>
      </c>
      <c r="E2635" s="424" t="s">
        <v>11773</v>
      </c>
    </row>
    <row r="2636" spans="2:5">
      <c r="B2636" s="426">
        <v>2405</v>
      </c>
      <c r="C2636" s="411">
        <v>3865</v>
      </c>
      <c r="D2636" s="412">
        <v>45450</v>
      </c>
      <c r="E2636" s="424" t="s">
        <v>11774</v>
      </c>
    </row>
    <row r="2637" spans="2:5">
      <c r="B2637" s="426">
        <v>2405</v>
      </c>
      <c r="C2637" s="411">
        <v>2525</v>
      </c>
      <c r="D2637" s="412">
        <v>45453</v>
      </c>
      <c r="E2637" s="424" t="s">
        <v>12520</v>
      </c>
    </row>
    <row r="2638" spans="2:5">
      <c r="B2638" s="426">
        <v>2405</v>
      </c>
      <c r="C2638" s="411">
        <v>1107</v>
      </c>
      <c r="D2638" s="412">
        <v>45453</v>
      </c>
      <c r="E2638" s="424" t="s">
        <v>12530</v>
      </c>
    </row>
    <row r="2639" spans="2:5">
      <c r="B2639" s="413">
        <v>2404</v>
      </c>
      <c r="C2639" s="413">
        <v>19227</v>
      </c>
      <c r="D2639" s="414">
        <v>45453</v>
      </c>
      <c r="E2639" s="428" t="s">
        <v>12458</v>
      </c>
    </row>
    <row r="2640" spans="2:5">
      <c r="B2640" s="426">
        <v>2404</v>
      </c>
      <c r="C2640" s="411">
        <v>8458</v>
      </c>
      <c r="D2640" s="412">
        <v>45453</v>
      </c>
      <c r="E2640" s="424" t="s">
        <v>12441</v>
      </c>
    </row>
    <row r="2641" spans="2:5">
      <c r="B2641" s="426">
        <v>2404</v>
      </c>
      <c r="C2641" s="411">
        <v>7593</v>
      </c>
      <c r="D2641" s="412">
        <v>45453</v>
      </c>
      <c r="E2641" s="424" t="s">
        <v>12464</v>
      </c>
    </row>
    <row r="2642" spans="2:5">
      <c r="B2642" s="426">
        <v>2404</v>
      </c>
      <c r="C2642" s="411">
        <v>3189</v>
      </c>
      <c r="D2642" s="412">
        <v>45453</v>
      </c>
      <c r="E2642" s="424" t="s">
        <v>12519</v>
      </c>
    </row>
    <row r="2643" spans="2:5">
      <c r="B2643" s="426">
        <v>2404</v>
      </c>
      <c r="C2643" s="411">
        <v>1490</v>
      </c>
      <c r="D2643" s="412">
        <v>45453</v>
      </c>
      <c r="E2643" s="424" t="s">
        <v>12465</v>
      </c>
    </row>
    <row r="2644" spans="2:5">
      <c r="B2644" s="426">
        <v>2403</v>
      </c>
      <c r="C2644" s="411">
        <v>19369</v>
      </c>
      <c r="D2644" s="412">
        <v>45453</v>
      </c>
      <c r="E2644" s="424" t="s">
        <v>12496</v>
      </c>
    </row>
    <row r="2645" spans="2:5">
      <c r="B2645" s="426">
        <v>2403</v>
      </c>
      <c r="C2645" s="411">
        <v>7750</v>
      </c>
      <c r="D2645" s="412">
        <v>45453</v>
      </c>
      <c r="E2645" s="424" t="s">
        <v>12514</v>
      </c>
    </row>
    <row r="2646" spans="2:5">
      <c r="B2646" s="426">
        <v>2403</v>
      </c>
      <c r="C2646" s="411">
        <v>4173</v>
      </c>
      <c r="D2646" s="412">
        <v>45453</v>
      </c>
      <c r="E2646" s="424" t="s">
        <v>12440</v>
      </c>
    </row>
    <row r="2647" spans="2:5">
      <c r="B2647" s="426">
        <v>2403</v>
      </c>
      <c r="C2647" s="411">
        <v>1444</v>
      </c>
      <c r="D2647" s="412">
        <v>45453</v>
      </c>
      <c r="E2647" s="424" t="s">
        <v>12452</v>
      </c>
    </row>
    <row r="2648" spans="2:5">
      <c r="B2648" s="426">
        <v>2402</v>
      </c>
      <c r="C2648" s="411">
        <v>15478</v>
      </c>
      <c r="D2648" s="412">
        <v>45453</v>
      </c>
      <c r="E2648" s="424" t="s">
        <v>12490</v>
      </c>
    </row>
    <row r="2649" spans="2:5">
      <c r="B2649" s="426">
        <v>2402</v>
      </c>
      <c r="C2649" s="411">
        <v>12976</v>
      </c>
      <c r="D2649" s="412">
        <v>45453</v>
      </c>
      <c r="E2649" s="424" t="s">
        <v>12474</v>
      </c>
    </row>
    <row r="2650" spans="2:5">
      <c r="B2650" s="413">
        <v>2402</v>
      </c>
      <c r="C2650" s="413">
        <v>12908</v>
      </c>
      <c r="D2650" s="414">
        <v>45448</v>
      </c>
      <c r="E2650" s="49" t="s">
        <v>11532</v>
      </c>
    </row>
    <row r="2651" spans="2:5">
      <c r="B2651" s="426">
        <v>2402</v>
      </c>
      <c r="C2651" s="426">
        <v>15393</v>
      </c>
      <c r="D2651" s="427">
        <v>45453</v>
      </c>
      <c r="E2651" s="423" t="s">
        <v>12392</v>
      </c>
    </row>
    <row r="2652" spans="2:5">
      <c r="B2652" s="426">
        <v>2402</v>
      </c>
      <c r="C2652" s="426">
        <v>13903</v>
      </c>
      <c r="D2652" s="427">
        <v>45453</v>
      </c>
      <c r="E2652" s="424" t="s">
        <v>12455</v>
      </c>
    </row>
    <row r="2653" spans="2:5">
      <c r="B2653" s="426">
        <v>2402</v>
      </c>
      <c r="C2653" s="426">
        <v>13852</v>
      </c>
      <c r="D2653" s="427">
        <v>45453</v>
      </c>
      <c r="E2653" s="424" t="s">
        <v>12535</v>
      </c>
    </row>
    <row r="2654" spans="2:5">
      <c r="B2654" s="426">
        <v>2402</v>
      </c>
      <c r="C2654" s="426">
        <v>12767</v>
      </c>
      <c r="D2654" s="427">
        <v>45453</v>
      </c>
      <c r="E2654" s="424" t="s">
        <v>12540</v>
      </c>
    </row>
    <row r="2655" spans="2:5">
      <c r="B2655" s="426">
        <v>2402</v>
      </c>
      <c r="C2655" s="426">
        <v>11968</v>
      </c>
      <c r="D2655" s="427">
        <v>45453</v>
      </c>
      <c r="E2655" s="424" t="s">
        <v>12491</v>
      </c>
    </row>
    <row r="2656" spans="2:5">
      <c r="B2656" s="426">
        <v>2402</v>
      </c>
      <c r="C2656" s="426">
        <v>11753</v>
      </c>
      <c r="D2656" s="427">
        <v>45453</v>
      </c>
      <c r="E2656" s="424" t="s">
        <v>12390</v>
      </c>
    </row>
    <row r="2657" spans="2:6">
      <c r="B2657" s="426">
        <v>2402</v>
      </c>
      <c r="C2657" s="426">
        <v>11709</v>
      </c>
      <c r="D2657" s="427">
        <v>45453</v>
      </c>
      <c r="E2657" s="424" t="s">
        <v>12454</v>
      </c>
    </row>
    <row r="2658" spans="2:6">
      <c r="B2658" s="426">
        <v>2402</v>
      </c>
      <c r="C2658" s="426">
        <v>11224</v>
      </c>
      <c r="D2658" s="427">
        <v>45453</v>
      </c>
      <c r="E2658" s="424" t="s">
        <v>12561</v>
      </c>
    </row>
    <row r="2659" spans="2:6">
      <c r="B2659" s="426">
        <v>2402</v>
      </c>
      <c r="C2659" s="426">
        <v>7933</v>
      </c>
      <c r="D2659" s="427">
        <v>45453</v>
      </c>
      <c r="E2659" s="424" t="s">
        <v>12542</v>
      </c>
    </row>
    <row r="2660" spans="2:6">
      <c r="B2660" s="426">
        <v>2402</v>
      </c>
      <c r="C2660" s="426">
        <v>5187</v>
      </c>
      <c r="D2660" s="427">
        <v>45453</v>
      </c>
      <c r="E2660" s="424" t="s">
        <v>12421</v>
      </c>
    </row>
    <row r="2661" spans="2:6">
      <c r="B2661" s="426">
        <v>2402</v>
      </c>
      <c r="C2661" s="426">
        <v>5044</v>
      </c>
      <c r="D2661" s="427">
        <v>45453</v>
      </c>
      <c r="E2661" s="424" t="s">
        <v>12517</v>
      </c>
    </row>
    <row r="2662" spans="2:6">
      <c r="B2662" s="426">
        <v>2402</v>
      </c>
      <c r="C2662" s="426">
        <v>712</v>
      </c>
      <c r="D2662" s="427">
        <v>45453</v>
      </c>
      <c r="E2662" s="424" t="s">
        <v>12503</v>
      </c>
    </row>
    <row r="2663" spans="2:6">
      <c r="B2663" s="426">
        <v>2402</v>
      </c>
      <c r="C2663" s="426">
        <v>534</v>
      </c>
      <c r="D2663" s="427">
        <v>45453</v>
      </c>
      <c r="E2663" s="424" t="s">
        <v>12556</v>
      </c>
    </row>
    <row r="2664" spans="2:6">
      <c r="B2664" s="426">
        <v>2401</v>
      </c>
      <c r="C2664" s="426">
        <v>17019</v>
      </c>
      <c r="D2664" s="427">
        <v>45453</v>
      </c>
      <c r="E2664" s="424" t="s">
        <v>12442</v>
      </c>
    </row>
    <row r="2665" spans="2:6">
      <c r="B2665" s="426">
        <v>2401</v>
      </c>
      <c r="C2665" s="426">
        <v>16845</v>
      </c>
      <c r="D2665" s="427">
        <v>45453</v>
      </c>
      <c r="E2665" s="424" t="s">
        <v>12432</v>
      </c>
    </row>
    <row r="2666" spans="2:6">
      <c r="B2666" s="413">
        <v>2401</v>
      </c>
      <c r="C2666" s="413">
        <v>11708</v>
      </c>
      <c r="D2666" s="414">
        <v>45448</v>
      </c>
      <c r="E2666" s="49" t="s">
        <v>11533</v>
      </c>
    </row>
    <row r="2667" spans="2:6">
      <c r="B2667" s="426">
        <v>2401</v>
      </c>
      <c r="C2667" s="426">
        <v>7844</v>
      </c>
      <c r="D2667" s="427">
        <v>45453</v>
      </c>
      <c r="E2667" s="424" t="s">
        <v>12487</v>
      </c>
      <c r="F2667" s="49"/>
    </row>
    <row r="2668" spans="2:6">
      <c r="B2668" s="426">
        <v>2312</v>
      </c>
      <c r="C2668" s="426">
        <v>15698</v>
      </c>
      <c r="D2668" s="427">
        <v>45453</v>
      </c>
      <c r="E2668" s="424" t="s">
        <v>12484</v>
      </c>
    </row>
    <row r="2669" spans="2:6">
      <c r="B2669" s="413">
        <v>2312</v>
      </c>
      <c r="C2669" s="413">
        <v>7729</v>
      </c>
      <c r="D2669" s="414">
        <v>45453</v>
      </c>
      <c r="E2669" s="428" t="s">
        <v>12402</v>
      </c>
    </row>
    <row r="2670" spans="2:6">
      <c r="B2670" s="426">
        <v>2312</v>
      </c>
      <c r="C2670" s="426">
        <v>2592</v>
      </c>
      <c r="D2670" s="427">
        <v>45453</v>
      </c>
      <c r="E2670" s="424" t="s">
        <v>12483</v>
      </c>
    </row>
    <row r="2671" spans="2:6">
      <c r="B2671" s="426">
        <v>2311</v>
      </c>
      <c r="C2671" s="426">
        <v>14127</v>
      </c>
      <c r="D2671" s="427">
        <v>45453</v>
      </c>
      <c r="E2671" s="424" t="s">
        <v>12562</v>
      </c>
    </row>
    <row r="2672" spans="2:6">
      <c r="B2672" s="426">
        <v>2311</v>
      </c>
      <c r="C2672" s="426">
        <v>10843</v>
      </c>
      <c r="D2672" s="427">
        <v>45453</v>
      </c>
      <c r="E2672" s="424" t="s">
        <v>12504</v>
      </c>
    </row>
    <row r="2673" spans="2:5">
      <c r="B2673" s="426">
        <v>2311</v>
      </c>
      <c r="C2673" s="426">
        <v>530</v>
      </c>
      <c r="D2673" s="427">
        <v>45453</v>
      </c>
      <c r="E2673" s="424" t="s">
        <v>12486</v>
      </c>
    </row>
    <row r="2674" spans="2:5">
      <c r="B2674" s="426">
        <v>2310</v>
      </c>
      <c r="C2674" s="426">
        <v>17976</v>
      </c>
      <c r="D2674" s="427">
        <v>45453</v>
      </c>
      <c r="E2674" s="424" t="s">
        <v>12509</v>
      </c>
    </row>
    <row r="2675" spans="2:5">
      <c r="B2675" s="426">
        <v>2310</v>
      </c>
      <c r="C2675" s="426">
        <v>15123</v>
      </c>
      <c r="D2675" s="427">
        <v>45453</v>
      </c>
      <c r="E2675" s="424" t="s">
        <v>12420</v>
      </c>
    </row>
    <row r="2676" spans="2:5">
      <c r="B2676" s="426">
        <v>2310</v>
      </c>
      <c r="C2676" s="426">
        <v>10375</v>
      </c>
      <c r="D2676" s="427">
        <v>45453</v>
      </c>
      <c r="E2676" s="424" t="s">
        <v>12499</v>
      </c>
    </row>
    <row r="2677" spans="2:5">
      <c r="B2677" s="426">
        <v>2310</v>
      </c>
      <c r="C2677" s="426">
        <v>5492</v>
      </c>
      <c r="D2677" s="427">
        <v>45453</v>
      </c>
      <c r="E2677" s="424" t="s">
        <v>12428</v>
      </c>
    </row>
    <row r="2678" spans="2:5">
      <c r="B2678" s="426">
        <v>2310</v>
      </c>
      <c r="C2678" s="426">
        <v>4361</v>
      </c>
      <c r="D2678" s="427">
        <v>45453</v>
      </c>
      <c r="E2678" s="424" t="s">
        <v>12492</v>
      </c>
    </row>
    <row r="2679" spans="2:5">
      <c r="B2679" s="426">
        <v>2308</v>
      </c>
      <c r="C2679" s="426">
        <v>918</v>
      </c>
      <c r="D2679" s="427">
        <v>45453</v>
      </c>
      <c r="E2679" s="424" t="s">
        <v>12435</v>
      </c>
    </row>
    <row r="2680" spans="2:5">
      <c r="B2680" s="426">
        <v>2306</v>
      </c>
      <c r="C2680" s="426">
        <v>8590</v>
      </c>
      <c r="D2680" s="427">
        <v>45453</v>
      </c>
      <c r="E2680" s="424" t="s">
        <v>12467</v>
      </c>
    </row>
    <row r="2681" spans="2:5">
      <c r="B2681" s="426">
        <v>2306</v>
      </c>
      <c r="C2681" s="426">
        <v>344</v>
      </c>
      <c r="D2681" s="427">
        <v>45453</v>
      </c>
      <c r="E2681" s="424" t="s">
        <v>12468</v>
      </c>
    </row>
    <row r="2682" spans="2:5">
      <c r="B2682" s="426">
        <v>2303</v>
      </c>
      <c r="C2682" s="426">
        <v>15827</v>
      </c>
      <c r="D2682" s="427">
        <v>45453</v>
      </c>
      <c r="E2682" s="424" t="s">
        <v>12557</v>
      </c>
    </row>
    <row r="2683" spans="2:5">
      <c r="B2683" s="426">
        <v>2212</v>
      </c>
      <c r="C2683" s="426">
        <v>7892</v>
      </c>
      <c r="D2683" s="427">
        <v>45453</v>
      </c>
      <c r="E2683" s="424" t="s">
        <v>12539</v>
      </c>
    </row>
    <row r="2684" spans="2:5">
      <c r="B2684" s="426">
        <v>2209</v>
      </c>
      <c r="C2684" s="426">
        <v>14915</v>
      </c>
      <c r="D2684" s="427">
        <v>45453</v>
      </c>
      <c r="E2684" s="424" t="s">
        <v>12448</v>
      </c>
    </row>
    <row r="2685" spans="2:5">
      <c r="B2685" s="413">
        <v>2209</v>
      </c>
      <c r="C2685" s="413">
        <v>2814</v>
      </c>
      <c r="D2685" s="414">
        <v>45453</v>
      </c>
      <c r="E2685" s="428" t="s">
        <v>12505</v>
      </c>
    </row>
    <row r="2686" spans="2:5">
      <c r="B2686" s="426">
        <v>2201</v>
      </c>
      <c r="C2686" s="426">
        <v>13001</v>
      </c>
      <c r="D2686" s="427">
        <v>45453</v>
      </c>
      <c r="E2686" s="424" t="s">
        <v>12393</v>
      </c>
    </row>
    <row r="2687" spans="2:5">
      <c r="B2687" s="426">
        <v>2109</v>
      </c>
      <c r="C2687" s="426">
        <v>14501</v>
      </c>
      <c r="D2687" s="427">
        <v>45453</v>
      </c>
      <c r="E2687" s="423" t="s">
        <v>12391</v>
      </c>
    </row>
    <row r="2688" spans="2:5">
      <c r="B2688" s="426">
        <v>2105</v>
      </c>
      <c r="C2688" s="411">
        <v>13287</v>
      </c>
      <c r="D2688" s="420">
        <v>45448</v>
      </c>
      <c r="E2688" s="418" t="s">
        <v>11534</v>
      </c>
    </row>
  </sheetData>
  <phoneticPr fontId="79" type="noConversion"/>
  <hyperlinks>
    <hyperlink ref="A1" location="Main!A1" display="Main" xr:uid="{48DCCC68-879D-2E43-901B-3FA5384106DB}"/>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zoomScale="130" zoomScaleNormal="130" workbookViewId="0">
      <pane xSplit="2" ySplit="2" topLeftCell="C3" activePane="bottomRight" state="frozen"/>
      <selection pane="topRight" activeCell="C1" sqref="C1"/>
      <selection pane="bottomLeft" activeCell="A3" sqref="A3"/>
      <selection pane="bottomRight" activeCell="B36" sqref="B36"/>
    </sheetView>
  </sheetViews>
  <sheetFormatPr baseColWidth="10" defaultColWidth="9" defaultRowHeight="13"/>
  <cols>
    <col min="1" max="1" width="4.33203125" style="236" bestFit="1" customWidth="1"/>
    <col min="2" max="2" width="27.33203125" style="244" customWidth="1"/>
    <col min="3" max="3" width="4.6640625" style="243" bestFit="1" customWidth="1"/>
    <col min="4" max="4" width="45" style="236" bestFit="1" customWidth="1"/>
    <col min="5" max="5" width="39.5" style="236" bestFit="1" customWidth="1"/>
    <col min="6" max="16384" width="9" style="236"/>
  </cols>
  <sheetData>
    <row r="1" spans="1:6">
      <c r="A1" s="25" t="s">
        <v>1165</v>
      </c>
    </row>
    <row r="2" spans="1:6">
      <c r="B2" s="244" t="s">
        <v>5670</v>
      </c>
      <c r="C2" s="243" t="s">
        <v>1156</v>
      </c>
      <c r="D2" s="236" t="s">
        <v>5669</v>
      </c>
      <c r="E2" s="236" t="s">
        <v>6562</v>
      </c>
      <c r="F2" s="236" t="s">
        <v>7369</v>
      </c>
    </row>
    <row r="3" spans="1:6">
      <c r="B3" s="244">
        <v>80021</v>
      </c>
      <c r="C3" s="243">
        <v>1992</v>
      </c>
      <c r="D3" s="236" t="s">
        <v>5734</v>
      </c>
      <c r="E3" s="245" t="s">
        <v>7375</v>
      </c>
      <c r="F3" s="236" t="s">
        <v>7374</v>
      </c>
    </row>
    <row r="4" spans="1:6">
      <c r="B4" s="244">
        <v>34391</v>
      </c>
      <c r="C4" s="243">
        <v>1986</v>
      </c>
      <c r="D4" s="236" t="s">
        <v>7373</v>
      </c>
      <c r="E4" s="236" t="s">
        <v>7372</v>
      </c>
      <c r="F4" s="236" t="s">
        <v>5468</v>
      </c>
    </row>
    <row r="5" spans="1:6">
      <c r="B5" s="244">
        <v>21162</v>
      </c>
      <c r="C5" s="243">
        <v>1950</v>
      </c>
      <c r="D5" s="236" t="s">
        <v>4099</v>
      </c>
      <c r="E5" s="245" t="s">
        <v>7371</v>
      </c>
      <c r="F5" s="236" t="s">
        <v>7370</v>
      </c>
    </row>
    <row r="18" spans="2:10">
      <c r="B18" s="108"/>
      <c r="C18" s="109"/>
      <c r="D18" s="108"/>
      <c r="E18" s="108"/>
      <c r="F18" s="108"/>
      <c r="G18" s="108"/>
      <c r="H18" s="108"/>
      <c r="I18" s="108"/>
      <c r="J18" s="108"/>
    </row>
    <row r="19" spans="2:10">
      <c r="B19" s="135" t="s">
        <v>4214</v>
      </c>
      <c r="C19" s="109"/>
      <c r="D19" s="108"/>
      <c r="E19" s="108"/>
      <c r="F19" s="108"/>
      <c r="G19" s="108"/>
      <c r="H19" s="135" t="s">
        <v>5467</v>
      </c>
      <c r="I19" s="108"/>
      <c r="J19" s="108"/>
    </row>
    <row r="20" spans="2:10">
      <c r="B20" s="108" t="s">
        <v>4213</v>
      </c>
      <c r="C20" s="109"/>
      <c r="D20" s="108"/>
      <c r="E20" s="108"/>
      <c r="F20" s="108"/>
      <c r="G20" s="108"/>
      <c r="H20" s="205" t="s">
        <v>7220</v>
      </c>
      <c r="I20" s="108"/>
      <c r="J20" s="108"/>
    </row>
    <row r="21" spans="2:10">
      <c r="B21" s="108" t="s">
        <v>5382</v>
      </c>
      <c r="C21" s="109"/>
      <c r="D21" s="108"/>
      <c r="E21" s="108"/>
      <c r="F21" s="108"/>
      <c r="G21" s="108"/>
      <c r="H21" s="212" t="s">
        <v>7227</v>
      </c>
      <c r="I21" s="108"/>
      <c r="J21" s="108"/>
    </row>
    <row r="22" spans="2:10">
      <c r="B22" s="205" t="s">
        <v>7221</v>
      </c>
      <c r="C22" s="109"/>
      <c r="D22" s="108"/>
      <c r="E22" s="108"/>
      <c r="F22" s="108"/>
      <c r="G22" s="108"/>
      <c r="H22" s="212" t="s">
        <v>7226</v>
      </c>
      <c r="I22" s="108"/>
      <c r="J22" s="108"/>
    </row>
    <row r="23" spans="2:10">
      <c r="B23" s="108" t="s">
        <v>4212</v>
      </c>
      <c r="C23" s="109"/>
      <c r="D23" s="108"/>
      <c r="E23" s="108"/>
      <c r="F23" s="108"/>
      <c r="G23" s="108"/>
      <c r="H23" s="175" t="s">
        <v>6938</v>
      </c>
      <c r="I23" s="108"/>
      <c r="J23" s="108"/>
    </row>
    <row r="24" spans="2:10">
      <c r="B24" s="205" t="s">
        <v>7223</v>
      </c>
      <c r="C24" s="109"/>
      <c r="D24" s="108"/>
      <c r="E24" s="108"/>
      <c r="F24" s="108"/>
      <c r="G24" s="108"/>
      <c r="H24" s="205" t="s">
        <v>7219</v>
      </c>
      <c r="I24" s="108"/>
      <c r="J24" s="108"/>
    </row>
    <row r="25" spans="2:10">
      <c r="B25" s="108" t="s">
        <v>5380</v>
      </c>
      <c r="C25" s="109"/>
      <c r="D25" s="108"/>
      <c r="E25" s="108"/>
      <c r="F25" s="108"/>
      <c r="G25" s="108"/>
      <c r="H25" s="175" t="s">
        <v>6837</v>
      </c>
      <c r="I25" s="108"/>
      <c r="J25" s="108"/>
    </row>
    <row r="26" spans="2:10">
      <c r="B26" s="205" t="s">
        <v>7222</v>
      </c>
      <c r="C26" s="109"/>
      <c r="D26" s="108"/>
      <c r="E26" s="108"/>
      <c r="F26" s="108"/>
      <c r="G26" s="108"/>
      <c r="H26" s="175" t="s">
        <v>6820</v>
      </c>
      <c r="I26" s="108"/>
      <c r="J26" s="108"/>
    </row>
    <row r="27" spans="2:10">
      <c r="B27" s="108" t="s">
        <v>4211</v>
      </c>
      <c r="C27" s="109"/>
      <c r="D27" s="108"/>
      <c r="E27" s="108"/>
      <c r="F27" s="108"/>
      <c r="G27" s="108"/>
      <c r="H27" s="108" t="s">
        <v>6036</v>
      </c>
      <c r="I27" s="108"/>
      <c r="J27" s="108"/>
    </row>
    <row r="28" spans="2:10">
      <c r="B28" s="108" t="s">
        <v>4210</v>
      </c>
      <c r="C28" s="109"/>
      <c r="D28" s="108"/>
      <c r="E28" s="108"/>
      <c r="F28" s="108"/>
      <c r="G28" s="108"/>
      <c r="H28" s="175" t="s">
        <v>6929</v>
      </c>
      <c r="I28" s="108"/>
      <c r="J28" s="108"/>
    </row>
    <row r="29" spans="2:10">
      <c r="B29" s="212" t="s">
        <v>7225</v>
      </c>
      <c r="C29" s="109"/>
      <c r="D29" s="108"/>
      <c r="E29" s="108"/>
      <c r="F29" s="108"/>
      <c r="G29" s="108"/>
      <c r="H29" s="205" t="s">
        <v>7218</v>
      </c>
      <c r="I29" s="108"/>
      <c r="J29" s="108"/>
    </row>
    <row r="30" spans="2:10">
      <c r="B30" s="108" t="s">
        <v>4209</v>
      </c>
      <c r="C30" s="109"/>
      <c r="D30" s="108"/>
      <c r="E30" s="108"/>
      <c r="F30" s="108"/>
      <c r="G30" s="108"/>
      <c r="H30" s="175" t="s">
        <v>6878</v>
      </c>
      <c r="I30" s="108"/>
      <c r="J30" s="108"/>
    </row>
    <row r="31" spans="2:10">
      <c r="B31" s="108" t="s">
        <v>4208</v>
      </c>
      <c r="C31" s="109"/>
      <c r="D31" s="108"/>
      <c r="E31" s="108"/>
      <c r="F31" s="108"/>
      <c r="G31" s="108"/>
      <c r="H31" s="108" t="s">
        <v>6035</v>
      </c>
      <c r="I31" s="108"/>
      <c r="J31" s="108"/>
    </row>
    <row r="32" spans="2:10">
      <c r="B32" s="108" t="s">
        <v>5468</v>
      </c>
      <c r="C32" s="109"/>
      <c r="D32" s="108"/>
      <c r="E32" s="108"/>
      <c r="F32" s="108"/>
      <c r="G32" s="108"/>
      <c r="H32" s="212" t="s">
        <v>7224</v>
      </c>
      <c r="I32" s="108"/>
      <c r="J32" s="108"/>
    </row>
    <row r="33" spans="2:10">
      <c r="B33" s="108" t="s">
        <v>4207</v>
      </c>
      <c r="C33" s="109"/>
      <c r="D33" s="108"/>
      <c r="E33" s="108"/>
      <c r="F33" s="108"/>
      <c r="G33" s="108"/>
      <c r="H33" s="108"/>
      <c r="I33" s="108"/>
      <c r="J33" s="108"/>
    </row>
    <row r="34" spans="2:10">
      <c r="B34" s="108" t="s">
        <v>4206</v>
      </c>
      <c r="C34" s="109"/>
      <c r="D34" s="108"/>
      <c r="E34" s="108"/>
      <c r="F34" s="108"/>
      <c r="G34" s="108"/>
      <c r="H34" s="108"/>
      <c r="I34" s="108"/>
      <c r="J34" s="108"/>
    </row>
    <row r="35" spans="2:10">
      <c r="B35" s="390" t="s">
        <v>9614</v>
      </c>
      <c r="C35" s="109"/>
      <c r="D35" s="108"/>
      <c r="E35" s="108"/>
      <c r="F35" s="108"/>
      <c r="G35" s="108"/>
      <c r="H35" s="108"/>
      <c r="I35" s="108"/>
      <c r="J35" s="108"/>
    </row>
    <row r="36" spans="2:10">
      <c r="B36" s="108" t="s">
        <v>4205</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Main</vt:lpstr>
      <vt:lpstr>Companies</vt:lpstr>
      <vt:lpstr>Investors</vt:lpstr>
      <vt:lpstr>EO Avoid List</vt:lpstr>
      <vt:lpstr>Glossary</vt:lpstr>
      <vt:lpstr>Diffusion</vt:lpstr>
      <vt:lpstr>Papers</vt:lpstr>
      <vt:lpstr>arXiv</vt:lpstr>
      <vt:lpstr>Top Papers</vt:lpstr>
      <vt:lpstr>LLM Vendors</vt:lpstr>
      <vt:lpstr>Inference</vt:lpstr>
      <vt:lpstr>Audio Papers</vt:lpstr>
      <vt:lpstr>TTS Companies</vt:lpstr>
      <vt:lpstr>Audio</vt:lpstr>
      <vt:lpstr>Images</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2024-06-11T05:03:37Z</dcterms:modified>
</cp:coreProperties>
</file>