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D5E4A957-7809-4344-9CB6-5D98BDCA8B21}" xr6:coauthVersionLast="47" xr6:coauthVersionMax="47" xr10:uidLastSave="{00000000-0000-0000-0000-000000000000}"/>
  <bookViews>
    <workbookView xWindow="-46590" yWindow="1605" windowWidth="25485" windowHeight="1773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0" i="1" l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6" i="1"/>
  <c r="T307" i="1"/>
  <c r="T306" i="1"/>
  <c r="T305" i="1"/>
  <c r="T303" i="1"/>
  <c r="T304" i="1"/>
  <c r="T302" i="1"/>
  <c r="T301" i="1"/>
  <c r="T300" i="1"/>
  <c r="T299" i="1"/>
  <c r="T298" i="1"/>
  <c r="T297" i="1"/>
  <c r="T296" i="1"/>
  <c r="T295" i="1"/>
  <c r="T294" i="1"/>
  <c r="T283" i="1"/>
  <c r="T293" i="1"/>
  <c r="T292" i="1"/>
  <c r="T291" i="1"/>
  <c r="T290" i="1"/>
  <c r="T289" i="1"/>
  <c r="T288" i="1"/>
  <c r="T287" i="1"/>
  <c r="T286" i="1"/>
  <c r="T285" i="1"/>
  <c r="T284" i="1"/>
  <c r="T282" i="1"/>
  <c r="T281" i="1"/>
  <c r="T280" i="1"/>
  <c r="T279" i="1"/>
  <c r="T278" i="1"/>
  <c r="T277" i="1"/>
  <c r="T276" i="1"/>
  <c r="B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09" i="1"/>
  <c r="Z14" i="1" s="1"/>
  <c r="T60" i="1"/>
  <c r="Z13" i="1" s="1"/>
  <c r="Z6" i="1"/>
  <c r="T258" i="1"/>
  <c r="T62" i="1"/>
  <c r="T66" i="1"/>
  <c r="T33" i="1"/>
  <c r="T257" i="1"/>
  <c r="T256" i="1"/>
  <c r="T255" i="1"/>
  <c r="T53" i="1"/>
  <c r="T156" i="1"/>
  <c r="T253" i="1"/>
  <c r="T182" i="1"/>
  <c r="T75" i="1"/>
  <c r="T69" i="1"/>
  <c r="T254" i="1"/>
  <c r="T252" i="1"/>
  <c r="T251" i="1"/>
  <c r="T250" i="1"/>
  <c r="T211" i="1"/>
  <c r="T119" i="1"/>
  <c r="T41" i="1"/>
  <c r="T39" i="1"/>
  <c r="T214" i="1"/>
  <c r="T11" i="1"/>
  <c r="Z9" i="1" s="1"/>
  <c r="T30" i="1"/>
  <c r="T29" i="1"/>
  <c r="T28" i="1"/>
  <c r="T27" i="1"/>
  <c r="T26" i="1"/>
  <c r="T25" i="1"/>
  <c r="T24" i="1"/>
  <c r="T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3" i="1"/>
  <c r="T212" i="1"/>
  <c r="T210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1" i="1"/>
  <c r="T180" i="1"/>
  <c r="T179" i="1"/>
  <c r="T178" i="1"/>
  <c r="T177" i="1"/>
  <c r="T176" i="1"/>
  <c r="T175" i="1"/>
  <c r="T174" i="1"/>
  <c r="T173" i="1"/>
  <c r="T172" i="1"/>
  <c r="P171" i="1"/>
  <c r="T171" i="1" s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8" i="1"/>
  <c r="T16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4" i="1"/>
  <c r="T73" i="1"/>
  <c r="T72" i="1"/>
  <c r="T71" i="1"/>
  <c r="T70" i="1"/>
  <c r="T68" i="1"/>
  <c r="T67" i="1"/>
  <c r="T65" i="1"/>
  <c r="T64" i="1"/>
  <c r="T63" i="1"/>
  <c r="T61" i="1"/>
  <c r="T59" i="1"/>
  <c r="T58" i="1"/>
  <c r="T57" i="1"/>
  <c r="T56" i="1"/>
  <c r="T55" i="1"/>
  <c r="T54" i="1"/>
  <c r="T52" i="1"/>
  <c r="T51" i="1"/>
  <c r="T50" i="1"/>
  <c r="T49" i="1"/>
  <c r="T48" i="1"/>
  <c r="T47" i="1"/>
  <c r="T46" i="1"/>
  <c r="T45" i="1"/>
  <c r="T44" i="1"/>
  <c r="T43" i="1"/>
  <c r="T3" i="1"/>
  <c r="T7" i="1"/>
  <c r="T8" i="1"/>
  <c r="T12" i="1"/>
  <c r="Z8" i="1" s="1"/>
  <c r="T13" i="1"/>
  <c r="T10" i="1"/>
  <c r="T9" i="1"/>
  <c r="T15" i="1"/>
  <c r="T17" i="1"/>
  <c r="Z10" i="1" s="1"/>
  <c r="T18" i="1"/>
  <c r="Z12" i="1" s="1"/>
  <c r="T19" i="1"/>
  <c r="T21" i="1"/>
  <c r="T22" i="1"/>
  <c r="T23" i="1"/>
  <c r="T31" i="1"/>
  <c r="T32" i="1"/>
  <c r="T34" i="1"/>
  <c r="T35" i="1"/>
  <c r="T37" i="1"/>
  <c r="T38" i="1"/>
  <c r="T40" i="1"/>
  <c r="T42" i="1"/>
  <c r="A7" i="1"/>
  <c r="A8" i="1" s="1"/>
  <c r="Z11" i="1" l="1"/>
  <c r="Z7" i="1"/>
  <c r="Z4" i="1"/>
  <c r="Z5" i="1"/>
  <c r="Z3" i="1"/>
  <c r="W3" i="1"/>
  <c r="AA11" i="1" s="1"/>
  <c r="AB35" i="1"/>
  <c r="AA4" i="1" l="1"/>
  <c r="AA14" i="1"/>
  <c r="AA13" i="1"/>
  <c r="AA12" i="1"/>
  <c r="AA10" i="1"/>
  <c r="AA9" i="1"/>
  <c r="AA6" i="1"/>
  <c r="AA7" i="1"/>
  <c r="AA5" i="1"/>
  <c r="AA8" i="1"/>
  <c r="AA3" i="1"/>
  <c r="AB37" i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83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<sst xmlns="http://schemas.openxmlformats.org/spreadsheetml/2006/main" count="2948" uniqueCount="1250">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</sst>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Main!$Y$3:$Y$12</c:f>
              <c:strCache>
                <c:ptCount val="10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4">
                  <c:v>MSFT</c:v>
                </c:pt>
                <c:pt idx="5">
                  <c:v>AMZN</c:v>
                </c:pt>
                <c:pt idx="6">
                  <c:v>BIDU</c:v>
                </c:pt>
                <c:pt idx="7">
                  <c:v>Reddit</c:v>
                </c:pt>
                <c:pt idx="8">
                  <c:v>News</c:v>
                </c:pt>
                <c:pt idx="9">
                  <c:v>Discord</c:v>
                </c:pt>
              </c:strCache>
            </c:strRef>
          </c:cat>
          <c:val>
            <c:numRef>
              <c:f>Main!$Z$3:$Z$12</c:f>
              <c:numCache>
                <c:formatCode>#,##0</c:formatCode>
                <c:ptCount val="10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4">
                  <c:v>54671.418333333342</c:v>
                </c:pt>
                <c:pt idx="5">
                  <c:v>28236.23333333333</c:v>
                </c:pt>
                <c:pt idx="6">
                  <c:v>24384.75</c:v>
                </c:pt>
                <c:pt idx="7">
                  <c:v>13669.250000000002</c:v>
                </c:pt>
                <c:pt idx="8">
                  <c:v>12277.512833333332</c:v>
                </c:pt>
                <c:pt idx="9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1184816</xdr:colOff>
      <xdr:row>1</xdr:row>
      <xdr:rowOff>159369</xdr:rowOff>
    </xdr:from>
    <xdr:to>
      <xdr:col>34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E1349"/>
  <sheetViews>
    <sheetView tabSelected="1" zoomScale="115" zoomScaleNormal="115" workbookViewId="0">
      <pane xSplit="6" ySplit="2" topLeftCell="X3" activePane="bottomRight" state="frozen"/>
      <selection pane="topRight" activeCell="E1" sqref="E1"/>
      <selection pane="bottomLeft" activeCell="A3" sqref="A3"/>
      <selection pane="bottomRight" activeCell="AA13" sqref="AA13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3.5703125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4.85546875" style="1" customWidth="1"/>
    <col min="14" max="14" width="9.28515625" style="1" bestFit="1" customWidth="1"/>
    <col min="15" max="15" width="10.42578125" style="1" customWidth="1"/>
    <col min="16" max="16" width="10.140625" style="1" customWidth="1"/>
    <col min="17" max="17" width="9.42578125" style="1" customWidth="1"/>
    <col min="18" max="18" width="9.42578125" customWidth="1"/>
    <col min="19" max="19" width="9.140625" bestFit="1" customWidth="1"/>
    <col min="20" max="20" width="13" customWidth="1"/>
    <col min="23" max="23" width="9.28515625" bestFit="1" customWidth="1"/>
    <col min="26" max="26" width="9.28515625" bestFit="1" customWidth="1"/>
    <col min="28" max="28" width="22.140625" customWidth="1"/>
    <col min="29" max="29" width="14.28515625" customWidth="1"/>
    <col min="30" max="30" width="8.140625" customWidth="1"/>
    <col min="31" max="31" width="9.42578125" bestFit="1" customWidth="1"/>
  </cols>
  <sheetData>
    <row r="1" spans="1:27" x14ac:dyDescent="0.2">
      <c r="G1" s="2" t="s">
        <v>742</v>
      </c>
      <c r="H1" s="15" t="s">
        <v>741</v>
      </c>
      <c r="I1" s="15" t="s">
        <v>740</v>
      </c>
      <c r="J1" s="2" t="s">
        <v>736</v>
      </c>
      <c r="Q1" s="64" t="s">
        <v>746</v>
      </c>
      <c r="R1" s="64"/>
    </row>
    <row r="2" spans="1:27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45154</v>
      </c>
      <c r="O2" s="24">
        <v>45127</v>
      </c>
      <c r="P2" s="24">
        <v>45121</v>
      </c>
      <c r="Q2" s="24">
        <v>45089</v>
      </c>
      <c r="R2" s="18">
        <v>45088</v>
      </c>
      <c r="S2" t="s">
        <v>747</v>
      </c>
      <c r="T2" t="s">
        <v>768</v>
      </c>
      <c r="U2" t="s">
        <v>773</v>
      </c>
      <c r="W2" s="8"/>
    </row>
    <row r="3" spans="1:27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77280</v>
      </c>
      <c r="O3" s="2">
        <v>77620</v>
      </c>
      <c r="P3" s="2">
        <v>77990</v>
      </c>
      <c r="Q3" s="2" t="s">
        <v>775</v>
      </c>
      <c r="R3" s="2" t="s">
        <v>775</v>
      </c>
      <c r="S3" s="19">
        <v>0.44027777777777777</v>
      </c>
      <c r="T3" s="61">
        <f>(10+(34/60))*P3</f>
        <v>824094.33333333337</v>
      </c>
      <c r="U3">
        <v>1998</v>
      </c>
      <c r="W3" s="8">
        <f>SUM(T3:T258)</f>
        <v>2399875.625299999</v>
      </c>
      <c r="X3" s="50"/>
      <c r="Y3" t="s">
        <v>1234</v>
      </c>
      <c r="Z3" s="8">
        <f>T3+T7</f>
        <v>1450678</v>
      </c>
      <c r="AA3" s="50">
        <f>Z3/W3</f>
        <v>0.60448049253329805</v>
      </c>
    </row>
    <row r="4" spans="1:27" s="5" customFormat="1" x14ac:dyDescent="0.2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>
        <v>4761</v>
      </c>
      <c r="O4" s="51" t="s">
        <v>775</v>
      </c>
      <c r="P4" s="51" t="s">
        <v>775</v>
      </c>
      <c r="Q4" s="51" t="s">
        <v>775</v>
      </c>
      <c r="R4" s="51" t="s">
        <v>775</v>
      </c>
      <c r="S4" s="57" t="s">
        <v>775</v>
      </c>
      <c r="T4" s="62" t="s">
        <v>775</v>
      </c>
      <c r="U4" s="7" t="s">
        <v>775</v>
      </c>
      <c r="Y4" t="s">
        <v>1235</v>
      </c>
      <c r="Z4" s="8">
        <f>T8+T9+T16+T31+T173</f>
        <v>275773.0033333333</v>
      </c>
      <c r="AA4" s="63">
        <f>Z4/W3</f>
        <v>0.11491137308370303</v>
      </c>
    </row>
    <row r="5" spans="1:27" s="5" customFormat="1" x14ac:dyDescent="0.2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>
        <v>2089</v>
      </c>
      <c r="O5" s="51" t="s">
        <v>775</v>
      </c>
      <c r="P5" s="51" t="s">
        <v>775</v>
      </c>
      <c r="Q5" s="51" t="s">
        <v>775</v>
      </c>
      <c r="R5" s="51" t="s">
        <v>775</v>
      </c>
      <c r="S5" s="57" t="s">
        <v>775</v>
      </c>
      <c r="T5" s="62" t="s">
        <v>775</v>
      </c>
      <c r="U5" s="6" t="s">
        <v>775</v>
      </c>
      <c r="Y5" t="s">
        <v>1236</v>
      </c>
      <c r="Z5" s="8">
        <f>T24+T25+T26+T39+T62+T74</f>
        <v>77311.713333333348</v>
      </c>
      <c r="AA5" s="50">
        <f>Z5/W3</f>
        <v>3.2214883354077531E-2</v>
      </c>
    </row>
    <row r="6" spans="1:27" s="5" customFormat="1" x14ac:dyDescent="0.2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>
        <v>3806</v>
      </c>
      <c r="O6" s="51" t="s">
        <v>775</v>
      </c>
      <c r="P6" s="51" t="s">
        <v>775</v>
      </c>
      <c r="Q6" s="51" t="s">
        <v>775</v>
      </c>
      <c r="R6" s="51" t="s">
        <v>775</v>
      </c>
      <c r="S6" s="54">
        <v>9.5833333333333326E-2</v>
      </c>
      <c r="T6" s="55">
        <f>(2+(18/60))*N6</f>
        <v>8753.7999999999993</v>
      </c>
      <c r="Y6" t="s">
        <v>1249</v>
      </c>
      <c r="Z6" s="8">
        <f>T10</f>
        <v>64767.600000000006</v>
      </c>
      <c r="AA6" s="63">
        <f>Z6/W3</f>
        <v>2.6987898588246073E-2</v>
      </c>
    </row>
    <row r="7" spans="1:27" x14ac:dyDescent="0.2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30780</v>
      </c>
      <c r="O7" s="2">
        <v>30760</v>
      </c>
      <c r="P7" s="2">
        <v>30740</v>
      </c>
      <c r="Q7" s="2" t="s">
        <v>775</v>
      </c>
      <c r="R7" s="2" t="s">
        <v>775</v>
      </c>
      <c r="S7" s="19">
        <v>0.84930555555555554</v>
      </c>
      <c r="T7" s="61">
        <f>(20+(23/60))*P7</f>
        <v>626583.66666666663</v>
      </c>
      <c r="U7">
        <v>2005</v>
      </c>
      <c r="Y7" t="s">
        <v>7</v>
      </c>
      <c r="Z7" s="8">
        <f>T19+T22+T31+T33+T35+T38+T71</f>
        <v>54671.418333333342</v>
      </c>
      <c r="AA7" s="50">
        <f>Z7/W3</f>
        <v>2.2780938210703768E-2</v>
      </c>
    </row>
    <row r="8" spans="1:27" x14ac:dyDescent="0.2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15710</v>
      </c>
      <c r="O8" s="2">
        <v>15730</v>
      </c>
      <c r="P8" s="2">
        <v>15760</v>
      </c>
      <c r="Q8" s="2" t="s">
        <v>775</v>
      </c>
      <c r="R8" s="2" t="s">
        <v>775</v>
      </c>
      <c r="S8" s="19">
        <v>0.44305555555555554</v>
      </c>
      <c r="T8" s="61">
        <f>(10+(38/60))*P8</f>
        <v>167581.33333333331</v>
      </c>
      <c r="U8">
        <v>2004</v>
      </c>
      <c r="W8" s="8"/>
      <c r="X8" s="50"/>
      <c r="Y8" t="s">
        <v>2</v>
      </c>
      <c r="Z8" s="8">
        <f>T12+T61+T57</f>
        <v>28236.23333333333</v>
      </c>
      <c r="AA8" s="50">
        <f t="shared" ref="AA8:AA14" si="1">Z8/$W$3</f>
        <v>1.1765706954002513E-2</v>
      </c>
    </row>
    <row r="9" spans="1:27" x14ac:dyDescent="0.2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6093</v>
      </c>
      <c r="O9" s="2">
        <v>6153</v>
      </c>
      <c r="P9" s="2">
        <v>6141</v>
      </c>
      <c r="Q9" s="2" t="s">
        <v>775</v>
      </c>
      <c r="R9" s="2" t="s">
        <v>775</v>
      </c>
      <c r="S9" s="19">
        <v>0.34583333333333338</v>
      </c>
      <c r="T9" s="61">
        <f>(8+(18/60))*P9</f>
        <v>50970.3</v>
      </c>
      <c r="U9">
        <v>2010</v>
      </c>
      <c r="Y9" t="s">
        <v>565</v>
      </c>
      <c r="Z9" s="8">
        <f>T11</f>
        <v>24384.75</v>
      </c>
      <c r="AA9" s="50">
        <f t="shared" si="1"/>
        <v>1.0160839063045927E-2</v>
      </c>
    </row>
    <row r="10" spans="1:27" x14ac:dyDescent="0.2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5898</v>
      </c>
      <c r="O10" s="2">
        <v>5927</v>
      </c>
      <c r="P10" s="2">
        <v>5997</v>
      </c>
      <c r="Q10" s="2" t="s">
        <v>775</v>
      </c>
      <c r="R10" s="2" t="s">
        <v>775</v>
      </c>
      <c r="S10" s="19">
        <v>0.45</v>
      </c>
      <c r="T10" s="61">
        <f>(10+(48/60))*P10</f>
        <v>64767.600000000006</v>
      </c>
      <c r="U10">
        <v>2006</v>
      </c>
      <c r="W10" s="8"/>
      <c r="X10" s="50"/>
      <c r="Y10" t="s">
        <v>1237</v>
      </c>
      <c r="Z10" s="8">
        <f>T17</f>
        <v>13669.250000000002</v>
      </c>
      <c r="AA10" s="50">
        <f t="shared" si="1"/>
        <v>5.695816006419609E-3</v>
      </c>
    </row>
    <row r="11" spans="1:27" x14ac:dyDescent="0.2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4917</v>
      </c>
      <c r="O11" s="2">
        <v>4827</v>
      </c>
      <c r="P11" s="2">
        <v>4797</v>
      </c>
      <c r="Q11" s="14"/>
      <c r="R11" s="52"/>
      <c r="S11" s="19">
        <v>0.21180555555555555</v>
      </c>
      <c r="T11" s="61">
        <f>(5+(5/60))*P11</f>
        <v>24384.75</v>
      </c>
      <c r="U11">
        <v>2000</v>
      </c>
      <c r="Y11" t="s">
        <v>1239</v>
      </c>
      <c r="Z11" s="8">
        <f>T23+T32+T46+T78+T97+T89+T110+T94+T91+T138+T90+T125+T126+T140</f>
        <v>12277.512833333332</v>
      </c>
      <c r="AA11" s="50">
        <f t="shared" si="1"/>
        <v>5.1158954672072092E-3</v>
      </c>
    </row>
    <row r="12" spans="1:27" x14ac:dyDescent="0.2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2223</v>
      </c>
      <c r="O12" s="2">
        <v>2340</v>
      </c>
      <c r="P12" s="2">
        <v>2318</v>
      </c>
      <c r="Q12" s="2" t="s">
        <v>775</v>
      </c>
      <c r="R12" s="2" t="s">
        <v>775</v>
      </c>
      <c r="S12" s="19">
        <v>0.3125</v>
      </c>
      <c r="T12" s="61">
        <f>(7+(35/60))*P12</f>
        <v>17578.166666666664</v>
      </c>
      <c r="U12">
        <v>1994</v>
      </c>
      <c r="Y12" t="s">
        <v>1238</v>
      </c>
      <c r="Z12" s="8">
        <f>T18</f>
        <v>7260.6333333333332</v>
      </c>
      <c r="AA12" s="50">
        <f t="shared" si="1"/>
        <v>3.0254206746342157E-3</v>
      </c>
    </row>
    <row r="13" spans="1:27" x14ac:dyDescent="0.2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3476</v>
      </c>
      <c r="O13" s="2">
        <v>3346</v>
      </c>
      <c r="P13" s="2">
        <v>3203</v>
      </c>
      <c r="Q13" s="2" t="s">
        <v>775</v>
      </c>
      <c r="R13" s="2" t="s">
        <v>775</v>
      </c>
      <c r="S13" s="19">
        <v>0.39166666666666666</v>
      </c>
      <c r="T13" s="8">
        <f>(8+(49/60))*P13</f>
        <v>28239.783333333333</v>
      </c>
      <c r="U13">
        <v>1995</v>
      </c>
      <c r="W13" s="8"/>
      <c r="X13" s="50"/>
      <c r="Y13" t="s">
        <v>1240</v>
      </c>
      <c r="Z13" s="8">
        <f>T60</f>
        <v>5602.9</v>
      </c>
      <c r="AA13" s="50">
        <f t="shared" si="1"/>
        <v>2.3346626554030703E-3</v>
      </c>
    </row>
    <row r="14" spans="1:27" x14ac:dyDescent="0.2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3013</v>
      </c>
      <c r="O14" s="2">
        <v>3104</v>
      </c>
      <c r="P14" s="2">
        <v>3107</v>
      </c>
      <c r="Q14" s="2" t="s">
        <v>775</v>
      </c>
      <c r="R14" s="2" t="s">
        <v>775</v>
      </c>
      <c r="S14" s="19">
        <v>0.38194444444444442</v>
      </c>
      <c r="T14" s="8">
        <f>(9+(10/60))*P14</f>
        <v>28480.833333333332</v>
      </c>
      <c r="U14">
        <v>1997</v>
      </c>
      <c r="Y14" t="s">
        <v>1241</v>
      </c>
      <c r="Z14" s="8">
        <f>T209</f>
        <v>5511.7333333333336</v>
      </c>
      <c r="AA14" s="50">
        <f t="shared" si="1"/>
        <v>2.2966745756436164E-3</v>
      </c>
    </row>
    <row r="15" spans="1:27" x14ac:dyDescent="0.2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4000</v>
      </c>
      <c r="O15" s="6">
        <v>3988</v>
      </c>
      <c r="P15" s="6">
        <v>4022</v>
      </c>
      <c r="Q15" s="2" t="s">
        <v>775</v>
      </c>
      <c r="R15" s="2" t="s">
        <v>775</v>
      </c>
      <c r="S15" s="19">
        <v>0.16111111111111112</v>
      </c>
      <c r="T15" s="8">
        <f>(3+(52/60))*P15</f>
        <v>15551.733333333334</v>
      </c>
      <c r="U15">
        <v>2001</v>
      </c>
      <c r="W15" s="8"/>
      <c r="X15" s="50"/>
    </row>
    <row r="16" spans="1:27" x14ac:dyDescent="0.2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2697</v>
      </c>
      <c r="O16" s="14" t="s">
        <v>775</v>
      </c>
      <c r="P16" s="2">
        <v>2715</v>
      </c>
      <c r="Q16" s="2" t="s">
        <v>775</v>
      </c>
      <c r="R16" s="2" t="s">
        <v>775</v>
      </c>
      <c r="S16" s="19">
        <v>0.78263888888888899</v>
      </c>
      <c r="T16" s="61">
        <f>(18+(47/60))*P16</f>
        <v>50996.750000000007</v>
      </c>
      <c r="U16">
        <v>2009</v>
      </c>
    </row>
    <row r="17" spans="1:29" x14ac:dyDescent="0.2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1686</v>
      </c>
      <c r="O17" s="2">
        <v>1636</v>
      </c>
      <c r="P17" s="2">
        <v>1605</v>
      </c>
      <c r="Q17" s="2" t="s">
        <v>775</v>
      </c>
      <c r="R17" s="2" t="s">
        <v>775</v>
      </c>
      <c r="S17" s="19">
        <v>0.35486111111111113</v>
      </c>
      <c r="T17" s="61">
        <f>(8+(31/60))*P17</f>
        <v>13669.250000000002</v>
      </c>
      <c r="U17">
        <v>2005</v>
      </c>
    </row>
    <row r="18" spans="1:29" x14ac:dyDescent="0.2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1052</v>
      </c>
      <c r="O18" s="2">
        <v>1072</v>
      </c>
      <c r="P18" s="2">
        <v>1073</v>
      </c>
      <c r="Q18" s="2" t="s">
        <v>775</v>
      </c>
      <c r="R18" s="2" t="s">
        <v>775</v>
      </c>
      <c r="S18" s="19">
        <v>0.28194444444444444</v>
      </c>
      <c r="T18" s="61">
        <f>(6+(46/60))*P18</f>
        <v>7260.6333333333332</v>
      </c>
      <c r="U18">
        <v>2015</v>
      </c>
      <c r="Z18" s="1">
        <v>1600</v>
      </c>
    </row>
    <row r="19" spans="1:29" x14ac:dyDescent="0.2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1195</v>
      </c>
      <c r="O19" s="2">
        <v>1174</v>
      </c>
      <c r="P19" s="2">
        <v>1201</v>
      </c>
      <c r="Q19" s="2" t="s">
        <v>775</v>
      </c>
      <c r="R19" s="2" t="s">
        <v>775</v>
      </c>
      <c r="S19" s="19">
        <v>0.41875000000000001</v>
      </c>
      <c r="T19" s="61">
        <f>(10+(3/60))*P19</f>
        <v>12070.050000000001</v>
      </c>
      <c r="U19">
        <v>2010</v>
      </c>
      <c r="Z19" s="1">
        <v>2800</v>
      </c>
      <c r="AB19" s="10" t="s">
        <v>568</v>
      </c>
    </row>
    <row r="20" spans="1:29" s="5" customFormat="1" x14ac:dyDescent="0.2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>
        <v>982.8</v>
      </c>
      <c r="O20" s="6">
        <v>982.8</v>
      </c>
      <c r="P20" s="51" t="s">
        <v>775</v>
      </c>
      <c r="Q20" s="51" t="s">
        <v>775</v>
      </c>
      <c r="R20" s="51" t="s">
        <v>775</v>
      </c>
      <c r="S20" s="54">
        <v>0.50138888888888888</v>
      </c>
      <c r="T20" s="62" t="s">
        <v>775</v>
      </c>
      <c r="U20" s="7" t="s">
        <v>775</v>
      </c>
      <c r="Y20"/>
      <c r="Z20"/>
      <c r="AA20"/>
      <c r="AB20" t="s">
        <v>196</v>
      </c>
      <c r="AC20" t="s">
        <v>0</v>
      </c>
    </row>
    <row r="21" spans="1:29" x14ac:dyDescent="0.2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661.6</v>
      </c>
      <c r="O21" s="2" t="s">
        <v>775</v>
      </c>
      <c r="P21" s="2">
        <v>657.6</v>
      </c>
      <c r="Q21" s="2" t="s">
        <v>775</v>
      </c>
      <c r="R21" s="2" t="s">
        <v>775</v>
      </c>
      <c r="S21" s="19">
        <v>0.28680555555555554</v>
      </c>
      <c r="T21" s="8">
        <f>(6+(53/60))*P21</f>
        <v>4526.4799999999996</v>
      </c>
      <c r="U21">
        <v>2007</v>
      </c>
      <c r="Y21" s="5"/>
      <c r="Z21" s="5"/>
      <c r="AA21" s="5"/>
      <c r="AB21" t="s">
        <v>346</v>
      </c>
      <c r="AC21" t="s">
        <v>0</v>
      </c>
    </row>
    <row r="22" spans="1:29" x14ac:dyDescent="0.2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1598</v>
      </c>
      <c r="O22" s="2" t="s">
        <v>775</v>
      </c>
      <c r="P22" s="2">
        <v>1570</v>
      </c>
      <c r="Q22" s="2" t="s">
        <v>775</v>
      </c>
      <c r="R22" s="2" t="s">
        <v>775</v>
      </c>
      <c r="S22" s="19">
        <v>0.3125</v>
      </c>
      <c r="T22" s="61">
        <f>(7.5)*P22</f>
        <v>11775</v>
      </c>
      <c r="U22">
        <v>2002</v>
      </c>
      <c r="AB22" t="s">
        <v>404</v>
      </c>
      <c r="AC22" t="s">
        <v>0</v>
      </c>
    </row>
    <row r="23" spans="1:29" x14ac:dyDescent="0.2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546.5</v>
      </c>
      <c r="O23" s="2" t="s">
        <v>775</v>
      </c>
      <c r="P23" s="2">
        <v>548.9</v>
      </c>
      <c r="Q23" s="2" t="s">
        <v>775</v>
      </c>
      <c r="R23" s="2" t="s">
        <v>775</v>
      </c>
      <c r="S23" s="19">
        <v>0.13819444444444443</v>
      </c>
      <c r="T23" s="61">
        <f>(3+(19/60))*P23</f>
        <v>1820.5183333333332</v>
      </c>
    </row>
    <row r="24" spans="1:29" x14ac:dyDescent="0.2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2623</v>
      </c>
      <c r="O24" s="2" t="s">
        <v>775</v>
      </c>
      <c r="P24" s="2">
        <v>2697</v>
      </c>
      <c r="Q24" s="2" t="s">
        <v>775</v>
      </c>
      <c r="R24" s="2" t="s">
        <v>775</v>
      </c>
      <c r="S24" s="19">
        <v>0.36180555555555555</v>
      </c>
      <c r="T24" s="61">
        <f>(8+(41/60))*P24</f>
        <v>23418.95</v>
      </c>
      <c r="U24">
        <v>2007</v>
      </c>
    </row>
    <row r="25" spans="1:29" x14ac:dyDescent="0.2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2206</v>
      </c>
      <c r="O25" s="2" t="s">
        <v>775</v>
      </c>
      <c r="P25" s="2">
        <v>2392</v>
      </c>
      <c r="Q25" s="2" t="s">
        <v>775</v>
      </c>
      <c r="R25" s="2" t="s">
        <v>775</v>
      </c>
      <c r="S25" s="19">
        <v>0.35486111111111113</v>
      </c>
      <c r="T25" s="61">
        <f>(8+(31/60))*P25</f>
        <v>20371.866666666669</v>
      </c>
      <c r="U25">
        <v>2007</v>
      </c>
    </row>
    <row r="26" spans="1:29" x14ac:dyDescent="0.2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2083</v>
      </c>
      <c r="O26" s="2" t="s">
        <v>775</v>
      </c>
      <c r="P26" s="2">
        <v>2157</v>
      </c>
      <c r="Q26" s="2" t="s">
        <v>775</v>
      </c>
      <c r="R26" s="2" t="s">
        <v>775</v>
      </c>
      <c r="S26" s="19">
        <v>0.3</v>
      </c>
      <c r="T26" s="61">
        <f>(7+(12/60))*P26</f>
        <v>15530.4</v>
      </c>
      <c r="U26">
        <v>1997</v>
      </c>
    </row>
    <row r="27" spans="1:29" x14ac:dyDescent="0.2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1910</v>
      </c>
      <c r="O27" s="2" t="s">
        <v>775</v>
      </c>
      <c r="P27" s="2">
        <v>1892</v>
      </c>
      <c r="Q27" s="2" t="s">
        <v>775</v>
      </c>
      <c r="R27" s="2" t="s">
        <v>775</v>
      </c>
      <c r="S27" s="19">
        <v>0.39374999999999999</v>
      </c>
      <c r="T27" s="8">
        <f>(9+(27/60))*P27</f>
        <v>17879.399999999998</v>
      </c>
      <c r="U27">
        <v>1996</v>
      </c>
    </row>
    <row r="28" spans="1:29" x14ac:dyDescent="0.2">
      <c r="A28" s="2">
        <v>27217</v>
      </c>
      <c r="B28" s="2">
        <v>24237</v>
      </c>
      <c r="C28" s="2">
        <v>18</v>
      </c>
      <c r="D28" t="s">
        <v>777</v>
      </c>
      <c r="E28" t="s">
        <v>1247</v>
      </c>
      <c r="F28" s="2">
        <v>140270</v>
      </c>
      <c r="G28" s="2">
        <v>1814</v>
      </c>
      <c r="H28" s="58">
        <v>64.81</v>
      </c>
      <c r="I28" s="58">
        <v>25.37</v>
      </c>
      <c r="N28" s="2">
        <v>1814</v>
      </c>
      <c r="O28" s="2" t="s">
        <v>775</v>
      </c>
      <c r="P28" s="2">
        <v>1647</v>
      </c>
      <c r="Q28" s="2" t="s">
        <v>775</v>
      </c>
      <c r="R28" s="2" t="s">
        <v>775</v>
      </c>
      <c r="S28" s="19">
        <v>0.23611111111111113</v>
      </c>
      <c r="T28" s="8">
        <f>(5+(40/60))*P28</f>
        <v>9333</v>
      </c>
      <c r="U28">
        <v>1992</v>
      </c>
    </row>
    <row r="29" spans="1:29" x14ac:dyDescent="0.2">
      <c r="A29" s="2">
        <v>3522</v>
      </c>
      <c r="B29" s="2">
        <v>3282</v>
      </c>
      <c r="C29" s="2">
        <v>23</v>
      </c>
      <c r="D29" t="s">
        <v>778</v>
      </c>
      <c r="E29" t="s">
        <v>1248</v>
      </c>
      <c r="F29" s="2">
        <v>1700</v>
      </c>
      <c r="G29" s="2">
        <v>1330</v>
      </c>
      <c r="H29" s="58">
        <v>47.51</v>
      </c>
      <c r="I29" s="58">
        <v>19.87</v>
      </c>
      <c r="N29" s="2">
        <v>1330</v>
      </c>
      <c r="O29" s="2" t="s">
        <v>775</v>
      </c>
      <c r="P29" s="2">
        <v>1343</v>
      </c>
      <c r="Q29" s="2" t="s">
        <v>775</v>
      </c>
      <c r="R29" s="2" t="s">
        <v>775</v>
      </c>
      <c r="S29" s="19">
        <v>0.37083333333333335</v>
      </c>
      <c r="T29" s="8">
        <f>(8+(54/60))*P29</f>
        <v>11952.7</v>
      </c>
      <c r="U29">
        <v>2015</v>
      </c>
    </row>
    <row r="30" spans="1:29" x14ac:dyDescent="0.2">
      <c r="A30" s="2">
        <v>407</v>
      </c>
      <c r="B30" s="2">
        <v>345</v>
      </c>
      <c r="C30" s="2">
        <v>28</v>
      </c>
      <c r="D30" t="s">
        <v>779</v>
      </c>
      <c r="E30" t="s">
        <v>1248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1109</v>
      </c>
      <c r="O30" s="2" t="s">
        <v>775</v>
      </c>
      <c r="P30" s="2">
        <v>1162</v>
      </c>
      <c r="Q30" s="2" t="s">
        <v>775</v>
      </c>
      <c r="R30" s="2" t="s">
        <v>775</v>
      </c>
      <c r="S30" s="19">
        <v>0.52500000000000002</v>
      </c>
      <c r="T30" s="8">
        <f>(12+(36/60))*P30</f>
        <v>14641.199999999999</v>
      </c>
      <c r="U30">
        <v>2006</v>
      </c>
    </row>
    <row r="31" spans="1:29" x14ac:dyDescent="0.2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918</v>
      </c>
      <c r="O31" s="2" t="s">
        <v>775</v>
      </c>
      <c r="P31" s="2">
        <v>912.3</v>
      </c>
      <c r="Q31" s="2" t="s">
        <v>775</v>
      </c>
      <c r="R31" s="2" t="s">
        <v>775</v>
      </c>
      <c r="S31" s="19">
        <v>9.2361111111111116E-2</v>
      </c>
      <c r="T31" s="61">
        <f>(2+(13/60))*P31</f>
        <v>2022.2650000000001</v>
      </c>
    </row>
    <row r="32" spans="1:29" x14ac:dyDescent="0.2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530.4</v>
      </c>
      <c r="O32" s="2" t="s">
        <v>775</v>
      </c>
      <c r="P32" s="2">
        <v>569.79999999999995</v>
      </c>
      <c r="Q32" s="2" t="s">
        <v>775</v>
      </c>
      <c r="R32" s="2" t="s">
        <v>775</v>
      </c>
      <c r="S32" s="19">
        <v>0.1277777777777778</v>
      </c>
      <c r="T32" s="61">
        <f>(3+(4/60))*P32</f>
        <v>1747.3866666666665</v>
      </c>
      <c r="AB32" s="10"/>
    </row>
    <row r="33" spans="1:31" x14ac:dyDescent="0.2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620.4</v>
      </c>
      <c r="O33" s="2" t="s">
        <v>775</v>
      </c>
      <c r="P33" s="2" t="s">
        <v>775</v>
      </c>
      <c r="Q33" s="2" t="s">
        <v>775</v>
      </c>
      <c r="R33" s="2" t="s">
        <v>775</v>
      </c>
      <c r="S33" s="19">
        <v>0.22777777777777777</v>
      </c>
      <c r="T33" s="61">
        <f>(5+(28/60))*N33</f>
        <v>3391.52</v>
      </c>
      <c r="AB33" s="10"/>
    </row>
    <row r="34" spans="1:31" x14ac:dyDescent="0.2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335.1</v>
      </c>
      <c r="O34" s="2" t="s">
        <v>775</v>
      </c>
      <c r="P34" s="2">
        <v>325.5</v>
      </c>
      <c r="Q34" s="2" t="s">
        <v>775</v>
      </c>
      <c r="R34" s="2" t="s">
        <v>775</v>
      </c>
      <c r="S34" s="19">
        <v>0.37361111111111112</v>
      </c>
      <c r="T34" s="8">
        <f>(8+(58/60))*P34</f>
        <v>2918.65</v>
      </c>
      <c r="AB34" s="11"/>
      <c r="AC34" s="11"/>
      <c r="AD34" s="11"/>
      <c r="AE34" s="12"/>
    </row>
    <row r="35" spans="1:31" x14ac:dyDescent="0.2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1852</v>
      </c>
      <c r="O35" s="2" t="s">
        <v>775</v>
      </c>
      <c r="P35" s="2">
        <v>1846</v>
      </c>
      <c r="Q35" s="2" t="s">
        <v>775</v>
      </c>
      <c r="R35" s="2" t="s">
        <v>775</v>
      </c>
      <c r="S35" s="19">
        <v>0.33611111111111108</v>
      </c>
      <c r="T35" s="61">
        <f>(8+(4/60))*P35</f>
        <v>14891.066666666666</v>
      </c>
      <c r="U35">
        <v>2005</v>
      </c>
      <c r="AB35" s="11">
        <f>A57+1</f>
        <v>66</v>
      </c>
      <c r="AC35" t="s">
        <v>61</v>
      </c>
      <c r="AD35" t="s">
        <v>7</v>
      </c>
      <c r="AE35" s="2"/>
    </row>
    <row r="36" spans="1:31" s="5" customFormat="1" x14ac:dyDescent="0.2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>
        <v>1505</v>
      </c>
      <c r="O36" s="6" t="s">
        <v>775</v>
      </c>
      <c r="P36" s="6" t="s">
        <v>775</v>
      </c>
      <c r="Q36" s="51" t="s">
        <v>775</v>
      </c>
      <c r="R36" s="51" t="s">
        <v>775</v>
      </c>
      <c r="S36" s="54">
        <v>0.36388888888888887</v>
      </c>
      <c r="T36" s="6" t="s">
        <v>775</v>
      </c>
      <c r="U36" s="7" t="s">
        <v>775</v>
      </c>
      <c r="Y36"/>
      <c r="Z36"/>
      <c r="AA36"/>
      <c r="AB36" s="56"/>
    </row>
    <row r="37" spans="1:31" x14ac:dyDescent="0.2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758.9</v>
      </c>
      <c r="O37" s="2" t="s">
        <v>775</v>
      </c>
      <c r="P37" s="2">
        <v>746.8</v>
      </c>
      <c r="Q37" s="2" t="s">
        <v>775</v>
      </c>
      <c r="R37" s="2" t="s">
        <v>775</v>
      </c>
      <c r="S37" s="19">
        <v>0.36180555555555555</v>
      </c>
      <c r="T37" s="8">
        <f>(8+(41/60))*P37</f>
        <v>6484.7133333333331</v>
      </c>
      <c r="Y37" s="5"/>
      <c r="Z37" s="5"/>
      <c r="AA37" s="5"/>
      <c r="AB37" s="11">
        <f>A88+1</f>
        <v>79</v>
      </c>
      <c r="AC37" t="s">
        <v>92</v>
      </c>
      <c r="AD37" t="s">
        <v>7</v>
      </c>
    </row>
    <row r="38" spans="1:31" x14ac:dyDescent="0.2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1094</v>
      </c>
      <c r="O38" s="2" t="s">
        <v>775</v>
      </c>
      <c r="P38" s="2">
        <v>1095</v>
      </c>
      <c r="Q38" s="2" t="s">
        <v>775</v>
      </c>
      <c r="R38" s="2" t="s">
        <v>775</v>
      </c>
      <c r="S38" s="19">
        <v>0.27777777777777779</v>
      </c>
      <c r="T38" s="61">
        <f>(6+(40/60))*P38</f>
        <v>7300</v>
      </c>
      <c r="U38">
        <v>2009</v>
      </c>
    </row>
    <row r="39" spans="1:31" x14ac:dyDescent="0.2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1405</v>
      </c>
      <c r="O39" s="2" t="s">
        <v>775</v>
      </c>
      <c r="P39" s="2" t="s">
        <v>775</v>
      </c>
      <c r="Q39" s="2" t="s">
        <v>775</v>
      </c>
      <c r="R39" s="2" t="s">
        <v>775</v>
      </c>
      <c r="S39" s="19">
        <v>0.31597222222222221</v>
      </c>
      <c r="T39" s="61">
        <f>(7+(35/60))*N39</f>
        <v>10654.583333333332</v>
      </c>
    </row>
    <row r="40" spans="1:31" x14ac:dyDescent="0.2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164.8</v>
      </c>
      <c r="O40" s="2" t="s">
        <v>775</v>
      </c>
      <c r="P40" s="2">
        <v>178.8</v>
      </c>
      <c r="Q40" s="2" t="s">
        <v>775</v>
      </c>
      <c r="R40" s="2" t="s">
        <v>775</v>
      </c>
      <c r="S40" s="19">
        <v>0.45624999999999999</v>
      </c>
      <c r="T40" s="8">
        <f>(10+(57/60))*P40</f>
        <v>1957.86</v>
      </c>
    </row>
    <row r="41" spans="1:31" x14ac:dyDescent="0.2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373.7</v>
      </c>
      <c r="O41" s="2" t="s">
        <v>775</v>
      </c>
      <c r="P41" s="2">
        <v>387</v>
      </c>
      <c r="Q41" s="2" t="s">
        <v>775</v>
      </c>
      <c r="R41" s="2" t="s">
        <v>775</v>
      </c>
      <c r="S41" s="19">
        <v>0.19166666666666665</v>
      </c>
      <c r="T41" s="8">
        <f>(4+(36/60))*P41</f>
        <v>1780.1999999999998</v>
      </c>
    </row>
    <row r="42" spans="1:31" x14ac:dyDescent="0.2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1375</v>
      </c>
      <c r="O42" s="2" t="s">
        <v>775</v>
      </c>
      <c r="P42" s="2">
        <v>1390</v>
      </c>
      <c r="Q42" s="2" t="s">
        <v>775</v>
      </c>
      <c r="R42" s="2" t="s">
        <v>775</v>
      </c>
      <c r="S42" s="19">
        <v>0.2298611111111111</v>
      </c>
      <c r="T42" s="8">
        <f>(5+(31/60))*P42</f>
        <v>7668.166666666667</v>
      </c>
      <c r="U42">
        <v>1997</v>
      </c>
    </row>
    <row r="43" spans="1:31" x14ac:dyDescent="0.2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1123</v>
      </c>
      <c r="O43" s="2" t="s">
        <v>775</v>
      </c>
      <c r="P43" s="2">
        <v>1197</v>
      </c>
      <c r="Q43" s="2" t="s">
        <v>775</v>
      </c>
      <c r="R43" s="2" t="s">
        <v>775</v>
      </c>
      <c r="S43" s="19">
        <v>4.027777777777778E-2</v>
      </c>
      <c r="T43" s="8">
        <f>(58/60)*P43</f>
        <v>1157.0999999999999</v>
      </c>
      <c r="U43">
        <v>1982</v>
      </c>
    </row>
    <row r="44" spans="1:31" x14ac:dyDescent="0.2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2070</v>
      </c>
      <c r="O44" s="2" t="s">
        <v>775</v>
      </c>
      <c r="P44" s="2">
        <v>2042</v>
      </c>
      <c r="Q44" s="2" t="s">
        <v>775</v>
      </c>
      <c r="R44" s="2" t="s">
        <v>775</v>
      </c>
      <c r="S44" s="19">
        <v>0.15625</v>
      </c>
      <c r="T44" s="8">
        <f>(3+(45/60))*P44</f>
        <v>7657.5</v>
      </c>
      <c r="U44">
        <v>2016</v>
      </c>
    </row>
    <row r="45" spans="1:31" x14ac:dyDescent="0.2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316.10000000000002</v>
      </c>
      <c r="O45" s="2" t="s">
        <v>775</v>
      </c>
      <c r="P45" s="2">
        <v>312.60000000000002</v>
      </c>
      <c r="Q45" s="2" t="s">
        <v>775</v>
      </c>
      <c r="R45" s="2" t="s">
        <v>775</v>
      </c>
      <c r="S45" s="19">
        <v>0.25763888888888892</v>
      </c>
      <c r="T45" s="8">
        <f>(6+(11/60))*P45</f>
        <v>1932.9100000000003</v>
      </c>
    </row>
    <row r="46" spans="1:31" x14ac:dyDescent="0.2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257.8</v>
      </c>
      <c r="O46" s="2" t="s">
        <v>775</v>
      </c>
      <c r="P46" s="2">
        <v>268.8</v>
      </c>
      <c r="Q46" s="2" t="s">
        <v>775</v>
      </c>
      <c r="R46" s="2" t="s">
        <v>775</v>
      </c>
      <c r="S46" s="19">
        <v>0.2673611111111111</v>
      </c>
      <c r="T46" s="61">
        <f>(6+(25/60))*P46</f>
        <v>1724.8000000000002</v>
      </c>
    </row>
    <row r="47" spans="1:31" x14ac:dyDescent="0.2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652.6</v>
      </c>
      <c r="O47" s="2" t="s">
        <v>775</v>
      </c>
      <c r="P47" s="2">
        <v>643</v>
      </c>
      <c r="Q47" s="2" t="s">
        <v>775</v>
      </c>
      <c r="R47" s="2" t="s">
        <v>775</v>
      </c>
      <c r="S47" s="19">
        <v>0.12916666666666668</v>
      </c>
      <c r="T47" s="8">
        <f>(3+(6/60))*P47</f>
        <v>1993.3</v>
      </c>
    </row>
    <row r="48" spans="1:31" x14ac:dyDescent="0.2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958.1</v>
      </c>
      <c r="O48" s="2" t="s">
        <v>775</v>
      </c>
      <c r="P48" s="2">
        <v>945.3</v>
      </c>
      <c r="Q48" s="2" t="s">
        <v>775</v>
      </c>
      <c r="R48" s="2" t="s">
        <v>775</v>
      </c>
      <c r="S48" s="19">
        <v>0.25</v>
      </c>
      <c r="T48" s="8">
        <f>6*P48</f>
        <v>5671.7999999999993</v>
      </c>
    </row>
    <row r="49" spans="1:30" x14ac:dyDescent="0.2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809.5</v>
      </c>
      <c r="O49" s="2" t="s">
        <v>775</v>
      </c>
      <c r="P49" s="2">
        <v>801.5</v>
      </c>
      <c r="Q49" s="2" t="s">
        <v>775</v>
      </c>
      <c r="R49" s="2" t="s">
        <v>775</v>
      </c>
      <c r="S49" s="19">
        <v>0.56944444444444442</v>
      </c>
      <c r="T49" s="8">
        <f>(13+(40/60))*P49</f>
        <v>10953.833333333332</v>
      </c>
    </row>
    <row r="50" spans="1:30" x14ac:dyDescent="0.2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422</v>
      </c>
      <c r="O50" s="2" t="s">
        <v>775</v>
      </c>
      <c r="P50" s="2">
        <v>417.9</v>
      </c>
      <c r="Q50" s="2" t="s">
        <v>775</v>
      </c>
      <c r="R50" s="2" t="s">
        <v>775</v>
      </c>
      <c r="S50" s="19">
        <v>0.24027777777777778</v>
      </c>
      <c r="T50" s="8">
        <f>(5+(46/60))*P50</f>
        <v>2409.89</v>
      </c>
    </row>
    <row r="51" spans="1:30" x14ac:dyDescent="0.2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725</v>
      </c>
      <c r="O51" s="2" t="s">
        <v>775</v>
      </c>
      <c r="P51" s="2">
        <v>706.2</v>
      </c>
      <c r="Q51" s="2" t="s">
        <v>775</v>
      </c>
      <c r="R51" s="2" t="s">
        <v>775</v>
      </c>
      <c r="S51" s="19">
        <v>0.21666666666666667</v>
      </c>
      <c r="T51" s="8">
        <f>(5+(12/60))*P51</f>
        <v>3672.2400000000002</v>
      </c>
    </row>
    <row r="52" spans="1:30" x14ac:dyDescent="0.2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695.7</v>
      </c>
      <c r="O52" s="2" t="s">
        <v>775</v>
      </c>
      <c r="P52" s="2">
        <v>711.5</v>
      </c>
      <c r="Q52" s="2" t="s">
        <v>775</v>
      </c>
      <c r="R52" s="2" t="s">
        <v>775</v>
      </c>
      <c r="S52" s="19">
        <v>0.14583333333333334</v>
      </c>
      <c r="T52" s="8">
        <f>(3.5)*P52</f>
        <v>2490.25</v>
      </c>
    </row>
    <row r="53" spans="1:30" x14ac:dyDescent="0.2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638.9</v>
      </c>
      <c r="O53" s="2" t="s">
        <v>775</v>
      </c>
      <c r="P53" s="2" t="s">
        <v>775</v>
      </c>
      <c r="Q53" s="2" t="s">
        <v>775</v>
      </c>
      <c r="R53" s="2" t="s">
        <v>775</v>
      </c>
      <c r="S53" s="19">
        <v>0.1451388888888889</v>
      </c>
      <c r="T53" s="8">
        <f>(3+(29/30))*N53</f>
        <v>2534.3033333333333</v>
      </c>
    </row>
    <row r="54" spans="1:30" x14ac:dyDescent="0.2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570.5</v>
      </c>
      <c r="O54" s="2" t="s">
        <v>775</v>
      </c>
      <c r="P54" s="2">
        <v>570.1</v>
      </c>
      <c r="Q54" s="2" t="s">
        <v>775</v>
      </c>
      <c r="R54" s="2" t="s">
        <v>775</v>
      </c>
      <c r="S54" s="19">
        <v>0.2722222222222222</v>
      </c>
      <c r="T54" s="8">
        <f>(6+(32/60))*P54</f>
        <v>3724.6533333333332</v>
      </c>
    </row>
    <row r="55" spans="1:30" x14ac:dyDescent="0.2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572</v>
      </c>
      <c r="O55" s="2" t="s">
        <v>775</v>
      </c>
      <c r="P55" s="2">
        <v>599.4</v>
      </c>
      <c r="Q55" s="2" t="s">
        <v>775</v>
      </c>
      <c r="R55" s="2" t="s">
        <v>775</v>
      </c>
      <c r="S55" s="19">
        <v>5.1388888888888894E-2</v>
      </c>
      <c r="T55" s="8">
        <f>(1+(14/60))*P55</f>
        <v>739.26</v>
      </c>
    </row>
    <row r="56" spans="1:30" x14ac:dyDescent="0.2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245.3</v>
      </c>
      <c r="O56" s="2" t="s">
        <v>775</v>
      </c>
      <c r="P56" s="2">
        <v>238.7</v>
      </c>
      <c r="Q56" s="2" t="s">
        <v>775</v>
      </c>
      <c r="R56" s="2" t="s">
        <v>775</v>
      </c>
      <c r="S56" s="19">
        <v>0.1125</v>
      </c>
      <c r="T56" s="8">
        <f>(2+(42/60))*P56</f>
        <v>644.49</v>
      </c>
    </row>
    <row r="57" spans="1:30" x14ac:dyDescent="0.2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1025</v>
      </c>
      <c r="O57" s="2" t="s">
        <v>775</v>
      </c>
      <c r="P57" s="2">
        <v>1002</v>
      </c>
      <c r="Q57" s="2" t="s">
        <v>775</v>
      </c>
      <c r="R57" s="2" t="s">
        <v>775</v>
      </c>
      <c r="S57" s="19">
        <v>0.37847222222222227</v>
      </c>
      <c r="T57" s="61">
        <f>(9+(5/60))*P57</f>
        <v>9101.5</v>
      </c>
      <c r="AD57" s="2"/>
    </row>
    <row r="58" spans="1:30" x14ac:dyDescent="0.2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194.5</v>
      </c>
      <c r="O58" s="2" t="s">
        <v>775</v>
      </c>
      <c r="P58" s="2">
        <v>208.2</v>
      </c>
      <c r="Q58" s="2" t="s">
        <v>775</v>
      </c>
      <c r="R58" s="2" t="s">
        <v>775</v>
      </c>
      <c r="S58" s="19">
        <v>0.20347222222222219</v>
      </c>
      <c r="T58" s="8">
        <f>(4+(53/60))*P58</f>
        <v>1016.7099999999998</v>
      </c>
      <c r="AD58" s="2"/>
    </row>
    <row r="59" spans="1:30" x14ac:dyDescent="0.2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270.8</v>
      </c>
      <c r="O59" s="2" t="s">
        <v>775</v>
      </c>
      <c r="P59" s="2">
        <v>243.5</v>
      </c>
      <c r="Q59" s="2" t="s">
        <v>775</v>
      </c>
      <c r="R59" s="2" t="s">
        <v>775</v>
      </c>
      <c r="S59" s="19">
        <v>0.4770833333333333</v>
      </c>
      <c r="T59" s="8">
        <f>(11+(27/60))*P59</f>
        <v>2788.0749999999998</v>
      </c>
      <c r="AD59" s="2"/>
    </row>
    <row r="60" spans="1:30" s="3" customFormat="1" x14ac:dyDescent="0.2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1303</v>
      </c>
      <c r="O60" s="4">
        <v>1406</v>
      </c>
      <c r="P60" s="4">
        <v>1448</v>
      </c>
      <c r="Q60" s="4" t="s">
        <v>775</v>
      </c>
      <c r="R60" s="4" t="s">
        <v>775</v>
      </c>
      <c r="S60" s="23">
        <v>0.17916666666666667</v>
      </c>
      <c r="T60" s="48">
        <f>(4+(18/60))*N60</f>
        <v>5602.9</v>
      </c>
      <c r="U60" s="3">
        <v>2015</v>
      </c>
      <c r="Y60"/>
      <c r="Z60"/>
      <c r="AA60"/>
    </row>
    <row r="61" spans="1:30" x14ac:dyDescent="0.2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473.1</v>
      </c>
      <c r="O61" s="2" t="s">
        <v>775</v>
      </c>
      <c r="P61" s="2">
        <v>476.5</v>
      </c>
      <c r="Q61" s="2" t="s">
        <v>775</v>
      </c>
      <c r="R61" s="2" t="s">
        <v>775</v>
      </c>
      <c r="S61" s="19">
        <v>0.1361111111111111</v>
      </c>
      <c r="T61" s="61">
        <f>(3+(16/60))*P61</f>
        <v>1556.5666666666666</v>
      </c>
      <c r="Y61" s="3"/>
      <c r="Z61" s="3"/>
      <c r="AA61" s="3"/>
      <c r="AB61" t="s">
        <v>62</v>
      </c>
      <c r="AC61" t="s">
        <v>6</v>
      </c>
    </row>
    <row r="62" spans="1:30" x14ac:dyDescent="0.2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544.70000000000005</v>
      </c>
      <c r="O62" s="2" t="s">
        <v>775</v>
      </c>
      <c r="P62" s="2" t="s">
        <v>775</v>
      </c>
      <c r="Q62" s="2" t="s">
        <v>775</v>
      </c>
      <c r="R62" s="2" t="s">
        <v>775</v>
      </c>
      <c r="S62" s="19">
        <v>0.44166666666666665</v>
      </c>
      <c r="T62" s="61">
        <f>(10+(36/60))*N62</f>
        <v>5773.8200000000006</v>
      </c>
    </row>
    <row r="63" spans="1:30" x14ac:dyDescent="0.2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211.5</v>
      </c>
      <c r="O63" s="2" t="s">
        <v>775</v>
      </c>
      <c r="P63" s="2">
        <v>209.6</v>
      </c>
      <c r="Q63" s="2" t="s">
        <v>775</v>
      </c>
      <c r="R63" s="2" t="s">
        <v>775</v>
      </c>
      <c r="S63" s="19">
        <v>0.14305555555555557</v>
      </c>
      <c r="T63" s="8">
        <f>(3+(26/60))*P63</f>
        <v>719.62666666666667</v>
      </c>
    </row>
    <row r="64" spans="1:30" x14ac:dyDescent="0.2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191.8</v>
      </c>
      <c r="O64" s="2" t="s">
        <v>775</v>
      </c>
      <c r="P64" s="2">
        <v>193.8</v>
      </c>
      <c r="Q64" s="2" t="s">
        <v>775</v>
      </c>
      <c r="R64" s="2" t="s">
        <v>775</v>
      </c>
      <c r="S64" s="19">
        <v>0.32777777777777778</v>
      </c>
      <c r="T64" s="8">
        <f>(7+(52/60))*P64</f>
        <v>1524.5600000000002</v>
      </c>
    </row>
    <row r="65" spans="1:28" x14ac:dyDescent="0.2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181.1</v>
      </c>
      <c r="O65" s="2" t="s">
        <v>775</v>
      </c>
      <c r="P65" s="2">
        <v>181.7</v>
      </c>
      <c r="Q65" s="2" t="s">
        <v>775</v>
      </c>
      <c r="R65" s="2" t="s">
        <v>775</v>
      </c>
      <c r="S65" s="19">
        <v>7.8472222222222221E-2</v>
      </c>
      <c r="T65" s="8">
        <f>(1+(53/60))*P65</f>
        <v>342.20166666666665</v>
      </c>
      <c r="AB65" t="s">
        <v>140</v>
      </c>
    </row>
    <row r="66" spans="1:28" x14ac:dyDescent="0.2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587.5</v>
      </c>
      <c r="O66" s="2" t="s">
        <v>775</v>
      </c>
      <c r="P66" s="2" t="s">
        <v>775</v>
      </c>
      <c r="Q66" s="2" t="s">
        <v>775</v>
      </c>
      <c r="R66" s="2" t="s">
        <v>775</v>
      </c>
      <c r="S66" s="19">
        <v>0.27986111111111112</v>
      </c>
      <c r="T66" s="8">
        <f>(6+(43/60))*N66</f>
        <v>3946.0416666666665</v>
      </c>
    </row>
    <row r="67" spans="1:28" x14ac:dyDescent="0.2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180.7</v>
      </c>
      <c r="O67" s="2" t="s">
        <v>775</v>
      </c>
      <c r="P67" s="2">
        <v>181.3</v>
      </c>
      <c r="Q67" s="2" t="s">
        <v>775</v>
      </c>
      <c r="R67" s="2" t="s">
        <v>775</v>
      </c>
      <c r="S67" s="19">
        <v>0.28125</v>
      </c>
      <c r="T67" s="8">
        <f>(6+(45/60))*P67</f>
        <v>1223.7750000000001</v>
      </c>
      <c r="AB67" t="s">
        <v>165</v>
      </c>
    </row>
    <row r="68" spans="1:28" x14ac:dyDescent="0.2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425.9</v>
      </c>
      <c r="O68" s="2" t="s">
        <v>775</v>
      </c>
      <c r="P68" s="2">
        <v>415</v>
      </c>
      <c r="Q68" s="2" t="s">
        <v>775</v>
      </c>
      <c r="R68" s="2" t="s">
        <v>775</v>
      </c>
      <c r="S68" s="19">
        <v>0.15138888888888888</v>
      </c>
      <c r="T68" s="8">
        <f>(3+(38/60))*P68</f>
        <v>1507.8333333333333</v>
      </c>
      <c r="AB68" t="s">
        <v>313</v>
      </c>
    </row>
    <row r="69" spans="1:28" x14ac:dyDescent="0.2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957.5</v>
      </c>
      <c r="O69" s="2" t="s">
        <v>775</v>
      </c>
      <c r="P69" s="2" t="s">
        <v>775</v>
      </c>
      <c r="Q69" s="2" t="s">
        <v>775</v>
      </c>
      <c r="R69" s="2" t="s">
        <v>775</v>
      </c>
      <c r="S69" s="19">
        <v>5.6250000000000001E-2</v>
      </c>
      <c r="T69" s="8">
        <f>(1+(21/60))*N69</f>
        <v>1292.625</v>
      </c>
    </row>
    <row r="70" spans="1:28" x14ac:dyDescent="0.2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169.5</v>
      </c>
      <c r="O70" s="2" t="s">
        <v>775</v>
      </c>
      <c r="P70" s="2">
        <v>169.3</v>
      </c>
      <c r="Q70" s="2" t="s">
        <v>775</v>
      </c>
      <c r="R70" s="2" t="s">
        <v>775</v>
      </c>
      <c r="S70" s="19">
        <v>0.47847222222222219</v>
      </c>
      <c r="T70" s="8">
        <f>(11+(29/60))*P70</f>
        <v>1944.1283333333333</v>
      </c>
      <c r="AB70" t="s">
        <v>282</v>
      </c>
    </row>
    <row r="71" spans="1:28" x14ac:dyDescent="0.2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739.4</v>
      </c>
      <c r="O71" s="2">
        <v>721.3</v>
      </c>
      <c r="P71" s="2">
        <v>729.4</v>
      </c>
      <c r="Q71" s="2" t="s">
        <v>775</v>
      </c>
      <c r="R71" s="2" t="s">
        <v>775</v>
      </c>
      <c r="S71" s="19">
        <v>0.18402777777777779</v>
      </c>
      <c r="T71" s="61">
        <f>(4+(25/60))*P71</f>
        <v>3221.5166666666669</v>
      </c>
      <c r="AB71" t="s">
        <v>283</v>
      </c>
    </row>
    <row r="72" spans="1:28" x14ac:dyDescent="0.2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119.4</v>
      </c>
      <c r="O72" s="2" t="s">
        <v>775</v>
      </c>
      <c r="P72" s="2">
        <v>111.9</v>
      </c>
      <c r="Q72" s="2" t="s">
        <v>775</v>
      </c>
      <c r="R72" s="2" t="s">
        <v>775</v>
      </c>
      <c r="S72" s="19">
        <v>0.49236111111111108</v>
      </c>
      <c r="T72" s="8">
        <f>(11+(49/60))*P72</f>
        <v>1322.2850000000001</v>
      </c>
      <c r="AB72" t="s">
        <v>266</v>
      </c>
    </row>
    <row r="73" spans="1:28" x14ac:dyDescent="0.2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328.4</v>
      </c>
      <c r="O73" s="2" t="s">
        <v>775</v>
      </c>
      <c r="P73" s="2">
        <v>328.9</v>
      </c>
      <c r="Q73" s="2" t="s">
        <v>775</v>
      </c>
      <c r="R73" s="2" t="s">
        <v>775</v>
      </c>
      <c r="S73" s="19">
        <v>0.67152777777777783</v>
      </c>
      <c r="T73" s="8">
        <f>(16+(7/60))*P73</f>
        <v>5300.7716666666665</v>
      </c>
      <c r="AB73" t="s">
        <v>261</v>
      </c>
    </row>
    <row r="74" spans="1:28" x14ac:dyDescent="0.2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290.39999999999998</v>
      </c>
      <c r="O74" s="2" t="s">
        <v>775</v>
      </c>
      <c r="P74" s="2">
        <v>296.60000000000002</v>
      </c>
      <c r="Q74" s="2" t="s">
        <v>775</v>
      </c>
      <c r="R74" s="2" t="s">
        <v>775</v>
      </c>
      <c r="S74" s="19">
        <v>0.21944444444444444</v>
      </c>
      <c r="T74" s="61">
        <f>(5+(16/60))*P74</f>
        <v>1562.0933333333335</v>
      </c>
      <c r="AB74" t="s">
        <v>192</v>
      </c>
    </row>
    <row r="75" spans="1:28" x14ac:dyDescent="0.2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1093</v>
      </c>
      <c r="O75" s="14" t="s">
        <v>775</v>
      </c>
      <c r="P75" s="14" t="s">
        <v>775</v>
      </c>
      <c r="Q75" s="14" t="s">
        <v>775</v>
      </c>
      <c r="R75" s="14" t="s">
        <v>775</v>
      </c>
      <c r="S75" s="19">
        <v>0.66805555555555562</v>
      </c>
      <c r="T75" s="8">
        <f>(16+(2/60))*N75</f>
        <v>17524.433333333334</v>
      </c>
    </row>
    <row r="76" spans="1:28" x14ac:dyDescent="0.2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164.6</v>
      </c>
      <c r="O76" s="2" t="s">
        <v>775</v>
      </c>
      <c r="P76" s="2">
        <v>165.3</v>
      </c>
      <c r="Q76" s="2" t="s">
        <v>775</v>
      </c>
      <c r="R76" s="2" t="s">
        <v>775</v>
      </c>
      <c r="S76" s="19">
        <v>0.12083333333333333</v>
      </c>
      <c r="T76" s="8">
        <f>(2+(54/60))*P76</f>
        <v>479.37</v>
      </c>
      <c r="AB76" t="s">
        <v>371</v>
      </c>
    </row>
    <row r="77" spans="1:28" x14ac:dyDescent="0.2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172.3</v>
      </c>
      <c r="O77" s="2" t="s">
        <v>775</v>
      </c>
      <c r="P77" s="2">
        <v>162.30000000000001</v>
      </c>
      <c r="Q77" s="2" t="s">
        <v>775</v>
      </c>
      <c r="R77" s="2" t="s">
        <v>775</v>
      </c>
      <c r="S77" s="19">
        <v>0.12638888888888888</v>
      </c>
      <c r="T77" s="8">
        <f>(3+(2/60))*P77</f>
        <v>492.31</v>
      </c>
      <c r="AB77" t="s">
        <v>388</v>
      </c>
    </row>
    <row r="78" spans="1:28" x14ac:dyDescent="0.2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162</v>
      </c>
      <c r="O78" s="2" t="s">
        <v>775</v>
      </c>
      <c r="P78" s="2">
        <v>165.8</v>
      </c>
      <c r="Q78" s="2" t="s">
        <v>775</v>
      </c>
      <c r="R78" s="2" t="s">
        <v>775</v>
      </c>
      <c r="S78" s="19">
        <v>0.1076388888888889</v>
      </c>
      <c r="T78" s="61">
        <f>(2+(35/60))*P78</f>
        <v>428.31666666666672</v>
      </c>
      <c r="AB78" t="s">
        <v>502</v>
      </c>
    </row>
    <row r="79" spans="1:28" x14ac:dyDescent="0.2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146.69999999999999</v>
      </c>
      <c r="O79" s="2" t="s">
        <v>775</v>
      </c>
      <c r="P79" s="2">
        <v>147.69999999999999</v>
      </c>
      <c r="Q79" s="2" t="s">
        <v>775</v>
      </c>
      <c r="R79" s="2" t="s">
        <v>775</v>
      </c>
      <c r="S79" s="19">
        <v>0.16111111111111112</v>
      </c>
      <c r="T79" s="8">
        <f>(3+(52/60))*P79</f>
        <v>571.10666666666668</v>
      </c>
      <c r="AB79" t="s">
        <v>486</v>
      </c>
    </row>
    <row r="80" spans="1:28" x14ac:dyDescent="0.2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177.3</v>
      </c>
      <c r="O80" s="2" t="s">
        <v>775</v>
      </c>
      <c r="P80" s="2">
        <v>177.7</v>
      </c>
      <c r="Q80" s="2" t="s">
        <v>775</v>
      </c>
      <c r="R80" s="2" t="s">
        <v>775</v>
      </c>
      <c r="S80" s="19">
        <v>0.12430555555555556</v>
      </c>
      <c r="T80" s="8">
        <f>(2+(59/60))*P80</f>
        <v>530.13833333333332</v>
      </c>
      <c r="AB80" t="s">
        <v>472</v>
      </c>
    </row>
    <row r="81" spans="1:28" x14ac:dyDescent="0.2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364.7</v>
      </c>
      <c r="O81" s="2" t="s">
        <v>775</v>
      </c>
      <c r="P81" s="2">
        <v>366.3</v>
      </c>
      <c r="Q81" s="2" t="s">
        <v>775</v>
      </c>
      <c r="R81" s="2" t="s">
        <v>775</v>
      </c>
      <c r="S81" s="19">
        <v>0.23680555555555557</v>
      </c>
      <c r="T81" s="8">
        <f>(5+(41/60))*P81</f>
        <v>2081.8050000000003</v>
      </c>
      <c r="AB81" t="s">
        <v>480</v>
      </c>
    </row>
    <row r="82" spans="1:28" x14ac:dyDescent="0.2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444.2</v>
      </c>
      <c r="O82" s="2" t="s">
        <v>775</v>
      </c>
      <c r="P82" s="2">
        <v>447.6</v>
      </c>
      <c r="Q82" s="2" t="s">
        <v>775</v>
      </c>
      <c r="R82" s="2" t="s">
        <v>775</v>
      </c>
      <c r="S82" s="19">
        <v>0.35902777777777778</v>
      </c>
      <c r="T82" s="8">
        <f>(8+(37/60))*P82</f>
        <v>3856.8200000000006</v>
      </c>
      <c r="AB82" t="s">
        <v>458</v>
      </c>
    </row>
    <row r="83" spans="1:28" x14ac:dyDescent="0.2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121.9</v>
      </c>
      <c r="O83" s="2" t="s">
        <v>775</v>
      </c>
      <c r="P83" s="2">
        <v>123.9</v>
      </c>
      <c r="Q83" s="2" t="s">
        <v>775</v>
      </c>
      <c r="R83" s="2" t="s">
        <v>775</v>
      </c>
      <c r="S83" s="19">
        <v>0.28402777777777777</v>
      </c>
      <c r="T83" s="8">
        <f>(6+(49/60))*P83</f>
        <v>844.58500000000004</v>
      </c>
      <c r="AB83" t="s">
        <v>322</v>
      </c>
    </row>
    <row r="84" spans="1:28" x14ac:dyDescent="0.2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414.6</v>
      </c>
      <c r="O84" s="2" t="s">
        <v>775</v>
      </c>
      <c r="P84" s="2">
        <v>416.9</v>
      </c>
      <c r="Q84" s="2" t="s">
        <v>775</v>
      </c>
      <c r="R84" s="2" t="s">
        <v>775</v>
      </c>
      <c r="S84" s="19">
        <v>0.11388888888888889</v>
      </c>
      <c r="T84" s="8">
        <f>(2+(44/60))*P84</f>
        <v>1139.5266666666666</v>
      </c>
      <c r="AB84" t="s">
        <v>373</v>
      </c>
    </row>
    <row r="85" spans="1:28" x14ac:dyDescent="0.2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133.30000000000001</v>
      </c>
      <c r="O85" s="2" t="s">
        <v>775</v>
      </c>
      <c r="P85" s="2">
        <v>132.80000000000001</v>
      </c>
      <c r="Q85" s="2" t="s">
        <v>775</v>
      </c>
      <c r="R85" s="2" t="s">
        <v>775</v>
      </c>
      <c r="S85" s="19">
        <v>0.23750000000000002</v>
      </c>
      <c r="T85" s="8">
        <f>(5+(42/60))*P85</f>
        <v>756.96</v>
      </c>
      <c r="AB85" t="s">
        <v>466</v>
      </c>
    </row>
    <row r="86" spans="1:28" x14ac:dyDescent="0.2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243.4</v>
      </c>
      <c r="O86" s="2" t="s">
        <v>775</v>
      </c>
      <c r="P86" s="2">
        <v>205.9</v>
      </c>
      <c r="Q86" s="2" t="s">
        <v>775</v>
      </c>
      <c r="R86" s="2" t="s">
        <v>775</v>
      </c>
      <c r="S86" s="19">
        <v>0.18402777777777779</v>
      </c>
      <c r="T86" s="8">
        <f>(4+(25/60))*P86</f>
        <v>909.39166666666677</v>
      </c>
      <c r="AB86" t="s">
        <v>473</v>
      </c>
    </row>
    <row r="87" spans="1:28" x14ac:dyDescent="0.2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150.30000000000001</v>
      </c>
      <c r="O87" s="2" t="s">
        <v>775</v>
      </c>
      <c r="P87" s="2">
        <v>142.30000000000001</v>
      </c>
      <c r="Q87" s="2" t="s">
        <v>775</v>
      </c>
      <c r="R87" s="2" t="s">
        <v>775</v>
      </c>
      <c r="S87" s="19">
        <v>0.11388888888888889</v>
      </c>
      <c r="T87" s="8">
        <f>(2+(44/60))*P87</f>
        <v>388.95333333333338</v>
      </c>
      <c r="AB87" t="s">
        <v>498</v>
      </c>
    </row>
    <row r="88" spans="1:28" x14ac:dyDescent="0.2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110.6</v>
      </c>
      <c r="O88" s="2" t="s">
        <v>775</v>
      </c>
      <c r="P88" s="2">
        <v>129.80000000000001</v>
      </c>
      <c r="Q88" s="2" t="s">
        <v>775</v>
      </c>
      <c r="R88" s="2" t="s">
        <v>775</v>
      </c>
      <c r="S88" s="19">
        <v>0.18472222222222223</v>
      </c>
      <c r="T88" s="8">
        <f>(4+(26/60))*P88</f>
        <v>575.44666666666672</v>
      </c>
      <c r="AB88" t="s">
        <v>178</v>
      </c>
    </row>
    <row r="89" spans="1:28" x14ac:dyDescent="0.2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146.80000000000001</v>
      </c>
      <c r="O89" s="2" t="s">
        <v>775</v>
      </c>
      <c r="P89" s="2">
        <v>139.80000000000001</v>
      </c>
      <c r="Q89" s="2" t="s">
        <v>775</v>
      </c>
      <c r="R89" s="2" t="s">
        <v>775</v>
      </c>
      <c r="S89" s="19">
        <v>0.14027777777777778</v>
      </c>
      <c r="T89" s="61">
        <f>(3+(22/60))*P89</f>
        <v>470.66</v>
      </c>
    </row>
    <row r="90" spans="1:28" x14ac:dyDescent="0.2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134.80000000000001</v>
      </c>
      <c r="O90" s="2" t="s">
        <v>775</v>
      </c>
      <c r="P90" s="2">
        <v>139.6</v>
      </c>
      <c r="Q90" s="2" t="s">
        <v>775</v>
      </c>
      <c r="R90" s="2" t="s">
        <v>775</v>
      </c>
      <c r="S90" s="19">
        <v>0.1111111111111111</v>
      </c>
      <c r="T90" s="61">
        <f>(2+(40/60))*P90</f>
        <v>372.26666666666665</v>
      </c>
    </row>
    <row r="91" spans="1:28" x14ac:dyDescent="0.2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456</v>
      </c>
      <c r="O91" s="2" t="s">
        <v>775</v>
      </c>
      <c r="P91" s="2">
        <v>522.79999999999995</v>
      </c>
      <c r="Q91" s="2" t="s">
        <v>775</v>
      </c>
      <c r="R91" s="2" t="s">
        <v>775</v>
      </c>
      <c r="S91" s="19">
        <v>0.12361111111111112</v>
      </c>
      <c r="T91" s="61">
        <f>(2+(58/60))*P91</f>
        <v>1550.9733333333334</v>
      </c>
    </row>
    <row r="92" spans="1:28" x14ac:dyDescent="0.2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157.4</v>
      </c>
      <c r="O92" s="2" t="s">
        <v>775</v>
      </c>
      <c r="P92" s="2">
        <v>151.5</v>
      </c>
      <c r="Q92" s="2" t="s">
        <v>775</v>
      </c>
      <c r="R92" s="2" t="s">
        <v>775</v>
      </c>
      <c r="S92" s="19">
        <v>0.13402777777777777</v>
      </c>
      <c r="T92" s="8">
        <f>(3+(13/60))*P92</f>
        <v>487.32500000000005</v>
      </c>
    </row>
    <row r="93" spans="1:28" x14ac:dyDescent="0.2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114</v>
      </c>
      <c r="O93" s="2" t="s">
        <v>775</v>
      </c>
      <c r="P93" s="2">
        <v>114.3</v>
      </c>
      <c r="Q93" s="2" t="s">
        <v>775</v>
      </c>
      <c r="R93" s="2" t="s">
        <v>775</v>
      </c>
      <c r="S93" s="19">
        <v>0.23819444444444446</v>
      </c>
      <c r="T93" s="8">
        <f>(5+(43/60))*P93</f>
        <v>653.41499999999996</v>
      </c>
      <c r="Y93" t="s">
        <v>686</v>
      </c>
    </row>
    <row r="94" spans="1:28" x14ac:dyDescent="0.2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385.6</v>
      </c>
      <c r="O94" s="2" t="s">
        <v>775</v>
      </c>
      <c r="P94" s="2">
        <v>397</v>
      </c>
      <c r="Q94" s="2" t="s">
        <v>775</v>
      </c>
      <c r="R94" s="2" t="s">
        <v>775</v>
      </c>
      <c r="S94" s="19">
        <v>0.18402777777777779</v>
      </c>
      <c r="T94" s="61">
        <f>(4+(25/60))*P94</f>
        <v>1753.4166666666667</v>
      </c>
    </row>
    <row r="95" spans="1:28" x14ac:dyDescent="0.2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130</v>
      </c>
      <c r="O95" s="2" t="s">
        <v>775</v>
      </c>
      <c r="P95" s="2">
        <v>127.7</v>
      </c>
      <c r="Q95" s="2" t="s">
        <v>775</v>
      </c>
      <c r="R95" s="2" t="s">
        <v>775</v>
      </c>
      <c r="S95" s="19">
        <v>0.35833333333333334</v>
      </c>
      <c r="T95" s="8">
        <f>(8+(36/60))*P95</f>
        <v>1098.22</v>
      </c>
    </row>
    <row r="96" spans="1:28" x14ac:dyDescent="0.2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111.5</v>
      </c>
      <c r="O96" s="2" t="s">
        <v>775</v>
      </c>
      <c r="P96" s="2">
        <v>110.1</v>
      </c>
      <c r="Q96" s="2" t="s">
        <v>775</v>
      </c>
      <c r="R96" s="2" t="s">
        <v>775</v>
      </c>
      <c r="S96" s="19">
        <v>0.22777777777777777</v>
      </c>
      <c r="T96" s="8">
        <f>(5+(28/60))*P96</f>
        <v>601.88</v>
      </c>
    </row>
    <row r="97" spans="1:25" x14ac:dyDescent="0.2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121.9</v>
      </c>
      <c r="O97" s="2" t="s">
        <v>775</v>
      </c>
      <c r="P97" s="2">
        <v>117.2</v>
      </c>
      <c r="Q97" s="2" t="s">
        <v>775</v>
      </c>
      <c r="R97" s="2" t="s">
        <v>775</v>
      </c>
      <c r="S97" s="19">
        <v>0.10347222222222223</v>
      </c>
      <c r="T97" s="61">
        <f>(2+(29/60))*P97</f>
        <v>291.04666666666668</v>
      </c>
    </row>
    <row r="98" spans="1:25" x14ac:dyDescent="0.2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107.3</v>
      </c>
      <c r="O98" s="2" t="s">
        <v>775</v>
      </c>
      <c r="P98" s="2">
        <v>109.2</v>
      </c>
      <c r="Q98" s="2" t="s">
        <v>775</v>
      </c>
      <c r="R98" s="2" t="s">
        <v>775</v>
      </c>
      <c r="S98" s="19">
        <v>0.21180555555555555</v>
      </c>
      <c r="T98" s="8">
        <f>(5+(5/60))*P98</f>
        <v>555.1</v>
      </c>
    </row>
    <row r="99" spans="1:25" x14ac:dyDescent="0.2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205.1</v>
      </c>
      <c r="O99" s="2" t="s">
        <v>775</v>
      </c>
      <c r="P99" s="2">
        <v>198.8</v>
      </c>
      <c r="Q99" s="2" t="s">
        <v>775</v>
      </c>
      <c r="R99" s="2" t="s">
        <v>775</v>
      </c>
      <c r="S99" s="19">
        <v>0.17847222222222223</v>
      </c>
      <c r="T99" s="8">
        <f>(4+(17/60))*P99</f>
        <v>851.52666666666664</v>
      </c>
    </row>
    <row r="100" spans="1:25" x14ac:dyDescent="0.2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146.9</v>
      </c>
      <c r="O100" s="2" t="s">
        <v>775</v>
      </c>
      <c r="P100" s="2">
        <v>143.5</v>
      </c>
      <c r="Q100" s="2" t="s">
        <v>775</v>
      </c>
      <c r="R100" s="2" t="s">
        <v>775</v>
      </c>
      <c r="S100" s="19">
        <v>8.0555555555555561E-2</v>
      </c>
      <c r="T100" s="8">
        <f>(1+(56/60))*P100</f>
        <v>277.43333333333334</v>
      </c>
    </row>
    <row r="101" spans="1:25" x14ac:dyDescent="0.2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108.1</v>
      </c>
      <c r="O101" s="14" t="s">
        <v>775</v>
      </c>
      <c r="P101" s="2">
        <v>107.4</v>
      </c>
      <c r="Q101" s="2" t="s">
        <v>775</v>
      </c>
      <c r="R101" s="2" t="s">
        <v>775</v>
      </c>
      <c r="S101" s="19">
        <v>0.26805555555555555</v>
      </c>
      <c r="T101" s="8">
        <f>(6+(26/60))*P101</f>
        <v>690.94</v>
      </c>
    </row>
    <row r="102" spans="1:25" x14ac:dyDescent="0.2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180.9</v>
      </c>
      <c r="O102" s="14" t="s">
        <v>775</v>
      </c>
      <c r="P102" s="2">
        <v>184.5</v>
      </c>
      <c r="Q102" s="2" t="s">
        <v>775</v>
      </c>
      <c r="R102" s="2" t="s">
        <v>775</v>
      </c>
      <c r="S102" s="19">
        <v>0.125</v>
      </c>
      <c r="T102" s="8">
        <f>3*P102</f>
        <v>553.5</v>
      </c>
    </row>
    <row r="103" spans="1:25" x14ac:dyDescent="0.2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102.3</v>
      </c>
      <c r="O103" s="14" t="s">
        <v>775</v>
      </c>
      <c r="P103" s="2">
        <v>103.8</v>
      </c>
      <c r="Q103" s="2" t="s">
        <v>775</v>
      </c>
      <c r="R103" s="2" t="s">
        <v>775</v>
      </c>
      <c r="S103" s="19">
        <v>0.18194444444444444</v>
      </c>
      <c r="T103" s="8">
        <f>(4+(22/60))*P103</f>
        <v>453.25999999999993</v>
      </c>
    </row>
    <row r="104" spans="1:25" x14ac:dyDescent="0.2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35.979999999999997</v>
      </c>
      <c r="O104" s="14" t="s">
        <v>775</v>
      </c>
      <c r="P104" s="2">
        <v>37.85</v>
      </c>
      <c r="Q104" s="2" t="s">
        <v>775</v>
      </c>
      <c r="R104" s="2" t="s">
        <v>775</v>
      </c>
      <c r="S104" s="19">
        <v>0.19791666666666666</v>
      </c>
      <c r="T104" s="8">
        <f>(4+(45/60))*P104</f>
        <v>179.78749999999999</v>
      </c>
    </row>
    <row r="105" spans="1:25" x14ac:dyDescent="0.2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59.52</v>
      </c>
      <c r="O105" s="14" t="s">
        <v>775</v>
      </c>
      <c r="P105" s="2">
        <v>66.430000000000007</v>
      </c>
      <c r="Q105" s="2" t="s">
        <v>775</v>
      </c>
      <c r="R105" s="2" t="s">
        <v>775</v>
      </c>
      <c r="S105" s="19">
        <v>0.31944444444444448</v>
      </c>
      <c r="T105" s="8">
        <f>(7+(40/60))*P105</f>
        <v>509.29666666666674</v>
      </c>
    </row>
    <row r="106" spans="1:25" x14ac:dyDescent="0.2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93.36</v>
      </c>
      <c r="O106" s="14" t="s">
        <v>775</v>
      </c>
      <c r="P106" s="2">
        <v>93.72</v>
      </c>
      <c r="Q106" s="2" t="s">
        <v>775</v>
      </c>
      <c r="R106" s="2" t="s">
        <v>775</v>
      </c>
      <c r="S106" s="19">
        <v>0.12569444444444444</v>
      </c>
      <c r="T106" s="8">
        <f>(3+(1/60))*P106</f>
        <v>282.72199999999998</v>
      </c>
    </row>
    <row r="107" spans="1:25" x14ac:dyDescent="0.2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116.3</v>
      </c>
      <c r="O107" s="14" t="s">
        <v>775</v>
      </c>
      <c r="P107" s="2">
        <v>99.1</v>
      </c>
      <c r="Q107" s="2" t="s">
        <v>775</v>
      </c>
      <c r="R107" s="2" t="s">
        <v>775</v>
      </c>
      <c r="S107" s="19">
        <v>0.12986111111111112</v>
      </c>
      <c r="T107" s="8">
        <f>(3+(7/60))*P107</f>
        <v>308.86166666666668</v>
      </c>
    </row>
    <row r="108" spans="1:25" x14ac:dyDescent="0.2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202.8</v>
      </c>
      <c r="O108" s="14" t="s">
        <v>775</v>
      </c>
      <c r="P108" s="2">
        <v>207.7</v>
      </c>
      <c r="Q108" s="2" t="s">
        <v>775</v>
      </c>
      <c r="R108" s="2" t="s">
        <v>775</v>
      </c>
      <c r="S108" s="19">
        <v>0.37083333333333335</v>
      </c>
      <c r="T108" s="8">
        <f>(8+(54/60))*P108</f>
        <v>1848.53</v>
      </c>
    </row>
    <row r="109" spans="1:25" x14ac:dyDescent="0.2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185.1</v>
      </c>
      <c r="O109" s="14" t="s">
        <v>775</v>
      </c>
      <c r="P109" s="2">
        <v>180.2</v>
      </c>
      <c r="Q109" s="2" t="s">
        <v>775</v>
      </c>
      <c r="R109" s="2" t="s">
        <v>775</v>
      </c>
      <c r="S109" s="19">
        <v>0.10694444444444444</v>
      </c>
      <c r="T109" s="8">
        <f>(2+(34/60))*P109</f>
        <v>462.51333333333326</v>
      </c>
    </row>
    <row r="110" spans="1:25" x14ac:dyDescent="0.2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97.06</v>
      </c>
      <c r="O110" s="14" t="s">
        <v>775</v>
      </c>
      <c r="P110" s="2">
        <v>90.26</v>
      </c>
      <c r="Q110" s="2" t="s">
        <v>775</v>
      </c>
      <c r="R110" s="2" t="s">
        <v>775</v>
      </c>
      <c r="S110" s="19">
        <v>8.5416666666666655E-2</v>
      </c>
      <c r="T110" s="61">
        <f>(2+(3/60))*P110</f>
        <v>185.03299999999999</v>
      </c>
      <c r="Y110" s="52" t="s">
        <v>688</v>
      </c>
    </row>
    <row r="111" spans="1:25" x14ac:dyDescent="0.2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153.6</v>
      </c>
      <c r="O111" s="14" t="s">
        <v>775</v>
      </c>
      <c r="P111" s="2">
        <v>170.8</v>
      </c>
      <c r="Q111" s="2" t="s">
        <v>775</v>
      </c>
      <c r="R111" s="2" t="s">
        <v>775</v>
      </c>
      <c r="S111" s="19">
        <v>0.1361111111111111</v>
      </c>
      <c r="T111" s="8">
        <f>(3+(16/60))*P111</f>
        <v>557.94666666666672</v>
      </c>
    </row>
    <row r="112" spans="1:25" x14ac:dyDescent="0.2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134.19999999999999</v>
      </c>
      <c r="O112" s="14" t="s">
        <v>775</v>
      </c>
      <c r="P112" s="2">
        <v>122.4</v>
      </c>
      <c r="Q112" s="2" t="s">
        <v>775</v>
      </c>
      <c r="R112" s="2" t="s">
        <v>775</v>
      </c>
      <c r="S112" s="19">
        <v>0.15625</v>
      </c>
      <c r="T112" s="8">
        <f>(3+(45/60))*P112</f>
        <v>459</v>
      </c>
    </row>
    <row r="113" spans="1:27" x14ac:dyDescent="0.2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247.1</v>
      </c>
      <c r="O113" s="14" t="s">
        <v>775</v>
      </c>
      <c r="P113" s="2">
        <v>235.2</v>
      </c>
      <c r="Q113" s="2" t="s">
        <v>775</v>
      </c>
      <c r="R113" s="2" t="s">
        <v>775</v>
      </c>
      <c r="S113" s="19">
        <v>0.14444444444444446</v>
      </c>
      <c r="T113" s="8">
        <f>(3+(28/60))*P113</f>
        <v>815.36</v>
      </c>
    </row>
    <row r="114" spans="1:27" x14ac:dyDescent="0.2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70.19</v>
      </c>
      <c r="O114" s="14" t="s">
        <v>775</v>
      </c>
      <c r="P114" s="2">
        <v>85.37</v>
      </c>
      <c r="Q114" s="2" t="s">
        <v>775</v>
      </c>
      <c r="R114" s="2" t="s">
        <v>775</v>
      </c>
      <c r="S114" s="19">
        <v>0.20972222222222223</v>
      </c>
      <c r="T114" s="8">
        <f>(5+(2/60))*P114</f>
        <v>429.69566666666668</v>
      </c>
    </row>
    <row r="115" spans="1:27" x14ac:dyDescent="0.2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104.1</v>
      </c>
      <c r="O115" s="14" t="s">
        <v>775</v>
      </c>
      <c r="P115" s="2">
        <v>106</v>
      </c>
      <c r="Q115" s="2" t="s">
        <v>775</v>
      </c>
      <c r="R115" s="2" t="s">
        <v>775</v>
      </c>
      <c r="S115" s="19">
        <v>5.0694444444444452E-2</v>
      </c>
      <c r="T115" s="8">
        <f>(1+(13/60))*P115</f>
        <v>128.96666666666667</v>
      </c>
    </row>
    <row r="116" spans="1:27" x14ac:dyDescent="0.2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88.27</v>
      </c>
      <c r="O116" s="14" t="s">
        <v>775</v>
      </c>
      <c r="P116" s="2">
        <v>95.61</v>
      </c>
      <c r="Q116" s="2" t="s">
        <v>775</v>
      </c>
      <c r="R116" s="2" t="s">
        <v>775</v>
      </c>
      <c r="S116" s="19">
        <v>0.24305555555555555</v>
      </c>
      <c r="T116" s="8">
        <f>(5+(50/60))*P116</f>
        <v>557.72500000000002</v>
      </c>
    </row>
    <row r="117" spans="1:27" x14ac:dyDescent="0.2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91.59</v>
      </c>
      <c r="O117" s="14" t="s">
        <v>775</v>
      </c>
      <c r="P117" s="2">
        <v>101.6</v>
      </c>
      <c r="Q117" s="2" t="s">
        <v>775</v>
      </c>
      <c r="R117" s="2" t="s">
        <v>775</v>
      </c>
      <c r="S117" s="19">
        <v>0.17430555555555557</v>
      </c>
      <c r="T117" s="8">
        <f>(4+(11/60))*P117</f>
        <v>425.02666666666664</v>
      </c>
    </row>
    <row r="118" spans="1:27" x14ac:dyDescent="0.2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244.9</v>
      </c>
      <c r="O118" s="14" t="s">
        <v>775</v>
      </c>
      <c r="P118" s="2">
        <v>212.1</v>
      </c>
      <c r="Q118" s="2" t="s">
        <v>775</v>
      </c>
      <c r="R118" s="2" t="s">
        <v>775</v>
      </c>
      <c r="S118" s="19">
        <v>0.20555555555555557</v>
      </c>
      <c r="T118" s="8">
        <f>(4+(56/60))*P118</f>
        <v>1046.3600000000001</v>
      </c>
    </row>
    <row r="119" spans="1:27" x14ac:dyDescent="0.2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832.3</v>
      </c>
      <c r="O119" s="14" t="s">
        <v>775</v>
      </c>
      <c r="P119" s="2" t="s">
        <v>775</v>
      </c>
      <c r="Q119" s="2" t="s">
        <v>775</v>
      </c>
      <c r="R119" s="2" t="s">
        <v>775</v>
      </c>
      <c r="S119" s="19">
        <v>0.24444444444444446</v>
      </c>
      <c r="T119" s="8">
        <f>(5+(52/60)*N119)</f>
        <v>726.3266666666666</v>
      </c>
    </row>
    <row r="120" spans="1:27" s="5" customFormat="1" x14ac:dyDescent="0.2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116.5</v>
      </c>
      <c r="O120" s="51" t="s">
        <v>775</v>
      </c>
      <c r="P120" s="6">
        <v>118.7</v>
      </c>
      <c r="Q120" s="6" t="s">
        <v>775</v>
      </c>
      <c r="R120" s="6" t="s">
        <v>775</v>
      </c>
      <c r="S120" s="54">
        <v>0.19097222222222221</v>
      </c>
      <c r="T120" s="55">
        <f>(4+(35/60))*P120</f>
        <v>544.04166666666663</v>
      </c>
      <c r="Y120"/>
      <c r="Z120"/>
      <c r="AA120"/>
    </row>
    <row r="121" spans="1:27" x14ac:dyDescent="0.2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69.39</v>
      </c>
      <c r="O121" s="14" t="s">
        <v>775</v>
      </c>
      <c r="P121" s="2">
        <v>60.28</v>
      </c>
      <c r="Q121" s="2" t="s">
        <v>775</v>
      </c>
      <c r="R121" s="2" t="s">
        <v>775</v>
      </c>
      <c r="S121" s="19">
        <v>4.5833333333333337E-2</v>
      </c>
      <c r="T121" s="8">
        <f>(1+(6/60))*P121</f>
        <v>66.308000000000007</v>
      </c>
      <c r="Y121" s="5"/>
      <c r="Z121" s="5"/>
      <c r="AA121" s="5"/>
    </row>
    <row r="122" spans="1:27" x14ac:dyDescent="0.2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83.15</v>
      </c>
      <c r="O122" s="14" t="s">
        <v>775</v>
      </c>
      <c r="P122" s="2">
        <v>76.8</v>
      </c>
      <c r="Q122" s="2" t="s">
        <v>775</v>
      </c>
      <c r="R122" s="2" t="s">
        <v>775</v>
      </c>
      <c r="S122" s="19">
        <v>0.30138888888888887</v>
      </c>
      <c r="T122" s="8">
        <f>(7+(14/60))*P122</f>
        <v>555.52</v>
      </c>
    </row>
    <row r="123" spans="1:27" x14ac:dyDescent="0.2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85.22</v>
      </c>
      <c r="O123" s="14" t="s">
        <v>775</v>
      </c>
      <c r="P123" s="2">
        <v>90.46</v>
      </c>
      <c r="Q123" s="2" t="s">
        <v>775</v>
      </c>
      <c r="R123" s="2" t="s">
        <v>775</v>
      </c>
      <c r="S123" s="19">
        <v>0.17986111111111111</v>
      </c>
      <c r="T123" s="8">
        <f>(4+(19/60))*P123</f>
        <v>390.48566666666665</v>
      </c>
    </row>
    <row r="124" spans="1:27" x14ac:dyDescent="0.2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389.5</v>
      </c>
      <c r="O124" s="14" t="s">
        <v>775</v>
      </c>
      <c r="P124" s="2">
        <v>381.2</v>
      </c>
      <c r="Q124" s="2" t="s">
        <v>775</v>
      </c>
      <c r="R124" s="2" t="s">
        <v>775</v>
      </c>
      <c r="S124" s="19">
        <v>0.3125</v>
      </c>
      <c r="T124" s="8">
        <f>7.5*P124</f>
        <v>2859</v>
      </c>
    </row>
    <row r="125" spans="1:27" x14ac:dyDescent="0.2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54.92</v>
      </c>
      <c r="O125" s="14" t="s">
        <v>775</v>
      </c>
      <c r="P125" s="2">
        <v>67.97</v>
      </c>
      <c r="Q125" s="2" t="s">
        <v>775</v>
      </c>
      <c r="R125" s="2" t="s">
        <v>775</v>
      </c>
      <c r="S125" s="19">
        <v>6.458333333333334E-2</v>
      </c>
      <c r="T125" s="61">
        <f>(1+(33/60))*P125</f>
        <v>105.3535</v>
      </c>
    </row>
    <row r="126" spans="1:27" x14ac:dyDescent="0.2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323.8</v>
      </c>
      <c r="O126" s="14" t="s">
        <v>775</v>
      </c>
      <c r="P126" s="2">
        <v>323.10000000000002</v>
      </c>
      <c r="Q126" s="2" t="s">
        <v>775</v>
      </c>
      <c r="R126" s="2" t="s">
        <v>775</v>
      </c>
      <c r="S126" s="19">
        <v>0.19166666666666665</v>
      </c>
      <c r="T126" s="61">
        <f>(4+(36/60))*P126</f>
        <v>1486.26</v>
      </c>
    </row>
    <row r="127" spans="1:27" x14ac:dyDescent="0.2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217</v>
      </c>
      <c r="O127" s="14" t="s">
        <v>775</v>
      </c>
      <c r="P127" s="2">
        <v>229.6</v>
      </c>
      <c r="Q127" s="2" t="s">
        <v>775</v>
      </c>
      <c r="R127" s="2" t="s">
        <v>775</v>
      </c>
      <c r="S127" s="19">
        <v>0.31388888888888888</v>
      </c>
      <c r="T127" s="8">
        <f>(7+(32/60))*P127</f>
        <v>1729.6533333333332</v>
      </c>
    </row>
    <row r="128" spans="1:27" x14ac:dyDescent="0.2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101.8</v>
      </c>
      <c r="O128" s="14" t="s">
        <v>775</v>
      </c>
      <c r="P128" s="2">
        <v>103</v>
      </c>
      <c r="Q128" s="14" t="s">
        <v>775</v>
      </c>
      <c r="R128" s="14" t="s">
        <v>775</v>
      </c>
      <c r="S128" s="19">
        <v>0.33888888888888885</v>
      </c>
      <c r="T128" s="8">
        <f>(8+(8/60))*P128</f>
        <v>837.73333333333323</v>
      </c>
    </row>
    <row r="129" spans="1:20" x14ac:dyDescent="0.2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118.1</v>
      </c>
      <c r="O129" s="14" t="s">
        <v>775</v>
      </c>
      <c r="P129" s="2">
        <v>109.5</v>
      </c>
      <c r="Q129" s="14" t="s">
        <v>775</v>
      </c>
      <c r="R129" s="14" t="s">
        <v>775</v>
      </c>
      <c r="S129" s="19">
        <v>5.1388888888888894E-2</v>
      </c>
      <c r="T129" s="8">
        <f>(1+(14/60))*P129</f>
        <v>135.05000000000001</v>
      </c>
    </row>
    <row r="130" spans="1:20" x14ac:dyDescent="0.2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62.25</v>
      </c>
      <c r="O130" s="14" t="s">
        <v>775</v>
      </c>
      <c r="P130" s="2">
        <v>57.19</v>
      </c>
      <c r="Q130" s="14" t="s">
        <v>775</v>
      </c>
      <c r="R130" s="14" t="s">
        <v>775</v>
      </c>
      <c r="S130" s="19">
        <v>0.44722222222222219</v>
      </c>
      <c r="T130" s="8">
        <f>(10+(44/60))*P130</f>
        <v>613.83933333333323</v>
      </c>
    </row>
    <row r="131" spans="1:20" x14ac:dyDescent="0.2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68.11</v>
      </c>
      <c r="O131" s="14" t="s">
        <v>775</v>
      </c>
      <c r="P131" s="2">
        <v>67.12</v>
      </c>
      <c r="Q131" s="14" t="s">
        <v>775</v>
      </c>
      <c r="R131" s="14" t="s">
        <v>775</v>
      </c>
      <c r="S131" s="19">
        <v>0.1277777777777778</v>
      </c>
      <c r="T131" s="8">
        <f>(3+(4/60))*P131</f>
        <v>205.83466666666669</v>
      </c>
    </row>
    <row r="132" spans="1:20" x14ac:dyDescent="0.2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78.27</v>
      </c>
      <c r="O132" s="14" t="s">
        <v>775</v>
      </c>
      <c r="P132" s="2">
        <v>79.61</v>
      </c>
      <c r="Q132" s="14" t="s">
        <v>775</v>
      </c>
      <c r="R132" s="14" t="s">
        <v>775</v>
      </c>
      <c r="S132" s="19">
        <v>0.15138888888888888</v>
      </c>
      <c r="T132" s="8">
        <f>(3+(38/60))*P132</f>
        <v>289.24966666666666</v>
      </c>
    </row>
    <row r="133" spans="1:20" x14ac:dyDescent="0.2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63.23</v>
      </c>
      <c r="O133" s="14" t="s">
        <v>775</v>
      </c>
      <c r="P133" s="2">
        <v>69.09</v>
      </c>
      <c r="Q133" s="14" t="s">
        <v>775</v>
      </c>
      <c r="R133" s="14" t="s">
        <v>775</v>
      </c>
      <c r="S133" s="19">
        <v>0.22083333333333333</v>
      </c>
      <c r="T133" s="8">
        <f>(5+(18/60))*P133</f>
        <v>366.17700000000002</v>
      </c>
    </row>
    <row r="134" spans="1:20" x14ac:dyDescent="0.2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1190</v>
      </c>
      <c r="O134" s="14" t="s">
        <v>775</v>
      </c>
      <c r="P134" s="2">
        <v>1082</v>
      </c>
      <c r="Q134" s="14" t="s">
        <v>775</v>
      </c>
      <c r="R134" s="14" t="s">
        <v>775</v>
      </c>
      <c r="S134" s="19">
        <v>0.10486111111111111</v>
      </c>
      <c r="T134" s="8">
        <f>(2+(31/60))*P134</f>
        <v>2723.0333333333333</v>
      </c>
    </row>
    <row r="135" spans="1:20" x14ac:dyDescent="0.2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390.1</v>
      </c>
      <c r="O135" s="14" t="s">
        <v>775</v>
      </c>
      <c r="P135" s="2">
        <v>392.4</v>
      </c>
      <c r="Q135" s="14" t="s">
        <v>775</v>
      </c>
      <c r="R135" s="14" t="s">
        <v>775</v>
      </c>
      <c r="S135" s="19">
        <v>0.42986111111111108</v>
      </c>
      <c r="T135" s="8">
        <f>(10+(19/60))*P135</f>
        <v>4048.2599999999998</v>
      </c>
    </row>
    <row r="136" spans="1:20" x14ac:dyDescent="0.2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643.79999999999995</v>
      </c>
      <c r="O136" s="14" t="s">
        <v>775</v>
      </c>
      <c r="P136" s="2">
        <v>618.70000000000005</v>
      </c>
      <c r="Q136" s="14" t="s">
        <v>775</v>
      </c>
      <c r="R136" s="14" t="s">
        <v>775</v>
      </c>
      <c r="S136" s="19">
        <v>0.36736111111111108</v>
      </c>
      <c r="T136" s="8">
        <f>(8+(49/60))*P136</f>
        <v>5454.8716666666669</v>
      </c>
    </row>
    <row r="137" spans="1:20" x14ac:dyDescent="0.2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239.7</v>
      </c>
      <c r="O137" s="14" t="s">
        <v>775</v>
      </c>
      <c r="P137" s="2">
        <v>241.4</v>
      </c>
      <c r="Q137" s="14" t="s">
        <v>775</v>
      </c>
      <c r="R137" s="14" t="s">
        <v>775</v>
      </c>
      <c r="S137" s="19">
        <v>0.16527777777777777</v>
      </c>
      <c r="T137" s="8">
        <f>(3+(58/60))*P137</f>
        <v>957.5533333333334</v>
      </c>
    </row>
    <row r="138" spans="1:20" x14ac:dyDescent="0.2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99.03</v>
      </c>
      <c r="O138" s="14" t="s">
        <v>775</v>
      </c>
      <c r="P138" s="2">
        <v>80.47</v>
      </c>
      <c r="Q138" s="14" t="s">
        <v>775</v>
      </c>
      <c r="R138" s="14" t="s">
        <v>775</v>
      </c>
      <c r="S138" s="19">
        <v>6.1805555555555558E-2</v>
      </c>
      <c r="T138" s="61">
        <f>(1+(29/60))*P138</f>
        <v>119.36383333333333</v>
      </c>
    </row>
    <row r="139" spans="1:20" x14ac:dyDescent="0.2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62.95</v>
      </c>
      <c r="O139" s="14" t="s">
        <v>775</v>
      </c>
      <c r="P139" s="2">
        <v>65.540000000000006</v>
      </c>
      <c r="Q139" s="14" t="s">
        <v>775</v>
      </c>
      <c r="R139" s="14" t="s">
        <v>775</v>
      </c>
      <c r="S139" s="19">
        <v>1.4583333333333332E-2</v>
      </c>
      <c r="T139" s="8">
        <f>(21/60)*P139</f>
        <v>22.939</v>
      </c>
    </row>
    <row r="140" spans="1:20" x14ac:dyDescent="0.2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78.86</v>
      </c>
      <c r="O140" s="14" t="s">
        <v>775</v>
      </c>
      <c r="P140" s="2">
        <v>80.77</v>
      </c>
      <c r="Q140" s="14" t="s">
        <v>775</v>
      </c>
      <c r="R140" s="14" t="s">
        <v>775</v>
      </c>
      <c r="S140" s="19">
        <v>0.11458333333333333</v>
      </c>
      <c r="T140" s="61">
        <f>(2+(45/60))*P140</f>
        <v>222.11749999999998</v>
      </c>
    </row>
    <row r="141" spans="1:20" x14ac:dyDescent="0.2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68.27</v>
      </c>
      <c r="O141" s="14" t="s">
        <v>775</v>
      </c>
      <c r="P141" s="2">
        <v>71.849999999999994</v>
      </c>
      <c r="Q141" s="14" t="s">
        <v>775</v>
      </c>
      <c r="R141" s="14" t="s">
        <v>775</v>
      </c>
      <c r="S141" s="19">
        <v>0.16458333333333333</v>
      </c>
      <c r="T141" s="8">
        <f>(3+(57/60))*P141</f>
        <v>283.8075</v>
      </c>
    </row>
    <row r="142" spans="1:20" x14ac:dyDescent="0.2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54.88</v>
      </c>
      <c r="O142" s="14" t="s">
        <v>775</v>
      </c>
      <c r="P142" s="2">
        <v>47.59</v>
      </c>
      <c r="Q142" s="14" t="s">
        <v>775</v>
      </c>
      <c r="R142" s="14" t="s">
        <v>775</v>
      </c>
      <c r="S142" s="19">
        <v>0.17361111111111113</v>
      </c>
      <c r="T142" s="8">
        <f>(4+(10/60))*P142</f>
        <v>198.29166666666669</v>
      </c>
    </row>
    <row r="143" spans="1:20" x14ac:dyDescent="0.2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114.4</v>
      </c>
      <c r="O143" s="14" t="s">
        <v>775</v>
      </c>
      <c r="P143" s="2">
        <v>113.1</v>
      </c>
      <c r="Q143" s="14" t="s">
        <v>775</v>
      </c>
      <c r="R143" s="14" t="s">
        <v>775</v>
      </c>
      <c r="S143" s="19">
        <v>0.125</v>
      </c>
      <c r="T143" s="8">
        <f>3*P143</f>
        <v>339.29999999999995</v>
      </c>
    </row>
    <row r="144" spans="1:20" x14ac:dyDescent="0.2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103.8</v>
      </c>
      <c r="O144" s="14" t="s">
        <v>775</v>
      </c>
      <c r="P144" s="2">
        <v>89.5</v>
      </c>
      <c r="Q144" s="14" t="s">
        <v>775</v>
      </c>
      <c r="R144" s="14" t="s">
        <v>775</v>
      </c>
      <c r="S144" s="19">
        <v>5.9722222222222225E-2</v>
      </c>
      <c r="T144" s="8">
        <f>(1+(26/60))*P144</f>
        <v>128.28333333333333</v>
      </c>
    </row>
    <row r="145" spans="1:27" x14ac:dyDescent="0.2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123.5</v>
      </c>
      <c r="O145" s="14" t="s">
        <v>775</v>
      </c>
      <c r="P145" s="2">
        <v>125.3</v>
      </c>
      <c r="Q145" s="14" t="s">
        <v>775</v>
      </c>
      <c r="R145" s="14" t="s">
        <v>775</v>
      </c>
      <c r="S145" s="19">
        <v>5.0694444444444452E-2</v>
      </c>
      <c r="T145" s="8">
        <f>(1+(13/60))*P145</f>
        <v>152.44833333333335</v>
      </c>
    </row>
    <row r="146" spans="1:27" x14ac:dyDescent="0.2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2.952</v>
      </c>
      <c r="O146" s="14" t="s">
        <v>775</v>
      </c>
      <c r="P146" s="2">
        <v>8.8130000000000006</v>
      </c>
      <c r="Q146" s="14" t="s">
        <v>775</v>
      </c>
      <c r="R146" s="14" t="s">
        <v>775</v>
      </c>
      <c r="S146" s="19">
        <v>3.9583333333333331E-2</v>
      </c>
      <c r="T146" s="8">
        <f>(57/60)*P146</f>
        <v>8.3723500000000008</v>
      </c>
    </row>
    <row r="147" spans="1:27" x14ac:dyDescent="0.2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117</v>
      </c>
      <c r="O147" s="14" t="s">
        <v>775</v>
      </c>
      <c r="P147" s="2">
        <v>116.7</v>
      </c>
      <c r="Q147" s="14" t="s">
        <v>775</v>
      </c>
      <c r="R147" s="14" t="s">
        <v>775</v>
      </c>
      <c r="S147" s="19">
        <v>0.74444444444444446</v>
      </c>
      <c r="T147" s="8">
        <f>(17+(52/60))*P147</f>
        <v>2085.04</v>
      </c>
    </row>
    <row r="148" spans="1:27" x14ac:dyDescent="0.2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69.510000000000005</v>
      </c>
      <c r="O148" s="14" t="s">
        <v>775</v>
      </c>
      <c r="P148" s="2">
        <v>70.099999999999994</v>
      </c>
      <c r="Q148" s="14" t="s">
        <v>775</v>
      </c>
      <c r="R148" s="14" t="s">
        <v>775</v>
      </c>
      <c r="S148" s="19">
        <v>0.20277777777777781</v>
      </c>
      <c r="T148" s="8">
        <f>(4+(52/60))*P148</f>
        <v>341.15333333333336</v>
      </c>
    </row>
    <row r="149" spans="1:27" x14ac:dyDescent="0.2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85.49</v>
      </c>
      <c r="O149" s="14" t="s">
        <v>775</v>
      </c>
      <c r="P149" s="2">
        <v>71.12</v>
      </c>
      <c r="Q149" s="14" t="s">
        <v>775</v>
      </c>
      <c r="R149" s="14" t="s">
        <v>775</v>
      </c>
      <c r="S149" s="19">
        <v>9.6527777777777768E-2</v>
      </c>
      <c r="T149" s="8">
        <f>(2+(19/60))*P149</f>
        <v>164.76133333333334</v>
      </c>
    </row>
    <row r="150" spans="1:27" x14ac:dyDescent="0.2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59.09</v>
      </c>
      <c r="O150" s="14" t="s">
        <v>775</v>
      </c>
      <c r="P150" s="2">
        <v>63.04</v>
      </c>
      <c r="Q150" s="14" t="s">
        <v>775</v>
      </c>
      <c r="R150" s="14" t="s">
        <v>775</v>
      </c>
      <c r="S150" s="19">
        <v>0.31527777777777777</v>
      </c>
      <c r="T150" s="8">
        <f>(7+(34/60))*P150</f>
        <v>477.00266666666664</v>
      </c>
    </row>
    <row r="151" spans="1:27" x14ac:dyDescent="0.2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44.87</v>
      </c>
      <c r="O151" s="14" t="s">
        <v>775</v>
      </c>
      <c r="P151" s="2">
        <v>44.6</v>
      </c>
      <c r="Q151" s="14" t="s">
        <v>775</v>
      </c>
      <c r="R151" s="14" t="s">
        <v>775</v>
      </c>
      <c r="S151" s="19">
        <v>0.11944444444444445</v>
      </c>
      <c r="T151" s="8">
        <f>(2+(52/60))*P151</f>
        <v>127.85333333333334</v>
      </c>
    </row>
    <row r="152" spans="1:27" x14ac:dyDescent="0.2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60.04</v>
      </c>
      <c r="O152" s="14" t="s">
        <v>775</v>
      </c>
      <c r="P152" s="2">
        <v>55.94</v>
      </c>
      <c r="Q152" s="14" t="s">
        <v>775</v>
      </c>
      <c r="R152" s="14" t="s">
        <v>775</v>
      </c>
      <c r="S152" s="19">
        <v>0.19305555555555554</v>
      </c>
      <c r="T152" s="8">
        <f>(4+(38/60))*P152</f>
        <v>259.18866666666662</v>
      </c>
    </row>
    <row r="153" spans="1:27" x14ac:dyDescent="0.2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184.6</v>
      </c>
      <c r="O153" s="14" t="s">
        <v>775</v>
      </c>
      <c r="P153" s="2">
        <v>186.2</v>
      </c>
      <c r="Q153" s="14" t="s">
        <v>775</v>
      </c>
      <c r="R153" s="14" t="s">
        <v>775</v>
      </c>
      <c r="S153" s="19">
        <v>0.60138888888888886</v>
      </c>
      <c r="T153" s="8">
        <f>(14+(26/60))*P153</f>
        <v>2687.4866666666667</v>
      </c>
    </row>
    <row r="154" spans="1:27" x14ac:dyDescent="0.2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89.78</v>
      </c>
      <c r="O154" s="14" t="s">
        <v>775</v>
      </c>
      <c r="P154" s="2">
        <v>77.06</v>
      </c>
      <c r="Q154" s="14" t="s">
        <v>775</v>
      </c>
      <c r="R154" s="14" t="s">
        <v>775</v>
      </c>
      <c r="S154" s="19">
        <v>6.0416666666666667E-2</v>
      </c>
      <c r="T154" s="8">
        <f>(1+(27/60))*P154</f>
        <v>111.73699999999999</v>
      </c>
    </row>
    <row r="155" spans="1:27" x14ac:dyDescent="0.2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81.97</v>
      </c>
      <c r="O155" s="14" t="s">
        <v>775</v>
      </c>
      <c r="P155" s="2">
        <v>81.77</v>
      </c>
      <c r="Q155" s="14" t="s">
        <v>775</v>
      </c>
      <c r="R155" s="14" t="s">
        <v>775</v>
      </c>
      <c r="S155" s="19">
        <v>0.20277777777777781</v>
      </c>
      <c r="T155" s="8">
        <f>(4+(52/60))*P155</f>
        <v>397.94733333333335</v>
      </c>
    </row>
    <row r="156" spans="1:27" x14ac:dyDescent="0.2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699.7</v>
      </c>
      <c r="O156" s="14" t="s">
        <v>775</v>
      </c>
      <c r="P156" s="2" t="s">
        <v>775</v>
      </c>
      <c r="Q156" s="14" t="s">
        <v>775</v>
      </c>
      <c r="R156" s="14" t="s">
        <v>775</v>
      </c>
      <c r="S156" s="19">
        <v>5.0694444444444452E-2</v>
      </c>
      <c r="T156" s="8">
        <f>(1+(13/60))*N156</f>
        <v>851.30166666666685</v>
      </c>
    </row>
    <row r="157" spans="1:27" x14ac:dyDescent="0.2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132.9</v>
      </c>
      <c r="O157" s="14" t="s">
        <v>775</v>
      </c>
      <c r="P157" s="2">
        <v>129.69999999999999</v>
      </c>
      <c r="Q157" s="14" t="s">
        <v>775</v>
      </c>
      <c r="R157" s="14" t="s">
        <v>775</v>
      </c>
      <c r="S157" s="19">
        <v>0.15</v>
      </c>
      <c r="T157" s="8">
        <f>(3+(36/60))*P157</f>
        <v>466.91999999999996</v>
      </c>
    </row>
    <row r="158" spans="1:27" x14ac:dyDescent="0.2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97.97</v>
      </c>
      <c r="O158" s="14" t="s">
        <v>775</v>
      </c>
      <c r="P158" s="2">
        <v>132.30000000000001</v>
      </c>
      <c r="Q158" s="14" t="s">
        <v>775</v>
      </c>
      <c r="R158" s="14" t="s">
        <v>775</v>
      </c>
      <c r="S158" s="19">
        <v>0.12013888888888889</v>
      </c>
      <c r="T158" s="8">
        <f>(2+(53/60))*P158</f>
        <v>381.46500000000003</v>
      </c>
    </row>
    <row r="159" spans="1:27" s="3" customFormat="1" x14ac:dyDescent="0.2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86.9</v>
      </c>
      <c r="O159" s="46" t="s">
        <v>775</v>
      </c>
      <c r="P159" s="4">
        <v>86.18</v>
      </c>
      <c r="Q159" s="46" t="s">
        <v>775</v>
      </c>
      <c r="R159" s="46" t="s">
        <v>775</v>
      </c>
      <c r="S159" s="21" t="s">
        <v>748</v>
      </c>
      <c r="T159" s="48">
        <f>(1+(27/60))*P159</f>
        <v>124.96100000000001</v>
      </c>
      <c r="Y159"/>
      <c r="Z159"/>
      <c r="AA159"/>
    </row>
    <row r="160" spans="1:27" x14ac:dyDescent="0.2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265.39999999999998</v>
      </c>
      <c r="O160" s="14" t="s">
        <v>775</v>
      </c>
      <c r="P160" s="2">
        <v>267.5</v>
      </c>
      <c r="Q160" s="14" t="s">
        <v>775</v>
      </c>
      <c r="R160" s="14" t="s">
        <v>775</v>
      </c>
      <c r="S160" s="19">
        <v>0.24444444444444446</v>
      </c>
      <c r="T160" s="8">
        <f>(5+(52/60))*P160</f>
        <v>1569.3333333333335</v>
      </c>
      <c r="Y160" s="3"/>
      <c r="Z160" s="3"/>
      <c r="AA160" s="3"/>
    </row>
    <row r="161" spans="1:20" x14ac:dyDescent="0.2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83.93</v>
      </c>
      <c r="O161" s="14" t="s">
        <v>775</v>
      </c>
      <c r="P161" s="2">
        <v>78.89</v>
      </c>
      <c r="Q161" s="14" t="s">
        <v>775</v>
      </c>
      <c r="R161" s="14" t="s">
        <v>775</v>
      </c>
      <c r="S161" s="19">
        <v>8.4722222222222213E-2</v>
      </c>
      <c r="T161" s="8">
        <f>(2+(2/60))*P161</f>
        <v>160.40966666666665</v>
      </c>
    </row>
    <row r="162" spans="1:20" x14ac:dyDescent="0.2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157.5</v>
      </c>
      <c r="O162" s="14" t="s">
        <v>775</v>
      </c>
      <c r="P162" s="2">
        <v>160.80000000000001</v>
      </c>
      <c r="Q162" s="14" t="s">
        <v>775</v>
      </c>
      <c r="R162" s="14" t="s">
        <v>775</v>
      </c>
      <c r="S162" s="19">
        <v>0.17291666666666669</v>
      </c>
      <c r="T162" s="8">
        <f>(4+(9/60))*P162</f>
        <v>667.32</v>
      </c>
    </row>
    <row r="163" spans="1:20" x14ac:dyDescent="0.2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114.4</v>
      </c>
      <c r="O163" s="14" t="s">
        <v>775</v>
      </c>
      <c r="P163" s="2">
        <v>124</v>
      </c>
      <c r="Q163" s="14" t="s">
        <v>775</v>
      </c>
      <c r="R163" s="14" t="s">
        <v>775</v>
      </c>
      <c r="S163" s="19">
        <v>0.13958333333333334</v>
      </c>
      <c r="T163" s="8">
        <f>(3+(21/60))*P163</f>
        <v>415.40000000000003</v>
      </c>
    </row>
    <row r="164" spans="1:20" x14ac:dyDescent="0.2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82.16</v>
      </c>
      <c r="O164" s="14" t="s">
        <v>775</v>
      </c>
      <c r="P164" s="2">
        <v>90.13</v>
      </c>
      <c r="Q164" s="14" t="s">
        <v>775</v>
      </c>
      <c r="R164" s="14" t="s">
        <v>775</v>
      </c>
      <c r="S164" s="19">
        <v>0.12569444444444444</v>
      </c>
      <c r="T164" s="8">
        <f>(3+(1/60))*P164</f>
        <v>271.89216666666664</v>
      </c>
    </row>
    <row r="165" spans="1:20" x14ac:dyDescent="0.2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75.84</v>
      </c>
      <c r="O165" s="14" t="s">
        <v>775</v>
      </c>
      <c r="P165" s="2">
        <v>70.790000000000006</v>
      </c>
      <c r="Q165" s="14" t="s">
        <v>775</v>
      </c>
      <c r="R165" s="14" t="s">
        <v>775</v>
      </c>
      <c r="S165" s="19">
        <v>5.2083333333333336E-2</v>
      </c>
      <c r="T165" s="8">
        <f>(1+(15/60))*P165</f>
        <v>88.487500000000011</v>
      </c>
    </row>
    <row r="166" spans="1:20" x14ac:dyDescent="0.2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14.4</v>
      </c>
      <c r="O166" s="2" t="s">
        <v>775</v>
      </c>
      <c r="P166" s="2">
        <v>35.39</v>
      </c>
      <c r="Q166" s="2" t="s">
        <v>775</v>
      </c>
      <c r="R166" s="2" t="s">
        <v>775</v>
      </c>
      <c r="S166" s="22">
        <v>9.9999999999999992E-2</v>
      </c>
      <c r="T166" s="8">
        <f>(2+(24/60))*P166</f>
        <v>84.935999999999993</v>
      </c>
    </row>
    <row r="167" spans="1:20" x14ac:dyDescent="0.2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60.27</v>
      </c>
      <c r="O167" s="14" t="s">
        <v>775</v>
      </c>
      <c r="P167" s="2">
        <v>61.65</v>
      </c>
      <c r="Q167" s="14" t="s">
        <v>775</v>
      </c>
      <c r="R167" s="14" t="s">
        <v>775</v>
      </c>
      <c r="S167" s="19">
        <v>0.1986111111111111</v>
      </c>
      <c r="T167" s="8">
        <f>(4+(46/60))*P167</f>
        <v>293.86500000000001</v>
      </c>
    </row>
    <row r="168" spans="1:20" x14ac:dyDescent="0.2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16.190000000000001</v>
      </c>
      <c r="O168" s="14" t="s">
        <v>775</v>
      </c>
      <c r="P168" s="2">
        <v>9.5009999999999994</v>
      </c>
      <c r="Q168" s="14" t="s">
        <v>775</v>
      </c>
      <c r="R168" s="14" t="s">
        <v>775</v>
      </c>
      <c r="S168" s="19">
        <v>0.11597222222222221</v>
      </c>
      <c r="T168" s="8">
        <f>(2+(47/60))*P168</f>
        <v>26.444449999999996</v>
      </c>
    </row>
    <row r="169" spans="1:20" x14ac:dyDescent="0.2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109.4</v>
      </c>
      <c r="O169" s="14" t="s">
        <v>775</v>
      </c>
      <c r="P169" s="2">
        <v>128.9</v>
      </c>
      <c r="Q169" s="14" t="s">
        <v>775</v>
      </c>
      <c r="R169" s="14" t="s">
        <v>775</v>
      </c>
      <c r="S169" s="19">
        <v>0.54722222222222217</v>
      </c>
      <c r="T169" s="8">
        <f>(13+(8/60))*P169</f>
        <v>1692.8866666666668</v>
      </c>
    </row>
    <row r="170" spans="1:20" x14ac:dyDescent="0.2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47.16</v>
      </c>
      <c r="O170" s="14" t="s">
        <v>775</v>
      </c>
      <c r="P170" s="2">
        <v>65.3</v>
      </c>
      <c r="Q170" s="14" t="s">
        <v>775</v>
      </c>
      <c r="R170" s="14" t="s">
        <v>775</v>
      </c>
      <c r="S170" s="19">
        <v>5.0694444444444452E-2</v>
      </c>
      <c r="T170" s="8">
        <f>(1+(13/60))*P170</f>
        <v>79.448333333333338</v>
      </c>
    </row>
    <row r="171" spans="1:20" x14ac:dyDescent="0.2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54.79</v>
      </c>
      <c r="O171" s="14" t="s">
        <v>775</v>
      </c>
      <c r="P171" s="2">
        <f>56.84</f>
        <v>56.84</v>
      </c>
      <c r="Q171" s="14" t="s">
        <v>775</v>
      </c>
      <c r="R171" s="14" t="s">
        <v>775</v>
      </c>
      <c r="S171" s="19">
        <v>0.21666666666666667</v>
      </c>
      <c r="T171" s="8">
        <f>(5+(12/60))*P171</f>
        <v>295.56800000000004</v>
      </c>
    </row>
    <row r="172" spans="1:20" x14ac:dyDescent="0.2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9.8889999999999993</v>
      </c>
      <c r="O172" s="14" t="s">
        <v>775</v>
      </c>
      <c r="P172" s="2">
        <v>112</v>
      </c>
      <c r="Q172" s="14" t="s">
        <v>775</v>
      </c>
      <c r="R172" s="14" t="s">
        <v>775</v>
      </c>
      <c r="S172" s="19">
        <v>0.55208333333333337</v>
      </c>
      <c r="T172" s="8">
        <f>(13+(15/60))*P172</f>
        <v>1484</v>
      </c>
    </row>
    <row r="173" spans="1:20" x14ac:dyDescent="0.2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290.39999999999998</v>
      </c>
      <c r="O173" s="14" t="s">
        <v>775</v>
      </c>
      <c r="P173" s="2">
        <v>299.10000000000002</v>
      </c>
      <c r="Q173" s="14" t="s">
        <v>775</v>
      </c>
      <c r="R173" s="14" t="s">
        <v>775</v>
      </c>
      <c r="S173" s="19">
        <v>0.56736111111111109</v>
      </c>
      <c r="T173" s="61">
        <f>(14+(3/60))*P173</f>
        <v>4202.3550000000005</v>
      </c>
    </row>
    <row r="174" spans="1:20" x14ac:dyDescent="0.2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174</v>
      </c>
      <c r="O174" s="14" t="s">
        <v>775</v>
      </c>
      <c r="P174" s="2">
        <v>176.7</v>
      </c>
      <c r="Q174" s="14" t="s">
        <v>775</v>
      </c>
      <c r="R174" s="14" t="s">
        <v>775</v>
      </c>
      <c r="S174" s="19">
        <v>0.76527777777777783</v>
      </c>
      <c r="T174" s="8">
        <f>(18+(22/60))*P174</f>
        <v>3245.39</v>
      </c>
    </row>
    <row r="175" spans="1:20" x14ac:dyDescent="0.2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114.3</v>
      </c>
      <c r="O175" s="14" t="s">
        <v>775</v>
      </c>
      <c r="P175" s="2">
        <v>117.6</v>
      </c>
      <c r="Q175" s="14" t="s">
        <v>775</v>
      </c>
      <c r="R175" s="14" t="s">
        <v>775</v>
      </c>
      <c r="S175" s="19">
        <v>4.5833333333333337E-2</v>
      </c>
      <c r="T175" s="8">
        <f>(1+(6/60))*P175</f>
        <v>129.36000000000001</v>
      </c>
    </row>
    <row r="176" spans="1:20" x14ac:dyDescent="0.2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233.9</v>
      </c>
      <c r="O176" s="14" t="s">
        <v>775</v>
      </c>
      <c r="P176" s="2">
        <v>237.5</v>
      </c>
      <c r="Q176" s="14" t="s">
        <v>775</v>
      </c>
      <c r="R176" s="14" t="s">
        <v>775</v>
      </c>
      <c r="S176" s="19">
        <v>0.15416666666666667</v>
      </c>
      <c r="T176" s="8">
        <f>(3+(42/60))*P176</f>
        <v>878.75</v>
      </c>
    </row>
    <row r="177" spans="1:20" x14ac:dyDescent="0.2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71.89</v>
      </c>
      <c r="O177" s="14" t="s">
        <v>775</v>
      </c>
      <c r="P177" s="2">
        <v>82.44</v>
      </c>
      <c r="Q177" s="14" t="s">
        <v>775</v>
      </c>
      <c r="R177" s="14" t="s">
        <v>775</v>
      </c>
      <c r="S177" s="49">
        <v>4.4444444444444446E-2</v>
      </c>
      <c r="T177" s="8">
        <f>(1+(6/60))*P177</f>
        <v>90.684000000000012</v>
      </c>
    </row>
    <row r="178" spans="1:20" x14ac:dyDescent="0.2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60.43</v>
      </c>
      <c r="O178" s="14" t="s">
        <v>775</v>
      </c>
      <c r="P178" s="2">
        <v>63.08</v>
      </c>
      <c r="Q178" s="14" t="s">
        <v>775</v>
      </c>
      <c r="R178" s="14" t="s">
        <v>775</v>
      </c>
      <c r="S178" s="19">
        <v>0.12708333333333333</v>
      </c>
      <c r="T178" s="8">
        <f>(3+(3/60))*P178</f>
        <v>192.39399999999998</v>
      </c>
    </row>
    <row r="179" spans="1:20" x14ac:dyDescent="0.2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87.64</v>
      </c>
      <c r="O179" s="14" t="s">
        <v>775</v>
      </c>
      <c r="P179" s="2">
        <v>85.18</v>
      </c>
      <c r="Q179" s="14" t="s">
        <v>775</v>
      </c>
      <c r="R179" s="14" t="s">
        <v>775</v>
      </c>
      <c r="S179" s="19">
        <v>7.5694444444444439E-2</v>
      </c>
      <c r="T179" s="8">
        <f>(1+(49/60))*P179</f>
        <v>154.74366666666668</v>
      </c>
    </row>
    <row r="180" spans="1:20" x14ac:dyDescent="0.2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48.68</v>
      </c>
      <c r="O180" s="14" t="s">
        <v>775</v>
      </c>
      <c r="P180" s="2">
        <v>51.28</v>
      </c>
      <c r="Q180" s="14" t="s">
        <v>775</v>
      </c>
      <c r="R180" s="14" t="s">
        <v>775</v>
      </c>
      <c r="S180" s="19">
        <v>0.18541666666666667</v>
      </c>
      <c r="T180" s="8">
        <f>(4+(27/60))*P180</f>
        <v>228.19600000000003</v>
      </c>
    </row>
    <row r="181" spans="1:20" x14ac:dyDescent="0.2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84.14</v>
      </c>
      <c r="O181" s="14" t="s">
        <v>775</v>
      </c>
      <c r="P181" s="2">
        <v>83.61</v>
      </c>
      <c r="Q181" s="14" t="s">
        <v>775</v>
      </c>
      <c r="R181" s="14" t="s">
        <v>775</v>
      </c>
      <c r="S181" s="19">
        <v>0.18472222222222223</v>
      </c>
      <c r="T181" s="8">
        <f>(4+(26/60))*P181</f>
        <v>370.67099999999999</v>
      </c>
    </row>
    <row r="182" spans="1:20" x14ac:dyDescent="0.2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1046</v>
      </c>
      <c r="O182" s="14" t="s">
        <v>775</v>
      </c>
      <c r="P182" s="2" t="s">
        <v>775</v>
      </c>
      <c r="Q182" s="14" t="s">
        <v>775</v>
      </c>
      <c r="R182" s="14" t="s">
        <v>775</v>
      </c>
      <c r="S182" s="19">
        <v>0.33958333333333335</v>
      </c>
      <c r="T182" s="8">
        <f>(8+(9/60))*N182</f>
        <v>8524.9</v>
      </c>
    </row>
    <row r="183" spans="1:20" x14ac:dyDescent="0.2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96.74</v>
      </c>
      <c r="O183" s="14" t="s">
        <v>775</v>
      </c>
      <c r="P183" s="2">
        <v>88.87</v>
      </c>
      <c r="Q183" s="14" t="s">
        <v>775</v>
      </c>
      <c r="R183" s="14" t="s">
        <v>775</v>
      </c>
      <c r="S183" s="19">
        <v>0.20972222222222223</v>
      </c>
      <c r="T183" s="8">
        <f>(5+(2/60))*P183</f>
        <v>447.31233333333336</v>
      </c>
    </row>
    <row r="184" spans="1:20" x14ac:dyDescent="0.2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48.07</v>
      </c>
      <c r="O184" s="14" t="s">
        <v>775</v>
      </c>
      <c r="P184" s="2">
        <v>49.86</v>
      </c>
      <c r="Q184" s="14" t="s">
        <v>775</v>
      </c>
      <c r="R184" s="14" t="s">
        <v>775</v>
      </c>
      <c r="S184" s="19">
        <v>0.22916666666666666</v>
      </c>
      <c r="T184" s="8">
        <f>5.5*P184</f>
        <v>274.23</v>
      </c>
    </row>
    <row r="185" spans="1:20" x14ac:dyDescent="0.2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131.19999999999999</v>
      </c>
      <c r="O185" s="14" t="s">
        <v>775</v>
      </c>
      <c r="P185" s="2">
        <v>132.69999999999999</v>
      </c>
      <c r="Q185" s="14" t="s">
        <v>775</v>
      </c>
      <c r="R185" s="14" t="s">
        <v>775</v>
      </c>
      <c r="S185" s="19">
        <v>0.21805555555555556</v>
      </c>
      <c r="T185" s="8">
        <f>(5+(14/60))*P185</f>
        <v>694.46333333333325</v>
      </c>
    </row>
    <row r="186" spans="1:20" x14ac:dyDescent="0.2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180.8</v>
      </c>
      <c r="O186" s="14" t="s">
        <v>775</v>
      </c>
      <c r="P186" s="2">
        <v>179.9</v>
      </c>
      <c r="Q186" s="14" t="s">
        <v>775</v>
      </c>
      <c r="R186" s="14" t="s">
        <v>775</v>
      </c>
      <c r="S186" s="19">
        <v>7.7777777777777779E-2</v>
      </c>
      <c r="T186" s="8">
        <f>(1+(52/60))*P186</f>
        <v>335.81333333333333</v>
      </c>
    </row>
    <row r="187" spans="1:20" x14ac:dyDescent="0.2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58.05</v>
      </c>
      <c r="O187" s="14" t="s">
        <v>775</v>
      </c>
      <c r="P187" s="2">
        <v>56.71</v>
      </c>
      <c r="Q187" s="14" t="s">
        <v>775</v>
      </c>
      <c r="R187" s="14" t="s">
        <v>775</v>
      </c>
      <c r="S187" s="19">
        <v>0.28611111111111115</v>
      </c>
      <c r="T187" s="8">
        <f>(6+(52/60))*P187</f>
        <v>389.4086666666667</v>
      </c>
    </row>
    <row r="188" spans="1:20" x14ac:dyDescent="0.2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40.89</v>
      </c>
      <c r="O188" s="14" t="s">
        <v>775</v>
      </c>
      <c r="P188" s="2">
        <v>52.43</v>
      </c>
      <c r="Q188" s="14" t="s">
        <v>775</v>
      </c>
      <c r="R188" s="14" t="s">
        <v>775</v>
      </c>
      <c r="S188" s="19">
        <v>0.36388888888888887</v>
      </c>
      <c r="T188" s="8">
        <f>(8+(44/60))*P188</f>
        <v>457.88866666666661</v>
      </c>
    </row>
    <row r="189" spans="1:20" x14ac:dyDescent="0.2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38.57</v>
      </c>
      <c r="O189" s="14" t="s">
        <v>775</v>
      </c>
      <c r="P189" s="2">
        <v>19.78</v>
      </c>
      <c r="Q189" s="14" t="s">
        <v>775</v>
      </c>
      <c r="R189" s="14" t="s">
        <v>775</v>
      </c>
      <c r="S189" s="19">
        <v>0.12013888888888889</v>
      </c>
      <c r="T189" s="8">
        <f>(2+(53/60))*P189</f>
        <v>57.032333333333334</v>
      </c>
    </row>
    <row r="190" spans="1:20" x14ac:dyDescent="0.2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45.05</v>
      </c>
      <c r="O190" s="14" t="s">
        <v>775</v>
      </c>
      <c r="P190" s="2">
        <v>44.32</v>
      </c>
      <c r="Q190" s="14" t="s">
        <v>775</v>
      </c>
      <c r="R190" s="14" t="s">
        <v>775</v>
      </c>
      <c r="S190" s="19">
        <v>0.25416666666666665</v>
      </c>
      <c r="T190" s="8">
        <f>(6+(6/60))*P190</f>
        <v>270.35199999999998</v>
      </c>
    </row>
    <row r="191" spans="1:20" x14ac:dyDescent="0.2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56.67</v>
      </c>
      <c r="O191" s="14" t="s">
        <v>775</v>
      </c>
      <c r="P191" s="2">
        <v>55.28</v>
      </c>
      <c r="Q191" s="14" t="s">
        <v>775</v>
      </c>
      <c r="R191" s="14" t="s">
        <v>775</v>
      </c>
      <c r="S191" s="19">
        <v>0.20555555555555557</v>
      </c>
      <c r="T191" s="8">
        <f>(4+(56/60))*P191</f>
        <v>272.71466666666669</v>
      </c>
    </row>
    <row r="192" spans="1:20" x14ac:dyDescent="0.2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42.07</v>
      </c>
      <c r="O192" s="14" t="s">
        <v>775</v>
      </c>
      <c r="P192" s="2">
        <v>40.83</v>
      </c>
      <c r="Q192" s="14" t="s">
        <v>775</v>
      </c>
      <c r="R192" s="14" t="s">
        <v>775</v>
      </c>
      <c r="S192" s="19">
        <v>4.0972222222222222E-2</v>
      </c>
      <c r="T192" s="8">
        <f>(59/60)*P192</f>
        <v>40.149499999999996</v>
      </c>
    </row>
    <row r="193" spans="1:20" x14ac:dyDescent="0.2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49.29</v>
      </c>
      <c r="O193" s="14" t="s">
        <v>775</v>
      </c>
      <c r="P193" s="2">
        <v>48.5</v>
      </c>
      <c r="Q193" s="14" t="s">
        <v>775</v>
      </c>
      <c r="R193" s="14" t="s">
        <v>775</v>
      </c>
      <c r="S193" s="19">
        <v>0.16527777777777777</v>
      </c>
      <c r="T193" s="8">
        <f>(3+(58/60))*P193</f>
        <v>192.38333333333333</v>
      </c>
    </row>
    <row r="194" spans="1:20" x14ac:dyDescent="0.2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47.42</v>
      </c>
      <c r="O194" s="14" t="s">
        <v>775</v>
      </c>
      <c r="P194" s="2">
        <v>47.54</v>
      </c>
      <c r="Q194" s="14" t="s">
        <v>775</v>
      </c>
      <c r="R194" s="14" t="s">
        <v>775</v>
      </c>
      <c r="S194" s="19">
        <v>0.17291666666666669</v>
      </c>
      <c r="T194" s="8">
        <f>(4+(9/60))*P194</f>
        <v>197.29100000000003</v>
      </c>
    </row>
    <row r="195" spans="1:20" x14ac:dyDescent="0.2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53.81</v>
      </c>
      <c r="O195" s="14" t="s">
        <v>775</v>
      </c>
      <c r="P195" s="2">
        <v>51.65</v>
      </c>
      <c r="Q195" s="14" t="s">
        <v>775</v>
      </c>
      <c r="R195" s="14" t="s">
        <v>775</v>
      </c>
      <c r="S195" s="19">
        <v>9.0277777777777776E-2</v>
      </c>
      <c r="T195" s="8">
        <f>(2+(10/60))*P195</f>
        <v>111.90833333333332</v>
      </c>
    </row>
    <row r="196" spans="1:20" x14ac:dyDescent="0.2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83.5</v>
      </c>
      <c r="O196" s="14" t="s">
        <v>775</v>
      </c>
      <c r="P196" s="2">
        <v>86.48</v>
      </c>
      <c r="Q196" s="14" t="s">
        <v>775</v>
      </c>
      <c r="R196" s="14" t="s">
        <v>775</v>
      </c>
      <c r="S196" s="23">
        <v>0.62569444444444444</v>
      </c>
      <c r="T196" s="8">
        <f>(15+(1/60))*P196</f>
        <v>1298.6413333333335</v>
      </c>
    </row>
    <row r="197" spans="1:20" x14ac:dyDescent="0.2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111.6</v>
      </c>
      <c r="O197" s="14" t="s">
        <v>775</v>
      </c>
      <c r="P197" s="2">
        <v>109.6</v>
      </c>
      <c r="Q197" s="14" t="s">
        <v>775</v>
      </c>
      <c r="R197" s="14" t="s">
        <v>775</v>
      </c>
      <c r="S197" s="19">
        <v>0.1173611111111111</v>
      </c>
      <c r="T197" s="8">
        <f>(2+(49/60))*P197</f>
        <v>308.70666666666665</v>
      </c>
    </row>
    <row r="198" spans="1:20" x14ac:dyDescent="0.2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15.65</v>
      </c>
      <c r="O198" s="14" t="s">
        <v>775</v>
      </c>
      <c r="P198" s="2">
        <v>10.82</v>
      </c>
      <c r="Q198" s="14" t="s">
        <v>775</v>
      </c>
      <c r="R198" s="14" t="s">
        <v>775</v>
      </c>
      <c r="S198" s="19">
        <v>0.35625000000000001</v>
      </c>
      <c r="T198" s="8">
        <f>(8+(33/60))*P198</f>
        <v>92.51100000000001</v>
      </c>
    </row>
    <row r="199" spans="1:20" x14ac:dyDescent="0.2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44.78</v>
      </c>
      <c r="O199" s="14" t="s">
        <v>775</v>
      </c>
      <c r="P199" s="2">
        <v>47.94</v>
      </c>
      <c r="Q199" s="14" t="s">
        <v>775</v>
      </c>
      <c r="R199" s="14" t="s">
        <v>775</v>
      </c>
      <c r="S199" s="19">
        <v>0.22013888888888888</v>
      </c>
      <c r="T199" s="8">
        <f>(5+(17/60))*P199</f>
        <v>253.28299999999999</v>
      </c>
    </row>
    <row r="200" spans="1:20" x14ac:dyDescent="0.2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55.32</v>
      </c>
      <c r="O200" s="14" t="s">
        <v>775</v>
      </c>
      <c r="P200" s="2">
        <v>49.3</v>
      </c>
      <c r="Q200" s="14" t="s">
        <v>775</v>
      </c>
      <c r="R200" s="14" t="s">
        <v>775</v>
      </c>
      <c r="S200" s="19">
        <v>0.15972222222222224</v>
      </c>
      <c r="T200" s="8">
        <f>(3+(50/60))*P200</f>
        <v>188.98333333333332</v>
      </c>
    </row>
    <row r="201" spans="1:20" x14ac:dyDescent="0.2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95.83</v>
      </c>
      <c r="O201" s="2" t="s">
        <v>775</v>
      </c>
      <c r="P201" s="2">
        <v>100.3</v>
      </c>
      <c r="Q201" s="2" t="s">
        <v>775</v>
      </c>
      <c r="R201" s="2" t="s">
        <v>775</v>
      </c>
      <c r="S201" s="19">
        <v>0.18472222222222223</v>
      </c>
      <c r="T201" s="8">
        <f>(4+(26/60))*P201</f>
        <v>444.66333333333336</v>
      </c>
    </row>
    <row r="202" spans="1:20" x14ac:dyDescent="0.2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41.96</v>
      </c>
      <c r="O202" s="2" t="s">
        <v>775</v>
      </c>
      <c r="P202" s="2">
        <v>43.24</v>
      </c>
      <c r="Q202" s="2" t="s">
        <v>775</v>
      </c>
      <c r="R202" s="2" t="s">
        <v>775</v>
      </c>
      <c r="S202" s="19">
        <v>0.20694444444444446</v>
      </c>
      <c r="T202" s="8">
        <f>(4+(58/60))*P202</f>
        <v>214.75866666666667</v>
      </c>
    </row>
    <row r="203" spans="1:20" x14ac:dyDescent="0.2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131.4</v>
      </c>
      <c r="O203" s="2" t="s">
        <v>775</v>
      </c>
      <c r="P203" s="2">
        <v>165</v>
      </c>
      <c r="Q203" s="2" t="s">
        <v>775</v>
      </c>
      <c r="R203" s="2" t="s">
        <v>775</v>
      </c>
      <c r="S203" s="19">
        <v>0.24166666666666667</v>
      </c>
      <c r="T203" s="8">
        <f>(5+(48/60))*P203</f>
        <v>957</v>
      </c>
    </row>
    <row r="204" spans="1:20" x14ac:dyDescent="0.2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62.12</v>
      </c>
      <c r="O204" s="2" t="s">
        <v>775</v>
      </c>
      <c r="P204" s="2">
        <v>60.62</v>
      </c>
      <c r="Q204" s="2" t="s">
        <v>775</v>
      </c>
      <c r="R204" s="2" t="s">
        <v>775</v>
      </c>
      <c r="S204" s="19">
        <v>9.5833333333333326E-2</v>
      </c>
      <c r="T204" s="8">
        <f>(2+(18/60))*P204</f>
        <v>139.42599999999999</v>
      </c>
    </row>
    <row r="205" spans="1:20" x14ac:dyDescent="0.2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167.6</v>
      </c>
      <c r="O205" s="2" t="s">
        <v>775</v>
      </c>
      <c r="P205" s="2">
        <v>170.8</v>
      </c>
      <c r="Q205" s="2" t="s">
        <v>775</v>
      </c>
      <c r="R205" s="2" t="s">
        <v>775</v>
      </c>
      <c r="S205" s="19">
        <v>0.23541666666666669</v>
      </c>
      <c r="T205" s="8">
        <f>(5+(39/60))*P205</f>
        <v>965.0200000000001</v>
      </c>
    </row>
    <row r="206" spans="1:20" x14ac:dyDescent="0.2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176.2</v>
      </c>
      <c r="O206" s="2" t="s">
        <v>775</v>
      </c>
      <c r="P206" s="2">
        <v>180.8</v>
      </c>
      <c r="Q206" s="2" t="s">
        <v>775</v>
      </c>
      <c r="R206" s="2" t="s">
        <v>775</v>
      </c>
      <c r="S206" s="19">
        <v>0.26041666666666669</v>
      </c>
      <c r="T206" s="8">
        <f>(6+(15/60))*P206</f>
        <v>1130</v>
      </c>
    </row>
    <row r="207" spans="1:20" x14ac:dyDescent="0.2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48.09</v>
      </c>
      <c r="O207" s="2" t="s">
        <v>775</v>
      </c>
      <c r="P207" s="2">
        <v>48.61</v>
      </c>
      <c r="Q207" s="2" t="s">
        <v>775</v>
      </c>
      <c r="R207" s="2" t="s">
        <v>775</v>
      </c>
      <c r="S207" s="19">
        <v>9.5138888888888884E-2</v>
      </c>
      <c r="T207" s="8">
        <f>(2+(17/60))*P207</f>
        <v>110.99283333333332</v>
      </c>
    </row>
    <row r="208" spans="1:20" x14ac:dyDescent="0.2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48.05</v>
      </c>
      <c r="O208" s="2" t="s">
        <v>775</v>
      </c>
      <c r="P208" s="2">
        <v>47.57</v>
      </c>
      <c r="Q208" s="2" t="s">
        <v>775</v>
      </c>
      <c r="R208" s="2" t="s">
        <v>775</v>
      </c>
      <c r="S208" s="19">
        <v>8.4722222222222213E-2</v>
      </c>
      <c r="T208" s="8">
        <f>(2+(2/60))*P208</f>
        <v>96.725666666666655</v>
      </c>
    </row>
    <row r="209" spans="1:28" x14ac:dyDescent="0.2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N209" s="2">
        <v>187.9</v>
      </c>
      <c r="O209" s="2">
        <v>180.9</v>
      </c>
      <c r="P209" s="2">
        <v>174.8</v>
      </c>
      <c r="Q209" s="2">
        <v>223.9</v>
      </c>
      <c r="R209" s="2">
        <v>228.2</v>
      </c>
      <c r="S209" s="49" t="s">
        <v>769</v>
      </c>
      <c r="T209" s="48">
        <f>(29+(20/60))*N209</f>
        <v>5511.7333333333336</v>
      </c>
    </row>
    <row r="210" spans="1:28" x14ac:dyDescent="0.2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63.25</v>
      </c>
      <c r="O210" s="2" t="s">
        <v>775</v>
      </c>
      <c r="P210" s="2">
        <v>66.97</v>
      </c>
      <c r="Q210" s="2" t="s">
        <v>775</v>
      </c>
      <c r="R210" s="2" t="s">
        <v>775</v>
      </c>
      <c r="S210" s="19">
        <v>0.11180555555555556</v>
      </c>
      <c r="T210" s="8">
        <f>(2+(41/60))*P210</f>
        <v>179.70283333333336</v>
      </c>
    </row>
    <row r="211" spans="1:28" x14ac:dyDescent="0.2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223.9</v>
      </c>
      <c r="O211" s="2" t="s">
        <v>775</v>
      </c>
      <c r="P211" s="2" t="s">
        <v>775</v>
      </c>
      <c r="Q211" s="2" t="s">
        <v>775</v>
      </c>
      <c r="R211" s="2" t="s">
        <v>775</v>
      </c>
      <c r="S211" s="19">
        <v>0.35138888888888892</v>
      </c>
      <c r="T211" s="8">
        <f>(8+(26/30))*N211</f>
        <v>1985.2466666666669</v>
      </c>
    </row>
    <row r="212" spans="1:28" x14ac:dyDescent="0.2">
      <c r="A212" s="2">
        <v>268</v>
      </c>
      <c r="B212" s="2">
        <v>291</v>
      </c>
      <c r="C212" s="2">
        <v>489</v>
      </c>
      <c r="D212" t="s">
        <v>219</v>
      </c>
      <c r="G212" s="2">
        <v>111.5</v>
      </c>
      <c r="H212" s="15">
        <v>3.9830000000000001</v>
      </c>
      <c r="I212" s="15">
        <v>2.97</v>
      </c>
      <c r="N212" s="2">
        <v>111.5</v>
      </c>
      <c r="O212" s="2" t="s">
        <v>775</v>
      </c>
      <c r="P212" s="2">
        <v>111.1</v>
      </c>
      <c r="Q212" s="2" t="s">
        <v>775</v>
      </c>
      <c r="R212" s="2" t="s">
        <v>775</v>
      </c>
      <c r="S212" s="19">
        <v>9.930555555555555E-2</v>
      </c>
      <c r="T212" s="8">
        <f>(2+(23/60))*P212</f>
        <v>264.7883333333333</v>
      </c>
    </row>
    <row r="213" spans="1:28" x14ac:dyDescent="0.2">
      <c r="A213" s="2">
        <v>336</v>
      </c>
      <c r="B213" s="2">
        <v>269</v>
      </c>
      <c r="C213" s="2">
        <v>1447</v>
      </c>
      <c r="D213" t="s">
        <v>220</v>
      </c>
      <c r="G213" s="2">
        <v>46.84</v>
      </c>
      <c r="H213" s="15">
        <v>1.6719999999999999</v>
      </c>
      <c r="I213" s="15">
        <v>1.04</v>
      </c>
      <c r="N213" s="2">
        <v>46.84</v>
      </c>
      <c r="O213" s="2" t="s">
        <v>775</v>
      </c>
      <c r="P213" s="2">
        <v>46.4</v>
      </c>
      <c r="Q213" s="2" t="s">
        <v>775</v>
      </c>
      <c r="R213" s="2" t="s">
        <v>775</v>
      </c>
      <c r="S213" s="19">
        <v>0.13263888888888889</v>
      </c>
      <c r="T213" s="8">
        <f>(3+(11/60))*P213</f>
        <v>147.70666666666665</v>
      </c>
    </row>
    <row r="214" spans="1:28" x14ac:dyDescent="0.2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>
        <v>89.44</v>
      </c>
      <c r="O214" s="2" t="s">
        <v>775</v>
      </c>
      <c r="P214" s="2" t="s">
        <v>775</v>
      </c>
      <c r="Q214" s="2" t="s">
        <v>775</v>
      </c>
      <c r="R214" s="2" t="s">
        <v>775</v>
      </c>
      <c r="S214" s="19">
        <v>4.7916666666666663E-2</v>
      </c>
      <c r="T214" s="8">
        <f>(1+(9/60))*N214</f>
        <v>102.85599999999999</v>
      </c>
      <c r="AB214" s="11"/>
    </row>
    <row r="215" spans="1:28" x14ac:dyDescent="0.2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>
        <v>55.63</v>
      </c>
      <c r="O215" s="2" t="s">
        <v>775</v>
      </c>
      <c r="P215" s="2">
        <v>52.93</v>
      </c>
      <c r="Q215" s="2" t="s">
        <v>775</v>
      </c>
      <c r="R215" s="2" t="s">
        <v>775</v>
      </c>
      <c r="S215" s="19">
        <v>0.19305555555555554</v>
      </c>
      <c r="T215" s="8">
        <f>(4+(38/60))*P215</f>
        <v>245.24233333333331</v>
      </c>
    </row>
    <row r="216" spans="1:28" x14ac:dyDescent="0.2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>
        <v>45.78</v>
      </c>
      <c r="O216" s="2" t="s">
        <v>775</v>
      </c>
      <c r="P216" s="2">
        <v>43.96</v>
      </c>
      <c r="Q216" s="2" t="s">
        <v>775</v>
      </c>
      <c r="R216" s="2" t="s">
        <v>775</v>
      </c>
      <c r="S216" s="19">
        <v>0.21944444444444444</v>
      </c>
      <c r="T216" s="8">
        <f>(5+(16/60))*P216</f>
        <v>231.52266666666668</v>
      </c>
    </row>
    <row r="217" spans="1:28" x14ac:dyDescent="0.2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>
        <v>79.67</v>
      </c>
      <c r="O217" s="2" t="s">
        <v>775</v>
      </c>
      <c r="P217" s="2">
        <v>81.89</v>
      </c>
      <c r="Q217" s="2" t="s">
        <v>775</v>
      </c>
      <c r="R217" s="2" t="s">
        <v>775</v>
      </c>
      <c r="S217" s="19">
        <v>8.4722222222222213E-2</v>
      </c>
      <c r="T217" s="8">
        <f>(2+(2/60))*P217</f>
        <v>166.50966666666665</v>
      </c>
    </row>
    <row r="218" spans="1:28" x14ac:dyDescent="0.2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>
        <v>125.3</v>
      </c>
      <c r="O218" s="2" t="s">
        <v>775</v>
      </c>
      <c r="P218" s="2">
        <v>124.3</v>
      </c>
      <c r="Q218" s="2" t="s">
        <v>775</v>
      </c>
      <c r="R218" s="2" t="s">
        <v>775</v>
      </c>
      <c r="S218" s="19">
        <v>8.3333333333333329E-2</v>
      </c>
      <c r="T218" s="8">
        <f>2*P218</f>
        <v>248.6</v>
      </c>
    </row>
    <row r="219" spans="1:28" x14ac:dyDescent="0.2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>
        <v>36.369999999999997</v>
      </c>
      <c r="O219" s="2" t="s">
        <v>775</v>
      </c>
      <c r="P219" s="2">
        <v>38.79</v>
      </c>
      <c r="Q219" s="2" t="s">
        <v>775</v>
      </c>
      <c r="R219" s="2" t="s">
        <v>775</v>
      </c>
      <c r="S219" s="19">
        <v>8.4027777777777771E-2</v>
      </c>
      <c r="T219" s="8">
        <f>(2+(1/60))*P219</f>
        <v>78.226500000000001</v>
      </c>
    </row>
    <row r="220" spans="1:28" x14ac:dyDescent="0.2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>
        <v>44.66</v>
      </c>
      <c r="O220" s="2" t="s">
        <v>775</v>
      </c>
      <c r="P220" s="2">
        <v>44.62</v>
      </c>
      <c r="Q220" s="2" t="s">
        <v>775</v>
      </c>
      <c r="R220" s="2" t="s">
        <v>775</v>
      </c>
      <c r="S220" s="19">
        <v>8.4722222222222213E-2</v>
      </c>
      <c r="T220" s="8">
        <f>(2+(2/60))*P220</f>
        <v>90.72733333333332</v>
      </c>
    </row>
    <row r="221" spans="1:28" x14ac:dyDescent="0.2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>
        <v>50.22</v>
      </c>
      <c r="O221" s="2" t="s">
        <v>775</v>
      </c>
      <c r="P221" s="2">
        <v>49.43</v>
      </c>
      <c r="Q221" s="2" t="s">
        <v>775</v>
      </c>
      <c r="R221" s="2" t="s">
        <v>775</v>
      </c>
      <c r="S221" s="19">
        <v>0.28402777777777777</v>
      </c>
      <c r="T221" s="8">
        <f>(6+(49/60))*P221</f>
        <v>336.94783333333334</v>
      </c>
    </row>
    <row r="222" spans="1:28" x14ac:dyDescent="0.2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G222" s="2">
        <v>44.53</v>
      </c>
      <c r="H222" s="15">
        <v>1.59</v>
      </c>
      <c r="I222" s="15">
        <v>1.3240000000000001</v>
      </c>
      <c r="N222" s="2">
        <v>44.53</v>
      </c>
      <c r="O222" s="2" t="s">
        <v>775</v>
      </c>
      <c r="P222" s="2">
        <v>47.95</v>
      </c>
      <c r="Q222" s="2" t="s">
        <v>775</v>
      </c>
      <c r="R222" s="2" t="s">
        <v>775</v>
      </c>
      <c r="S222" s="19">
        <v>0.10833333333333334</v>
      </c>
      <c r="T222" s="8">
        <f>(2+(36/60))*P222</f>
        <v>124.67000000000002</v>
      </c>
    </row>
    <row r="223" spans="1:28" x14ac:dyDescent="0.2">
      <c r="A223" s="2">
        <v>273</v>
      </c>
      <c r="B223" s="2">
        <v>286</v>
      </c>
      <c r="C223" s="2">
        <v>1038</v>
      </c>
      <c r="D223" t="s">
        <v>229</v>
      </c>
      <c r="G223" s="2">
        <v>39.19</v>
      </c>
      <c r="H223" s="15">
        <v>1.399</v>
      </c>
      <c r="I223" s="15">
        <v>1.1499999999999999</v>
      </c>
      <c r="N223" s="2">
        <v>39.19</v>
      </c>
      <c r="O223" s="2" t="s">
        <v>775</v>
      </c>
      <c r="P223" s="2">
        <v>37.76</v>
      </c>
      <c r="Q223" s="2" t="s">
        <v>775</v>
      </c>
      <c r="R223" s="2" t="s">
        <v>775</v>
      </c>
      <c r="S223" s="19">
        <v>0.17152777777777775</v>
      </c>
      <c r="T223" s="8">
        <f>(4+(7/60))*P223</f>
        <v>155.44533333333331</v>
      </c>
    </row>
    <row r="224" spans="1:28" x14ac:dyDescent="0.2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>
        <v>82.42</v>
      </c>
      <c r="O224" s="2" t="s">
        <v>775</v>
      </c>
      <c r="P224" s="2">
        <v>78.13</v>
      </c>
      <c r="Q224" s="2" t="s">
        <v>775</v>
      </c>
      <c r="R224" s="2" t="s">
        <v>775</v>
      </c>
      <c r="S224" s="19">
        <v>9.7916666666666666E-2</v>
      </c>
      <c r="T224" s="8">
        <f>(2+(21/60))*P224</f>
        <v>183.60550000000001</v>
      </c>
    </row>
    <row r="225" spans="1:20" x14ac:dyDescent="0.2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>
        <v>95.65</v>
      </c>
      <c r="O225" s="2" t="s">
        <v>775</v>
      </c>
      <c r="P225" s="2">
        <v>93.99</v>
      </c>
      <c r="Q225" s="2" t="s">
        <v>775</v>
      </c>
      <c r="R225" s="2" t="s">
        <v>775</v>
      </c>
      <c r="S225" s="19">
        <v>0.37083333333333335</v>
      </c>
      <c r="T225" s="8">
        <f>(8+(54/60))*P225</f>
        <v>836.51099999999997</v>
      </c>
    </row>
    <row r="226" spans="1:20" x14ac:dyDescent="0.2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>
        <v>42.79</v>
      </c>
      <c r="O226" s="2" t="s">
        <v>775</v>
      </c>
      <c r="P226" s="2">
        <v>42.33</v>
      </c>
      <c r="Q226" s="2" t="s">
        <v>775</v>
      </c>
      <c r="R226" s="2" t="s">
        <v>775</v>
      </c>
      <c r="S226" s="19">
        <v>0.17083333333333331</v>
      </c>
      <c r="T226" s="8">
        <f>(4+(6/60))*P226</f>
        <v>173.55299999999997</v>
      </c>
    </row>
    <row r="227" spans="1:20" x14ac:dyDescent="0.2">
      <c r="A227" s="2">
        <v>260</v>
      </c>
      <c r="B227" s="2">
        <v>156</v>
      </c>
      <c r="C227" s="2">
        <v>805</v>
      </c>
      <c r="D227" t="s">
        <v>233</v>
      </c>
      <c r="G227" s="2">
        <v>73.849999999999994</v>
      </c>
      <c r="H227" s="15">
        <v>2.637</v>
      </c>
      <c r="I227" s="15">
        <v>2.3660000000000001</v>
      </c>
      <c r="N227" s="2">
        <v>73.849999999999994</v>
      </c>
      <c r="O227" s="2" t="s">
        <v>775</v>
      </c>
      <c r="P227" s="2">
        <v>68.88</v>
      </c>
      <c r="Q227" s="2" t="s">
        <v>775</v>
      </c>
      <c r="R227" s="2" t="s">
        <v>775</v>
      </c>
      <c r="S227" s="19">
        <v>5.6944444444444443E-2</v>
      </c>
      <c r="T227" s="8">
        <f>(1+(22/60))*P227</f>
        <v>94.135999999999996</v>
      </c>
    </row>
    <row r="228" spans="1:20" x14ac:dyDescent="0.2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G228" s="2">
        <v>28.6</v>
      </c>
      <c r="H228" s="15">
        <v>1.0209999999999999</v>
      </c>
      <c r="I228" s="15">
        <v>0.74318200000000001</v>
      </c>
      <c r="N228" s="2">
        <v>28.6</v>
      </c>
      <c r="O228" s="2" t="s">
        <v>775</v>
      </c>
      <c r="P228" s="2">
        <v>23.54</v>
      </c>
      <c r="Q228" s="2" t="s">
        <v>775</v>
      </c>
      <c r="R228" s="2" t="s">
        <v>775</v>
      </c>
      <c r="S228" s="19">
        <v>9.0972222222222218E-2</v>
      </c>
      <c r="T228" s="8">
        <f>(2+(11/60))*P228</f>
        <v>51.395666666666656</v>
      </c>
    </row>
    <row r="229" spans="1:20" x14ac:dyDescent="0.2">
      <c r="A229" s="2">
        <v>635</v>
      </c>
      <c r="B229" s="2">
        <v>518</v>
      </c>
      <c r="C229" s="2">
        <v>1861</v>
      </c>
      <c r="D229" t="s">
        <v>235</v>
      </c>
      <c r="G229" s="2">
        <v>29.85</v>
      </c>
      <c r="H229" s="15">
        <v>1.0660000000000001</v>
      </c>
      <c r="I229" s="15">
        <v>0.95082100000000003</v>
      </c>
      <c r="N229" s="2">
        <v>29.85</v>
      </c>
      <c r="O229" s="2" t="s">
        <v>775</v>
      </c>
      <c r="P229" s="2">
        <v>34.020000000000003</v>
      </c>
      <c r="Q229" s="2" t="s">
        <v>775</v>
      </c>
      <c r="R229" s="2" t="s">
        <v>775</v>
      </c>
      <c r="S229" s="19">
        <v>9.0972222222222218E-2</v>
      </c>
      <c r="T229" s="8">
        <f>(2+(11/60))*P229</f>
        <v>74.277000000000001</v>
      </c>
    </row>
    <row r="230" spans="1:20" x14ac:dyDescent="0.2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>
        <v>90.16</v>
      </c>
      <c r="O230" s="2" t="s">
        <v>775</v>
      </c>
      <c r="P230" s="2">
        <v>103.8</v>
      </c>
      <c r="Q230" s="2" t="s">
        <v>775</v>
      </c>
      <c r="R230" s="2" t="s">
        <v>775</v>
      </c>
      <c r="S230" s="19">
        <v>1.7361111111111112E-2</v>
      </c>
      <c r="T230" s="8">
        <f>(25/60)*P230</f>
        <v>43.25</v>
      </c>
    </row>
    <row r="231" spans="1:20" x14ac:dyDescent="0.2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>
        <v>122</v>
      </c>
      <c r="O231" s="2" t="s">
        <v>775</v>
      </c>
      <c r="P231" s="2">
        <v>123.1</v>
      </c>
      <c r="Q231" s="2" t="s">
        <v>775</v>
      </c>
      <c r="R231" s="2" t="s">
        <v>775</v>
      </c>
      <c r="S231" s="19">
        <v>0.47152777777777777</v>
      </c>
      <c r="T231" s="8">
        <f>(11+(19/60))*P231</f>
        <v>1393.0816666666665</v>
      </c>
    </row>
    <row r="232" spans="1:20" x14ac:dyDescent="0.2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G232" s="2">
        <v>53.81</v>
      </c>
      <c r="H232" s="15">
        <v>1.921</v>
      </c>
      <c r="I232" s="15">
        <v>1.4570000000000001</v>
      </c>
      <c r="N232" s="58">
        <v>53.81</v>
      </c>
      <c r="O232" s="58" t="s">
        <v>775</v>
      </c>
      <c r="P232" s="58">
        <v>78.05</v>
      </c>
      <c r="Q232" s="58" t="s">
        <v>775</v>
      </c>
      <c r="R232" s="58" t="s">
        <v>775</v>
      </c>
      <c r="S232" s="19">
        <v>0.32569444444444445</v>
      </c>
      <c r="T232" s="8">
        <f>(7+(49/60))*P232</f>
        <v>610.09083333333331</v>
      </c>
    </row>
    <row r="233" spans="1:20" x14ac:dyDescent="0.2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58">
        <v>319.5</v>
      </c>
      <c r="O233" s="58" t="s">
        <v>775</v>
      </c>
      <c r="P233" s="58">
        <v>302.5</v>
      </c>
      <c r="Q233" s="58" t="s">
        <v>775</v>
      </c>
      <c r="R233" s="58" t="s">
        <v>775</v>
      </c>
      <c r="S233" s="19">
        <v>0.22777777777777777</v>
      </c>
      <c r="T233" s="8">
        <f>(5+(28/60))*P233</f>
        <v>1653.6666666666667</v>
      </c>
    </row>
    <row r="234" spans="1:20" x14ac:dyDescent="0.2">
      <c r="A234" s="2">
        <v>100</v>
      </c>
      <c r="B234" s="2">
        <v>209</v>
      </c>
      <c r="C234" s="2">
        <v>378</v>
      </c>
      <c r="D234" t="s">
        <v>240</v>
      </c>
      <c r="G234" s="2">
        <v>39.369999999999997</v>
      </c>
      <c r="H234" s="15">
        <v>1.4059999999999999</v>
      </c>
      <c r="I234" s="15">
        <v>0.99961</v>
      </c>
      <c r="N234" s="58">
        <v>39.369999999999997</v>
      </c>
      <c r="O234" s="58" t="s">
        <v>775</v>
      </c>
      <c r="P234" s="58">
        <v>39.659999999999997</v>
      </c>
      <c r="Q234" s="58" t="s">
        <v>775</v>
      </c>
      <c r="R234" s="58" t="s">
        <v>775</v>
      </c>
      <c r="S234" s="19">
        <v>0.59027777777777779</v>
      </c>
      <c r="T234" s="8">
        <f>(14+(10/60))*P234</f>
        <v>561.84999999999991</v>
      </c>
    </row>
    <row r="235" spans="1:20" x14ac:dyDescent="0.2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58">
        <v>247.5</v>
      </c>
      <c r="O235" s="58" t="s">
        <v>775</v>
      </c>
      <c r="P235" s="58">
        <v>259.5</v>
      </c>
      <c r="Q235" s="58" t="s">
        <v>775</v>
      </c>
      <c r="R235" s="58" t="s">
        <v>775</v>
      </c>
      <c r="S235" s="19">
        <v>1.5277777777777777E-2</v>
      </c>
      <c r="T235" s="8">
        <f>(22/60)*P235</f>
        <v>95.149999999999991</v>
      </c>
    </row>
    <row r="236" spans="1:20" x14ac:dyDescent="0.2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58">
        <v>41.48</v>
      </c>
      <c r="O236" s="58" t="s">
        <v>775</v>
      </c>
      <c r="P236" s="58">
        <v>41.92</v>
      </c>
      <c r="Q236" s="58" t="s">
        <v>775</v>
      </c>
      <c r="R236" s="58" t="s">
        <v>775</v>
      </c>
      <c r="S236" s="19">
        <v>0.62083333333333335</v>
      </c>
      <c r="T236" s="8">
        <f>(14+(54/60))*P236</f>
        <v>624.60800000000006</v>
      </c>
    </row>
    <row r="237" spans="1:20" x14ac:dyDescent="0.2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58">
        <v>50.29</v>
      </c>
      <c r="O237" s="58" t="s">
        <v>775</v>
      </c>
      <c r="P237" s="58">
        <v>51.73</v>
      </c>
      <c r="Q237" s="58" t="s">
        <v>775</v>
      </c>
      <c r="R237" s="58" t="s">
        <v>775</v>
      </c>
      <c r="S237" s="19">
        <v>0.26527777777777778</v>
      </c>
      <c r="T237" s="8">
        <f>(6+(22/60))*P237</f>
        <v>329.34766666666661</v>
      </c>
    </row>
    <row r="238" spans="1:20" x14ac:dyDescent="0.2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58">
        <v>56.3</v>
      </c>
      <c r="O238" s="58" t="s">
        <v>775</v>
      </c>
      <c r="P238" s="58">
        <v>52.39</v>
      </c>
      <c r="Q238" s="58" t="s">
        <v>775</v>
      </c>
      <c r="R238" s="58" t="s">
        <v>775</v>
      </c>
      <c r="S238" s="19">
        <v>0.21111111111111111</v>
      </c>
      <c r="T238" s="8">
        <f>(5+(4/60))*P238</f>
        <v>265.44266666666664</v>
      </c>
    </row>
    <row r="239" spans="1:20" x14ac:dyDescent="0.2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58">
        <v>76.14</v>
      </c>
      <c r="O239" s="58" t="s">
        <v>775</v>
      </c>
      <c r="P239" s="58">
        <v>74.27</v>
      </c>
      <c r="Q239" s="58" t="s">
        <v>775</v>
      </c>
      <c r="R239" s="58" t="s">
        <v>775</v>
      </c>
      <c r="S239" s="19">
        <v>0.22777777777777777</v>
      </c>
      <c r="T239" s="8">
        <f>(5+(28/60))*P239</f>
        <v>406.0093333333333</v>
      </c>
    </row>
    <row r="240" spans="1:20" x14ac:dyDescent="0.2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58">
        <v>45.96</v>
      </c>
      <c r="O240" s="58" t="s">
        <v>775</v>
      </c>
      <c r="P240" s="58">
        <v>46.52</v>
      </c>
      <c r="Q240" s="58" t="s">
        <v>775</v>
      </c>
      <c r="R240" s="58" t="s">
        <v>775</v>
      </c>
      <c r="S240" s="19">
        <v>0.15972222222222224</v>
      </c>
      <c r="T240" s="8">
        <f>(3+(50/60))*P240</f>
        <v>178.32666666666668</v>
      </c>
    </row>
    <row r="241" spans="1:27" s="3" customFormat="1" x14ac:dyDescent="0.2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59">
        <v>84.78</v>
      </c>
      <c r="O241" s="59" t="s">
        <v>775</v>
      </c>
      <c r="P241" s="59">
        <v>79.16</v>
      </c>
      <c r="Q241" s="59" t="s">
        <v>775</v>
      </c>
      <c r="R241" s="59" t="s">
        <v>775</v>
      </c>
      <c r="S241" s="23">
        <v>6.3888888888888884E-2</v>
      </c>
      <c r="T241" s="48">
        <f>(1+(32/60))*P241</f>
        <v>121.37866666666665</v>
      </c>
      <c r="Y241"/>
      <c r="Z241"/>
      <c r="AA241"/>
    </row>
    <row r="242" spans="1:27" x14ac:dyDescent="0.2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G242" s="2">
        <v>41.13</v>
      </c>
      <c r="H242" s="15">
        <v>1.4690000000000001</v>
      </c>
      <c r="I242" s="15">
        <v>1.2549999999999999</v>
      </c>
      <c r="N242" s="58">
        <v>41.13</v>
      </c>
      <c r="O242" s="58" t="s">
        <v>775</v>
      </c>
      <c r="P242" s="58">
        <v>44.68</v>
      </c>
      <c r="Q242" s="58" t="s">
        <v>775</v>
      </c>
      <c r="R242" s="58" t="s">
        <v>775</v>
      </c>
      <c r="S242" s="19">
        <v>0.125</v>
      </c>
      <c r="T242" s="8">
        <f>3*P242</f>
        <v>134.04</v>
      </c>
      <c r="Y242" s="3"/>
      <c r="Z242" s="3"/>
      <c r="AA242" s="3"/>
    </row>
    <row r="243" spans="1:27" x14ac:dyDescent="0.2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58">
        <v>38.99</v>
      </c>
      <c r="O243" s="58" t="s">
        <v>775</v>
      </c>
      <c r="P243" s="58">
        <v>38.130000000000003</v>
      </c>
      <c r="Q243" s="58" t="s">
        <v>775</v>
      </c>
      <c r="R243" s="58" t="s">
        <v>775</v>
      </c>
      <c r="S243" s="19">
        <v>0.12847222222222224</v>
      </c>
      <c r="T243" s="8">
        <f>(3+(5/60))*P243</f>
        <v>117.56750000000001</v>
      </c>
    </row>
    <row r="244" spans="1:27" x14ac:dyDescent="0.2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58">
        <v>37.200000000000003</v>
      </c>
      <c r="O244" s="58" t="s">
        <v>775</v>
      </c>
      <c r="P244" s="58">
        <v>39.01</v>
      </c>
      <c r="Q244" s="58" t="s">
        <v>775</v>
      </c>
      <c r="R244" s="58" t="s">
        <v>775</v>
      </c>
      <c r="S244" s="19">
        <v>0.17152777777777775</v>
      </c>
      <c r="T244" s="8">
        <f>(4+(7/60))*P244</f>
        <v>160.59116666666665</v>
      </c>
    </row>
    <row r="245" spans="1:27" x14ac:dyDescent="0.2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58">
        <v>49.81</v>
      </c>
      <c r="O245" s="58" t="s">
        <v>775</v>
      </c>
      <c r="P245" s="58">
        <v>45.56</v>
      </c>
      <c r="Q245" s="58" t="s">
        <v>775</v>
      </c>
      <c r="R245" s="58" t="s">
        <v>775</v>
      </c>
      <c r="S245" s="19">
        <v>0.22708333333333333</v>
      </c>
      <c r="T245" s="8">
        <f>(5+(27/60))*P245</f>
        <v>248.30200000000002</v>
      </c>
    </row>
    <row r="246" spans="1:27" x14ac:dyDescent="0.2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58">
        <v>20.97</v>
      </c>
      <c r="O246" s="58" t="s">
        <v>775</v>
      </c>
      <c r="P246" s="58">
        <v>24.63</v>
      </c>
      <c r="Q246" s="58" t="s">
        <v>775</v>
      </c>
      <c r="R246" s="58" t="s">
        <v>775</v>
      </c>
      <c r="S246" s="19">
        <v>0.45763888888888887</v>
      </c>
      <c r="T246" s="8">
        <f>(10+(59/60))*P246</f>
        <v>270.51949999999999</v>
      </c>
    </row>
    <row r="247" spans="1:27" x14ac:dyDescent="0.2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58">
        <v>62.25</v>
      </c>
      <c r="O247" s="58" t="s">
        <v>775</v>
      </c>
      <c r="P247" s="58">
        <v>60.97</v>
      </c>
      <c r="Q247" s="58" t="s">
        <v>775</v>
      </c>
      <c r="R247" s="58" t="s">
        <v>775</v>
      </c>
      <c r="S247" s="19">
        <v>9.8611111111111108E-2</v>
      </c>
      <c r="T247" s="8">
        <f>(2+(22/60))*P247</f>
        <v>144.29566666666668</v>
      </c>
    </row>
    <row r="248" spans="1:27" x14ac:dyDescent="0.2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58">
        <v>54.58</v>
      </c>
      <c r="O248" s="58" t="s">
        <v>775</v>
      </c>
      <c r="P248" s="58">
        <v>52.91</v>
      </c>
      <c r="Q248" s="58" t="s">
        <v>775</v>
      </c>
      <c r="R248" s="58" t="s">
        <v>775</v>
      </c>
      <c r="S248" s="19">
        <v>0.17222222222222225</v>
      </c>
      <c r="T248" s="8">
        <f>(4+(8/60))*P248</f>
        <v>218.69466666666668</v>
      </c>
    </row>
    <row r="249" spans="1:27" x14ac:dyDescent="0.2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58">
        <v>21.27</v>
      </c>
      <c r="O249" s="58" t="s">
        <v>775</v>
      </c>
      <c r="P249" s="58">
        <v>10</v>
      </c>
      <c r="Q249" s="58" t="s">
        <v>775</v>
      </c>
      <c r="R249" s="58" t="s">
        <v>775</v>
      </c>
      <c r="S249" s="19">
        <v>0.11388888888888889</v>
      </c>
      <c r="T249" s="8">
        <f>(2+(44/60))*P249</f>
        <v>27.333333333333336</v>
      </c>
    </row>
    <row r="250" spans="1:27" x14ac:dyDescent="0.2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58">
        <v>45.16</v>
      </c>
      <c r="O250" s="58" t="s">
        <v>775</v>
      </c>
      <c r="P250" s="58" t="s">
        <v>775</v>
      </c>
      <c r="Q250" s="58" t="s">
        <v>775</v>
      </c>
      <c r="R250" s="58" t="s">
        <v>775</v>
      </c>
      <c r="S250" s="19">
        <v>0.13749999999999998</v>
      </c>
      <c r="T250" s="8">
        <f>(3+(18/60))*N250</f>
        <v>149.02799999999999</v>
      </c>
    </row>
    <row r="251" spans="1:27" x14ac:dyDescent="0.2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>
        <v>45.6</v>
      </c>
      <c r="O251" s="14" t="s">
        <v>775</v>
      </c>
      <c r="P251" s="14" t="s">
        <v>775</v>
      </c>
      <c r="Q251" s="14" t="s">
        <v>775</v>
      </c>
      <c r="R251" s="14" t="s">
        <v>775</v>
      </c>
      <c r="S251" s="19">
        <v>0.25763888888888892</v>
      </c>
      <c r="T251" s="8">
        <f>(6+(11/60))*N251</f>
        <v>281.96000000000004</v>
      </c>
    </row>
    <row r="252" spans="1:27" x14ac:dyDescent="0.2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>
        <v>106.8</v>
      </c>
      <c r="O252" s="14" t="s">
        <v>775</v>
      </c>
      <c r="P252" s="14" t="s">
        <v>775</v>
      </c>
      <c r="Q252" s="14" t="s">
        <v>775</v>
      </c>
      <c r="R252" s="14" t="s">
        <v>775</v>
      </c>
      <c r="S252" s="19">
        <v>0.4513888888888889</v>
      </c>
      <c r="T252" s="8">
        <f>(10+(50/60))*N252</f>
        <v>1157</v>
      </c>
    </row>
    <row r="253" spans="1:27" x14ac:dyDescent="0.2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>
        <v>898.6</v>
      </c>
      <c r="O253" s="14" t="s">
        <v>775</v>
      </c>
      <c r="P253" s="14" t="s">
        <v>775</v>
      </c>
      <c r="Q253" s="14" t="s">
        <v>775</v>
      </c>
      <c r="R253" s="14" t="s">
        <v>775</v>
      </c>
      <c r="S253" s="19">
        <v>0.86388888888888893</v>
      </c>
      <c r="T253" s="8">
        <f>(20+(44/60))*N253</f>
        <v>18630.973333333335</v>
      </c>
    </row>
    <row r="254" spans="1:27" x14ac:dyDescent="0.2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>
        <v>32.54</v>
      </c>
      <c r="O254" s="14" t="s">
        <v>775</v>
      </c>
      <c r="P254" s="14" t="s">
        <v>775</v>
      </c>
      <c r="Q254" s="14" t="s">
        <v>775</v>
      </c>
      <c r="R254" s="14" t="s">
        <v>775</v>
      </c>
      <c r="S254" s="19">
        <v>0.77708333333333324</v>
      </c>
      <c r="T254" s="8">
        <f>(18+(39/60))*N254</f>
        <v>606.87099999999998</v>
      </c>
    </row>
    <row r="255" spans="1:27" x14ac:dyDescent="0.2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>
        <v>656.2</v>
      </c>
      <c r="O255" s="14" t="s">
        <v>775</v>
      </c>
      <c r="P255" s="14" t="s">
        <v>775</v>
      </c>
      <c r="Q255" s="14" t="s">
        <v>775</v>
      </c>
      <c r="R255" s="14" t="s">
        <v>775</v>
      </c>
      <c r="S255" s="19">
        <v>0.13402777777777777</v>
      </c>
      <c r="T255" s="8">
        <f>(3+(13/60))*N255</f>
        <v>2110.7766666666671</v>
      </c>
    </row>
    <row r="256" spans="1:27" x14ac:dyDescent="0.2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>
        <v>661.3</v>
      </c>
      <c r="O256" s="14" t="s">
        <v>775</v>
      </c>
      <c r="P256" s="14" t="s">
        <v>775</v>
      </c>
      <c r="Q256" s="14" t="s">
        <v>775</v>
      </c>
      <c r="R256" s="14" t="s">
        <v>775</v>
      </c>
      <c r="S256" s="19">
        <v>0.17708333333333334</v>
      </c>
      <c r="T256" s="8">
        <f>(4+(15/60))*N256</f>
        <v>2810.5249999999996</v>
      </c>
    </row>
    <row r="257" spans="1:20" x14ac:dyDescent="0.2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>
        <v>672.2</v>
      </c>
      <c r="O257" s="14" t="s">
        <v>775</v>
      </c>
      <c r="P257" s="14" t="s">
        <v>775</v>
      </c>
      <c r="Q257" s="14" t="s">
        <v>775</v>
      </c>
      <c r="R257" s="14" t="s">
        <v>775</v>
      </c>
      <c r="S257" s="19">
        <v>0.19444444444444445</v>
      </c>
      <c r="T257" s="8">
        <f>(4+(40/60))*N257</f>
        <v>3136.9333333333338</v>
      </c>
    </row>
    <row r="258" spans="1:20" x14ac:dyDescent="0.2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>
        <v>525</v>
      </c>
      <c r="O258" s="14" t="s">
        <v>775</v>
      </c>
      <c r="P258" s="14" t="s">
        <v>775</v>
      </c>
      <c r="Q258" s="14" t="s">
        <v>775</v>
      </c>
      <c r="R258" s="14" t="s">
        <v>775</v>
      </c>
      <c r="S258" s="19">
        <v>0.2722222222222222</v>
      </c>
      <c r="T258" s="8">
        <f>(6+(32/60))*N258</f>
        <v>3430</v>
      </c>
    </row>
    <row r="259" spans="1:20" x14ac:dyDescent="0.2">
      <c r="A259" s="2">
        <v>2164</v>
      </c>
      <c r="B259" s="2">
        <v>2164</v>
      </c>
      <c r="C259" s="2">
        <v>59</v>
      </c>
      <c r="D259" t="s">
        <v>1242</v>
      </c>
      <c r="G259" s="2">
        <v>505</v>
      </c>
      <c r="H259" s="15">
        <v>18.03</v>
      </c>
      <c r="I259" s="15">
        <v>10.56</v>
      </c>
      <c r="N259" s="2">
        <v>505</v>
      </c>
      <c r="O259" s="14" t="s">
        <v>775</v>
      </c>
      <c r="P259" s="14" t="s">
        <v>775</v>
      </c>
      <c r="Q259" s="14" t="s">
        <v>775</v>
      </c>
      <c r="R259" s="14" t="s">
        <v>775</v>
      </c>
      <c r="S259" s="19">
        <v>3.2638888888888891E-2</v>
      </c>
      <c r="T259" s="8">
        <f>(47/60)*N259</f>
        <v>395.58333333333331</v>
      </c>
    </row>
    <row r="260" spans="1:20" x14ac:dyDescent="0.2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15">
        <v>3.1579999999999999</v>
      </c>
      <c r="N260" s="2">
        <v>97.41</v>
      </c>
      <c r="O260" s="14" t="s">
        <v>775</v>
      </c>
      <c r="P260" s="14" t="s">
        <v>775</v>
      </c>
      <c r="Q260" s="14" t="s">
        <v>775</v>
      </c>
      <c r="R260" s="14" t="s">
        <v>775</v>
      </c>
      <c r="S260" s="19">
        <v>6.0416666666666667E-2</v>
      </c>
      <c r="T260" s="8">
        <f>(1+(27/60))*N260</f>
        <v>141.24449999999999</v>
      </c>
    </row>
    <row r="261" spans="1:20" x14ac:dyDescent="0.2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15">
        <v>1.087</v>
      </c>
      <c r="N261" s="2">
        <v>40.85</v>
      </c>
      <c r="O261" s="14" t="s">
        <v>775</v>
      </c>
      <c r="P261" s="14" t="s">
        <v>775</v>
      </c>
      <c r="Q261" s="14" t="s">
        <v>775</v>
      </c>
      <c r="R261" s="14" t="s">
        <v>775</v>
      </c>
      <c r="S261" s="19">
        <v>0.11388888888888889</v>
      </c>
      <c r="T261" s="8">
        <f>(2+(44/60))*N261</f>
        <v>111.65666666666667</v>
      </c>
    </row>
    <row r="262" spans="1:20" x14ac:dyDescent="0.2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15">
        <v>0.44917699999999999</v>
      </c>
      <c r="N262" s="2">
        <v>16.64</v>
      </c>
      <c r="O262" s="14" t="s">
        <v>775</v>
      </c>
      <c r="P262" s="14" t="s">
        <v>775</v>
      </c>
      <c r="Q262" s="14" t="s">
        <v>775</v>
      </c>
      <c r="R262" s="14" t="s">
        <v>775</v>
      </c>
      <c r="S262" s="19">
        <v>0.21527777777777779</v>
      </c>
      <c r="T262" s="8">
        <f>(5+(10/60))*N262</f>
        <v>85.973333333333343</v>
      </c>
    </row>
    <row r="263" spans="1:20" x14ac:dyDescent="0.2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15">
        <v>3.976</v>
      </c>
      <c r="N263" s="2">
        <v>186.9</v>
      </c>
      <c r="O263" s="14" t="s">
        <v>775</v>
      </c>
      <c r="P263" s="14" t="s">
        <v>775</v>
      </c>
      <c r="Q263" s="14" t="s">
        <v>775</v>
      </c>
      <c r="R263" s="14" t="s">
        <v>775</v>
      </c>
      <c r="S263" s="19">
        <v>0.30902777777777779</v>
      </c>
      <c r="T263" s="8">
        <f>(7+(25/60))*N263</f>
        <v>1386.1750000000002</v>
      </c>
    </row>
    <row r="264" spans="1:20" x14ac:dyDescent="0.2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15">
        <v>1.125</v>
      </c>
      <c r="N264" s="2">
        <v>41.04</v>
      </c>
      <c r="O264" s="14" t="s">
        <v>775</v>
      </c>
      <c r="P264" s="14" t="s">
        <v>775</v>
      </c>
      <c r="Q264" s="14" t="s">
        <v>775</v>
      </c>
      <c r="R264" s="14" t="s">
        <v>775</v>
      </c>
      <c r="S264" s="19">
        <v>0.20347222222222219</v>
      </c>
      <c r="T264" s="8">
        <f>(4+(53/60))*N264</f>
        <v>200.41199999999998</v>
      </c>
    </row>
    <row r="265" spans="1:20" x14ac:dyDescent="0.2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15">
        <v>1.085</v>
      </c>
      <c r="N265" s="2">
        <v>36.840000000000003</v>
      </c>
      <c r="O265" s="14" t="s">
        <v>775</v>
      </c>
      <c r="P265" s="14" t="s">
        <v>775</v>
      </c>
      <c r="Q265" s="14" t="s">
        <v>775</v>
      </c>
      <c r="R265" s="14" t="s">
        <v>775</v>
      </c>
      <c r="S265" s="19">
        <v>0.13541666666666666</v>
      </c>
      <c r="T265" s="8">
        <f>(3+(15/60))*N265</f>
        <v>119.73000000000002</v>
      </c>
    </row>
    <row r="266" spans="1:20" x14ac:dyDescent="0.2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15">
        <v>1.4119999999999999</v>
      </c>
      <c r="N266" s="2">
        <v>44.14</v>
      </c>
      <c r="O266" s="14" t="s">
        <v>775</v>
      </c>
      <c r="P266" s="14" t="s">
        <v>775</v>
      </c>
      <c r="Q266" s="14" t="s">
        <v>775</v>
      </c>
      <c r="R266" s="14" t="s">
        <v>775</v>
      </c>
      <c r="S266" s="19">
        <v>4.9999999999999996E-2</v>
      </c>
      <c r="T266" s="8">
        <f>(1+(12/60))*N266</f>
        <v>52.967999999999996</v>
      </c>
    </row>
    <row r="267" spans="1:20" x14ac:dyDescent="0.2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15">
        <v>3.0960000000000001</v>
      </c>
      <c r="N267" s="2">
        <v>160.4</v>
      </c>
      <c r="O267" s="14" t="s">
        <v>775</v>
      </c>
      <c r="P267" s="14" t="s">
        <v>775</v>
      </c>
      <c r="Q267" s="14" t="s">
        <v>775</v>
      </c>
      <c r="R267" s="14" t="s">
        <v>775</v>
      </c>
      <c r="S267" s="19">
        <v>7.3611111111111113E-2</v>
      </c>
      <c r="T267" s="8">
        <f>(1+(46/60))*N267</f>
        <v>283.37333333333333</v>
      </c>
    </row>
    <row r="268" spans="1:20" x14ac:dyDescent="0.2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15">
        <v>1.613</v>
      </c>
      <c r="N268" s="2">
        <v>49.78</v>
      </c>
      <c r="O268" s="14" t="s">
        <v>775</v>
      </c>
      <c r="P268" s="14" t="s">
        <v>775</v>
      </c>
      <c r="Q268" s="14" t="s">
        <v>775</v>
      </c>
      <c r="R268" s="14" t="s">
        <v>775</v>
      </c>
      <c r="S268" s="19">
        <v>5.2777777777777778E-2</v>
      </c>
      <c r="T268" s="8">
        <f>(1+(16/60))*N268</f>
        <v>63.054666666666662</v>
      </c>
    </row>
    <row r="269" spans="1:20" x14ac:dyDescent="0.2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15">
        <v>1.141</v>
      </c>
      <c r="N269" s="2">
        <v>38.22</v>
      </c>
      <c r="O269" s="14" t="s">
        <v>775</v>
      </c>
      <c r="P269" s="14" t="s">
        <v>775</v>
      </c>
      <c r="Q269" s="14" t="s">
        <v>775</v>
      </c>
      <c r="R269" s="14" t="s">
        <v>775</v>
      </c>
      <c r="S269" s="19">
        <v>0.18472222222222223</v>
      </c>
      <c r="T269" s="8">
        <f>(4+(26/60))*N269</f>
        <v>169.44200000000001</v>
      </c>
    </row>
    <row r="270" spans="1:20" x14ac:dyDescent="0.2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15">
        <v>0.62997099999999995</v>
      </c>
      <c r="N270" s="2">
        <v>18.55</v>
      </c>
      <c r="O270" s="14" t="s">
        <v>775</v>
      </c>
      <c r="P270" s="14" t="s">
        <v>775</v>
      </c>
      <c r="Q270" s="14" t="s">
        <v>775</v>
      </c>
      <c r="R270" s="14" t="s">
        <v>775</v>
      </c>
      <c r="S270" s="19">
        <v>2.5694444444444447E-2</v>
      </c>
      <c r="T270" s="8">
        <f>(37/60)*N270</f>
        <v>11.439166666666667</v>
      </c>
    </row>
    <row r="271" spans="1:20" x14ac:dyDescent="0.2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15">
        <v>1.143</v>
      </c>
      <c r="N271" s="2">
        <v>38.06</v>
      </c>
      <c r="O271" s="14" t="s">
        <v>775</v>
      </c>
      <c r="P271" s="14" t="s">
        <v>775</v>
      </c>
      <c r="Q271" s="14" t="s">
        <v>775</v>
      </c>
      <c r="R271" s="14" t="s">
        <v>775</v>
      </c>
      <c r="S271" s="19">
        <v>0.13055555555555556</v>
      </c>
      <c r="T271" s="8">
        <f>(3+(8/60))*N271</f>
        <v>119.25466666666668</v>
      </c>
    </row>
    <row r="272" spans="1:20" x14ac:dyDescent="0.2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15">
        <v>3.26</v>
      </c>
      <c r="N272" s="2">
        <v>117</v>
      </c>
      <c r="O272" s="14" t="s">
        <v>775</v>
      </c>
      <c r="P272" s="14" t="s">
        <v>775</v>
      </c>
      <c r="Q272" s="14" t="s">
        <v>775</v>
      </c>
      <c r="R272" s="14" t="s">
        <v>775</v>
      </c>
      <c r="S272" s="19">
        <v>0.21041666666666667</v>
      </c>
      <c r="T272" s="8">
        <f>(5+(3/60))*N272</f>
        <v>590.85</v>
      </c>
    </row>
    <row r="273" spans="1:20" x14ac:dyDescent="0.2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15">
        <v>1.6970000000000001</v>
      </c>
      <c r="N273" s="2">
        <v>109.3</v>
      </c>
      <c r="O273" s="14" t="s">
        <v>775</v>
      </c>
      <c r="P273" s="14" t="s">
        <v>775</v>
      </c>
      <c r="Q273" s="14" t="s">
        <v>775</v>
      </c>
      <c r="R273" s="14" t="s">
        <v>775</v>
      </c>
      <c r="S273" s="19">
        <v>0.59513888888888888</v>
      </c>
      <c r="T273" s="8">
        <f>(14+(17/60))*N273</f>
        <v>1561.1683333333333</v>
      </c>
    </row>
    <row r="274" spans="1:20" x14ac:dyDescent="0.2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15">
        <v>1.399</v>
      </c>
      <c r="N274" s="2">
        <v>44.87</v>
      </c>
      <c r="O274" s="14" t="s">
        <v>775</v>
      </c>
      <c r="P274" s="14" t="s">
        <v>775</v>
      </c>
      <c r="Q274" s="14" t="s">
        <v>775</v>
      </c>
      <c r="R274" s="14" t="s">
        <v>775</v>
      </c>
      <c r="S274" s="19">
        <v>6.0416666666666667E-2</v>
      </c>
      <c r="T274" s="8">
        <f>(1+(27/60))*N274</f>
        <v>65.061499999999995</v>
      </c>
    </row>
    <row r="275" spans="1:20" x14ac:dyDescent="0.2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15">
        <v>0.37930999999999998</v>
      </c>
      <c r="N275" s="2">
        <v>12.63</v>
      </c>
      <c r="O275" s="14" t="s">
        <v>775</v>
      </c>
      <c r="P275" s="14" t="s">
        <v>775</v>
      </c>
      <c r="Q275" s="14" t="s">
        <v>775</v>
      </c>
      <c r="R275" s="14" t="s">
        <v>775</v>
      </c>
      <c r="S275" s="19">
        <v>0.18124999999999999</v>
      </c>
      <c r="T275" s="8">
        <f>(4+(21/60))*N275</f>
        <v>54.9405</v>
      </c>
    </row>
    <row r="276" spans="1:20" x14ac:dyDescent="0.2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15">
        <v>2.532</v>
      </c>
      <c r="N276" s="2">
        <v>97.58</v>
      </c>
      <c r="O276" s="14" t="s">
        <v>775</v>
      </c>
      <c r="P276" s="14" t="s">
        <v>775</v>
      </c>
      <c r="Q276" s="14" t="s">
        <v>775</v>
      </c>
      <c r="R276" s="14" t="s">
        <v>775</v>
      </c>
      <c r="S276" s="19">
        <v>0.14930555555555555</v>
      </c>
      <c r="T276" s="8">
        <f>(3+(35/60))*N276</f>
        <v>349.66166666666669</v>
      </c>
    </row>
    <row r="277" spans="1:20" x14ac:dyDescent="0.2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15">
        <v>0.324965</v>
      </c>
      <c r="N277" s="2">
        <v>10.09</v>
      </c>
      <c r="O277" s="14" t="s">
        <v>775</v>
      </c>
      <c r="P277" s="14" t="s">
        <v>775</v>
      </c>
      <c r="Q277" s="14" t="s">
        <v>775</v>
      </c>
      <c r="R277" s="14" t="s">
        <v>775</v>
      </c>
      <c r="S277" s="19">
        <v>0.13680555555555554</v>
      </c>
      <c r="T277" s="8">
        <f>(3+(17/60))*N277</f>
        <v>33.128833333333333</v>
      </c>
    </row>
    <row r="278" spans="1:20" s="3" customFormat="1" x14ac:dyDescent="0.2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2">
        <v>4.407</v>
      </c>
      <c r="O278" s="14" t="s">
        <v>775</v>
      </c>
      <c r="P278" s="14" t="s">
        <v>775</v>
      </c>
      <c r="Q278" s="14" t="s">
        <v>775</v>
      </c>
      <c r="R278" s="14" t="s">
        <v>775</v>
      </c>
      <c r="S278" s="19">
        <v>0.21597222222222223</v>
      </c>
      <c r="T278" s="8">
        <f>(5+(11/60))*N278</f>
        <v>22.842950000000002</v>
      </c>
    </row>
    <row r="279" spans="1:20" x14ac:dyDescent="0.2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15">
        <v>0.58486199999999999</v>
      </c>
      <c r="N279" s="2">
        <v>17.75</v>
      </c>
      <c r="O279" s="14" t="s">
        <v>775</v>
      </c>
      <c r="P279" s="14" t="s">
        <v>775</v>
      </c>
      <c r="Q279" s="14" t="s">
        <v>775</v>
      </c>
      <c r="R279" s="14" t="s">
        <v>775</v>
      </c>
      <c r="S279" s="19">
        <v>4.027777777777778E-2</v>
      </c>
      <c r="T279" s="8">
        <f>((58/60))*N279</f>
        <v>17.158333333333335</v>
      </c>
    </row>
    <row r="280" spans="1:20" x14ac:dyDescent="0.2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15">
        <v>1.27</v>
      </c>
      <c r="N280" s="2">
        <v>43.17</v>
      </c>
      <c r="O280" s="14" t="s">
        <v>775</v>
      </c>
      <c r="P280" s="14" t="s">
        <v>775</v>
      </c>
      <c r="Q280" s="14" t="s">
        <v>775</v>
      </c>
      <c r="R280" s="14" t="s">
        <v>775</v>
      </c>
      <c r="S280" s="19">
        <v>0.11875000000000001</v>
      </c>
      <c r="T280" s="8">
        <f>(2+(51/60))*N280</f>
        <v>123.03450000000001</v>
      </c>
    </row>
    <row r="281" spans="1:20" x14ac:dyDescent="0.2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15">
        <v>0.48430899999999999</v>
      </c>
      <c r="N281" s="2">
        <v>23.13</v>
      </c>
      <c r="O281" s="14" t="s">
        <v>775</v>
      </c>
      <c r="P281" s="14" t="s">
        <v>775</v>
      </c>
      <c r="Q281" s="14" t="s">
        <v>775</v>
      </c>
      <c r="R281" s="14" t="s">
        <v>775</v>
      </c>
      <c r="S281" s="19">
        <v>0.26944444444444443</v>
      </c>
      <c r="T281" s="8">
        <f>(6+(28/60))*N281</f>
        <v>149.57399999999998</v>
      </c>
    </row>
    <row r="282" spans="1:20" x14ac:dyDescent="0.2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15">
        <v>0.98093799999999998</v>
      </c>
      <c r="N282" s="2">
        <v>38.11</v>
      </c>
      <c r="O282" s="14" t="s">
        <v>775</v>
      </c>
      <c r="P282" s="14" t="s">
        <v>775</v>
      </c>
      <c r="Q282" s="14" t="s">
        <v>775</v>
      </c>
      <c r="R282" s="14" t="s">
        <v>775</v>
      </c>
      <c r="S282" s="19">
        <v>0.31388888888888888</v>
      </c>
      <c r="T282" s="8">
        <f>(7+(32/60))*N282</f>
        <v>287.09533333333331</v>
      </c>
    </row>
    <row r="283" spans="1:20" x14ac:dyDescent="0.2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15">
        <v>11.46</v>
      </c>
      <c r="N283" s="2">
        <v>429.5</v>
      </c>
      <c r="O283" s="14" t="s">
        <v>775</v>
      </c>
      <c r="P283" s="14" t="s">
        <v>775</v>
      </c>
      <c r="Q283" s="14" t="s">
        <v>775</v>
      </c>
      <c r="R283" s="14" t="s">
        <v>775</v>
      </c>
      <c r="S283" s="19">
        <v>0.26041666666666669</v>
      </c>
      <c r="T283" s="8">
        <f>(6+(15/60))*N283</f>
        <v>2684.375</v>
      </c>
    </row>
    <row r="284" spans="1:20" x14ac:dyDescent="0.2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15">
        <v>1.444</v>
      </c>
      <c r="N284" s="2">
        <v>45.02</v>
      </c>
      <c r="O284" s="14" t="s">
        <v>775</v>
      </c>
      <c r="P284" s="14" t="s">
        <v>775</v>
      </c>
      <c r="Q284" s="14" t="s">
        <v>775</v>
      </c>
      <c r="R284" s="14" t="s">
        <v>775</v>
      </c>
      <c r="S284" s="19">
        <v>7.7083333333333337E-2</v>
      </c>
      <c r="T284" s="8">
        <f>(1+(51/60))*N284</f>
        <v>83.287000000000006</v>
      </c>
    </row>
    <row r="285" spans="1:20" x14ac:dyDescent="0.2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15">
        <v>1.913</v>
      </c>
      <c r="N285" s="2">
        <v>74.709999999999994</v>
      </c>
      <c r="O285" s="14" t="s">
        <v>775</v>
      </c>
      <c r="P285" s="14" t="s">
        <v>775</v>
      </c>
      <c r="Q285" s="14" t="s">
        <v>775</v>
      </c>
      <c r="R285" s="14" t="s">
        <v>775</v>
      </c>
      <c r="S285" s="19">
        <v>0.13055555555555556</v>
      </c>
      <c r="T285" s="8">
        <f>(3+(8/60))*N285</f>
        <v>234.09133333333332</v>
      </c>
    </row>
    <row r="286" spans="1:20" x14ac:dyDescent="0.2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15">
        <v>0.85719400000000001</v>
      </c>
      <c r="N286" s="2">
        <v>25</v>
      </c>
      <c r="O286" s="14" t="s">
        <v>775</v>
      </c>
      <c r="P286" s="14" t="s">
        <v>775</v>
      </c>
      <c r="Q286" s="14" t="s">
        <v>775</v>
      </c>
      <c r="R286" s="14" t="s">
        <v>775</v>
      </c>
      <c r="S286" s="19">
        <v>1.8749999999999999E-2</v>
      </c>
      <c r="T286" s="8">
        <f>((27/60))*N286</f>
        <v>11.25</v>
      </c>
    </row>
    <row r="287" spans="1:20" x14ac:dyDescent="0.2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15">
        <v>1.18</v>
      </c>
      <c r="N287" s="2">
        <v>53.09</v>
      </c>
      <c r="O287" s="14" t="s">
        <v>775</v>
      </c>
      <c r="P287" s="14" t="s">
        <v>775</v>
      </c>
      <c r="Q287" s="14" t="s">
        <v>775</v>
      </c>
      <c r="R287" s="14" t="s">
        <v>775</v>
      </c>
      <c r="S287" s="19">
        <v>0.25625000000000003</v>
      </c>
      <c r="T287" s="8">
        <f>(6+(9/60))*N287</f>
        <v>326.50350000000003</v>
      </c>
    </row>
    <row r="288" spans="1:20" x14ac:dyDescent="0.2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15">
        <v>1.5289999999999999</v>
      </c>
      <c r="N288" s="2">
        <v>80.180000000000007</v>
      </c>
      <c r="O288" s="14" t="s">
        <v>775</v>
      </c>
      <c r="P288" s="14" t="s">
        <v>775</v>
      </c>
      <c r="Q288" s="14" t="s">
        <v>775</v>
      </c>
      <c r="R288" s="14" t="s">
        <v>775</v>
      </c>
      <c r="S288" s="19">
        <v>0.2902777777777778</v>
      </c>
      <c r="T288" s="8">
        <f>(6+(58/60))*N288</f>
        <v>558.58733333333339</v>
      </c>
    </row>
    <row r="289" spans="1:20" x14ac:dyDescent="0.2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15">
        <v>1.016</v>
      </c>
      <c r="N289" s="2">
        <v>34.619999999999997</v>
      </c>
      <c r="O289" s="14" t="s">
        <v>775</v>
      </c>
      <c r="P289" s="14" t="s">
        <v>775</v>
      </c>
      <c r="Q289" s="14" t="s">
        <v>775</v>
      </c>
      <c r="R289" s="14" t="s">
        <v>775</v>
      </c>
      <c r="S289" s="19">
        <v>0.20416666666666669</v>
      </c>
      <c r="T289" s="8">
        <f>(4+(54/60))*N289</f>
        <v>169.63800000000001</v>
      </c>
    </row>
    <row r="290" spans="1:20" x14ac:dyDescent="0.2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15">
        <v>1.266</v>
      </c>
      <c r="N290" s="2">
        <v>62.5</v>
      </c>
      <c r="O290" s="14" t="s">
        <v>775</v>
      </c>
      <c r="P290" s="14" t="s">
        <v>775</v>
      </c>
      <c r="Q290" s="14" t="s">
        <v>775</v>
      </c>
      <c r="R290" s="14" t="s">
        <v>775</v>
      </c>
      <c r="S290" s="19">
        <v>0.66597222222222219</v>
      </c>
      <c r="T290" s="8">
        <f>(15+(59/60))*N290</f>
        <v>998.95833333333326</v>
      </c>
    </row>
    <row r="291" spans="1:20" x14ac:dyDescent="0.2">
      <c r="A291" s="2">
        <v>243</v>
      </c>
      <c r="B291" s="2">
        <v>200</v>
      </c>
      <c r="C291" s="2">
        <v>1269</v>
      </c>
      <c r="D291" t="s">
        <v>292</v>
      </c>
      <c r="E291" t="s">
        <v>1243</v>
      </c>
      <c r="F291" s="2">
        <v>13870</v>
      </c>
      <c r="G291" s="2">
        <v>35.340000000000003</v>
      </c>
      <c r="H291" s="15">
        <v>1.262</v>
      </c>
      <c r="I291" s="15">
        <v>1.125</v>
      </c>
      <c r="N291" s="2">
        <v>35.340000000000003</v>
      </c>
      <c r="O291" s="14" t="s">
        <v>775</v>
      </c>
      <c r="P291" s="14" t="s">
        <v>775</v>
      </c>
      <c r="Q291" s="14" t="s">
        <v>775</v>
      </c>
      <c r="R291" s="14" t="s">
        <v>775</v>
      </c>
      <c r="S291" s="19">
        <v>0.12152777777777778</v>
      </c>
      <c r="T291" s="8">
        <f>(2+(55/60))*N291</f>
        <v>103.075</v>
      </c>
    </row>
    <row r="292" spans="1:20" x14ac:dyDescent="0.2">
      <c r="A292" s="2">
        <v>444</v>
      </c>
      <c r="B292" s="2">
        <v>244</v>
      </c>
      <c r="C292" s="2">
        <v>872</v>
      </c>
      <c r="D292" t="s">
        <v>293</v>
      </c>
      <c r="E292" t="s">
        <v>1245</v>
      </c>
      <c r="F292" s="2">
        <v>80000</v>
      </c>
      <c r="G292" s="2">
        <v>74.459999999999994</v>
      </c>
      <c r="H292" s="15">
        <v>2.6589999999999998</v>
      </c>
      <c r="I292" s="15">
        <v>2.2229999999999999</v>
      </c>
      <c r="N292" s="2">
        <v>74.459999999999994</v>
      </c>
      <c r="O292" s="14" t="s">
        <v>775</v>
      </c>
      <c r="P292" s="14" t="s">
        <v>775</v>
      </c>
      <c r="Q292" s="14" t="s">
        <v>775</v>
      </c>
      <c r="R292" s="14" t="s">
        <v>775</v>
      </c>
      <c r="S292" s="19">
        <v>8.6111111111111124E-2</v>
      </c>
      <c r="T292" s="8">
        <f>(2+(4/60))*N292</f>
        <v>153.88400000000001</v>
      </c>
    </row>
    <row r="293" spans="1:20" x14ac:dyDescent="0.2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15">
        <v>0.740479</v>
      </c>
      <c r="N293" s="2">
        <v>52.71</v>
      </c>
      <c r="O293" s="14" t="s">
        <v>775</v>
      </c>
      <c r="P293" s="14" t="s">
        <v>775</v>
      </c>
      <c r="Q293" s="14" t="s">
        <v>775</v>
      </c>
      <c r="R293" s="14" t="s">
        <v>775</v>
      </c>
      <c r="S293" s="19">
        <v>0.4604166666666667</v>
      </c>
      <c r="T293" s="8">
        <f>(11+(3/60))*N293</f>
        <v>582.44550000000004</v>
      </c>
    </row>
    <row r="294" spans="1:20" x14ac:dyDescent="0.2">
      <c r="A294" s="2">
        <v>208</v>
      </c>
      <c r="B294" s="2">
        <v>264</v>
      </c>
      <c r="C294" s="2">
        <v>1037</v>
      </c>
      <c r="D294" t="s">
        <v>296</v>
      </c>
      <c r="E294" t="s">
        <v>1244</v>
      </c>
      <c r="F294" s="2">
        <v>1620</v>
      </c>
      <c r="G294" s="2">
        <v>39.200000000000003</v>
      </c>
      <c r="H294" s="15">
        <v>1.4</v>
      </c>
      <c r="I294" s="15">
        <v>1.141</v>
      </c>
      <c r="N294" s="2">
        <v>39.200000000000003</v>
      </c>
      <c r="O294" s="14" t="s">
        <v>775</v>
      </c>
      <c r="P294" s="14" t="s">
        <v>775</v>
      </c>
      <c r="Q294" s="14" t="s">
        <v>775</v>
      </c>
      <c r="R294" s="14" t="s">
        <v>775</v>
      </c>
      <c r="S294" s="19">
        <v>0.16597222222222222</v>
      </c>
      <c r="T294" s="8">
        <f>(3+(59/60))*N294</f>
        <v>156.14666666666668</v>
      </c>
    </row>
    <row r="295" spans="1:20" x14ac:dyDescent="0.2">
      <c r="A295" s="2">
        <v>247</v>
      </c>
      <c r="B295" s="2">
        <v>209</v>
      </c>
      <c r="C295" s="2">
        <v>1303</v>
      </c>
      <c r="D295" t="s">
        <v>297</v>
      </c>
      <c r="E295" t="s">
        <v>1243</v>
      </c>
      <c r="F295" s="2">
        <v>13870</v>
      </c>
      <c r="G295" s="2">
        <v>35.15</v>
      </c>
      <c r="H295" s="15">
        <v>1.2549999999999999</v>
      </c>
      <c r="I295" s="15">
        <v>1.111</v>
      </c>
      <c r="N295" s="2">
        <v>35.15</v>
      </c>
      <c r="O295" s="14" t="s">
        <v>775</v>
      </c>
      <c r="P295" s="14" t="s">
        <v>775</v>
      </c>
      <c r="Q295" s="14" t="s">
        <v>775</v>
      </c>
      <c r="R295" s="14" t="s">
        <v>775</v>
      </c>
      <c r="S295" s="19">
        <v>0.15069444444444444</v>
      </c>
      <c r="T295" s="8">
        <f>(3+(37/60))*N295</f>
        <v>127.12583333333333</v>
      </c>
    </row>
    <row r="296" spans="1:20" x14ac:dyDescent="0.2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15">
        <v>2.7330000000000001</v>
      </c>
      <c r="N296" s="2">
        <v>114.4</v>
      </c>
      <c r="O296" s="14" t="s">
        <v>775</v>
      </c>
      <c r="P296" s="14" t="s">
        <v>775</v>
      </c>
      <c r="Q296" s="14" t="s">
        <v>775</v>
      </c>
      <c r="R296" s="14" t="s">
        <v>775</v>
      </c>
      <c r="S296" s="19">
        <v>0.29930555555555555</v>
      </c>
      <c r="T296" s="8">
        <f>(7+(11/60))*N296</f>
        <v>821.77333333333343</v>
      </c>
    </row>
    <row r="297" spans="1:20" x14ac:dyDescent="0.2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15">
        <v>0.50130799999999998</v>
      </c>
      <c r="N297" s="2">
        <v>15.37</v>
      </c>
      <c r="O297" s="14" t="s">
        <v>775</v>
      </c>
      <c r="P297" s="14" t="s">
        <v>775</v>
      </c>
      <c r="Q297" s="14" t="s">
        <v>775</v>
      </c>
      <c r="R297" s="14" t="s">
        <v>775</v>
      </c>
      <c r="S297" s="19">
        <v>0.18402777777777779</v>
      </c>
      <c r="T297" s="8">
        <f>(4+(25/60))*N297</f>
        <v>67.884166666666673</v>
      </c>
    </row>
    <row r="298" spans="1:20" x14ac:dyDescent="0.2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15">
        <v>0.98501499999999997</v>
      </c>
      <c r="J298" s="2">
        <v>17.52</v>
      </c>
      <c r="N298" s="2">
        <v>34.200000000000003</v>
      </c>
      <c r="O298" s="14" t="s">
        <v>775</v>
      </c>
      <c r="P298" s="14" t="s">
        <v>775</v>
      </c>
      <c r="Q298" s="14" t="s">
        <v>775</v>
      </c>
      <c r="R298" s="14" t="s">
        <v>775</v>
      </c>
      <c r="S298" s="19">
        <v>0.1763888888888889</v>
      </c>
      <c r="T298" s="8">
        <f>(4+(14/60))*N298</f>
        <v>144.78</v>
      </c>
    </row>
    <row r="299" spans="1:20" x14ac:dyDescent="0.2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15">
        <v>0.93360100000000001</v>
      </c>
      <c r="N299" s="2">
        <v>31.27</v>
      </c>
      <c r="O299" s="14" t="s">
        <v>775</v>
      </c>
      <c r="P299" s="14" t="s">
        <v>775</v>
      </c>
      <c r="Q299" s="14" t="s">
        <v>775</v>
      </c>
      <c r="R299" s="14" t="s">
        <v>775</v>
      </c>
      <c r="S299" s="19">
        <v>0.16666666666666666</v>
      </c>
      <c r="T299" s="8">
        <f>(4)*N299</f>
        <v>125.08</v>
      </c>
    </row>
    <row r="300" spans="1:20" x14ac:dyDescent="0.2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15">
        <v>2.2690000000000001</v>
      </c>
      <c r="N300" s="2">
        <v>73.86</v>
      </c>
      <c r="O300" s="14" t="s">
        <v>775</v>
      </c>
      <c r="P300" s="14" t="s">
        <v>775</v>
      </c>
      <c r="Q300" s="14" t="s">
        <v>775</v>
      </c>
      <c r="R300" s="14" t="s">
        <v>775</v>
      </c>
      <c r="S300" s="19">
        <v>5.1388888888888894E-2</v>
      </c>
      <c r="T300" s="8">
        <f>(1+(14/60))*N300</f>
        <v>91.094000000000008</v>
      </c>
    </row>
    <row r="301" spans="1:20" x14ac:dyDescent="0.2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15">
        <v>0.92829899999999999</v>
      </c>
      <c r="N301" s="2">
        <v>34.33</v>
      </c>
      <c r="O301" s="14" t="s">
        <v>775</v>
      </c>
      <c r="P301" s="14" t="s">
        <v>775</v>
      </c>
      <c r="Q301" s="14" t="s">
        <v>775</v>
      </c>
      <c r="R301" s="14" t="s">
        <v>775</v>
      </c>
      <c r="S301" s="19">
        <v>0.17777777777777778</v>
      </c>
      <c r="T301" s="8">
        <f>(4+(16/60))*N301</f>
        <v>146.47466666666665</v>
      </c>
    </row>
    <row r="302" spans="1:20" x14ac:dyDescent="0.2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15">
        <v>3.5830000000000002</v>
      </c>
      <c r="N302" s="2">
        <v>113</v>
      </c>
      <c r="O302" s="14" t="s">
        <v>775</v>
      </c>
      <c r="P302" s="14" t="s">
        <v>775</v>
      </c>
      <c r="Q302" s="14" t="s">
        <v>775</v>
      </c>
      <c r="R302" s="14" t="s">
        <v>775</v>
      </c>
      <c r="S302" s="19">
        <v>2.2222222222222223E-2</v>
      </c>
      <c r="T302" s="8">
        <f>(32/60)*N302</f>
        <v>60.266666666666666</v>
      </c>
    </row>
    <row r="303" spans="1:20" x14ac:dyDescent="0.2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15">
        <v>2.1869999999999998</v>
      </c>
      <c r="N303" s="2">
        <v>87.47</v>
      </c>
      <c r="O303" s="14" t="s">
        <v>775</v>
      </c>
      <c r="P303" s="14" t="s">
        <v>775</v>
      </c>
      <c r="Q303" s="14" t="s">
        <v>775</v>
      </c>
      <c r="R303" s="14" t="s">
        <v>775</v>
      </c>
      <c r="S303" s="19">
        <v>0.17013888888888887</v>
      </c>
      <c r="T303" s="8">
        <f>(4+(5/60))*N303</f>
        <v>357.16916666666663</v>
      </c>
    </row>
    <row r="304" spans="1:20" x14ac:dyDescent="0.2">
      <c r="A304" s="2">
        <v>157</v>
      </c>
      <c r="B304" s="2">
        <v>330</v>
      </c>
      <c r="C304" s="2">
        <v>734</v>
      </c>
      <c r="D304" t="s">
        <v>306</v>
      </c>
      <c r="E304" t="s">
        <v>1246</v>
      </c>
      <c r="F304" s="2">
        <v>108000</v>
      </c>
      <c r="G304" s="2">
        <v>45.8</v>
      </c>
      <c r="H304" s="15">
        <v>1.635</v>
      </c>
      <c r="I304" s="15">
        <v>1.028</v>
      </c>
      <c r="N304" s="2">
        <v>45.8</v>
      </c>
      <c r="O304" s="14" t="s">
        <v>775</v>
      </c>
      <c r="P304" s="14" t="s">
        <v>775</v>
      </c>
      <c r="Q304" s="14" t="s">
        <v>775</v>
      </c>
      <c r="R304" s="14" t="s">
        <v>775</v>
      </c>
      <c r="S304" s="19">
        <v>0.32500000000000001</v>
      </c>
      <c r="T304" s="8">
        <f>(7+(48/60))*N304</f>
        <v>357.23999999999995</v>
      </c>
    </row>
    <row r="305" spans="1:20" x14ac:dyDescent="0.2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15">
        <v>0.930786</v>
      </c>
      <c r="N305" s="2">
        <v>34.28</v>
      </c>
      <c r="O305" s="14" t="s">
        <v>775</v>
      </c>
      <c r="P305" s="14" t="s">
        <v>775</v>
      </c>
      <c r="Q305" s="14" t="s">
        <v>775</v>
      </c>
      <c r="R305" s="14" t="s">
        <v>775</v>
      </c>
      <c r="S305" s="19">
        <v>7.9166666666666663E-2</v>
      </c>
      <c r="T305" s="8">
        <f>(1+(54/60))*N305</f>
        <v>65.132000000000005</v>
      </c>
    </row>
    <row r="306" spans="1:20" x14ac:dyDescent="0.2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15">
        <v>1.728</v>
      </c>
      <c r="N306" s="2">
        <v>111</v>
      </c>
      <c r="O306" s="14" t="s">
        <v>775</v>
      </c>
      <c r="P306" s="14" t="s">
        <v>775</v>
      </c>
      <c r="Q306" s="14" t="s">
        <v>775</v>
      </c>
      <c r="R306" s="14" t="s">
        <v>775</v>
      </c>
      <c r="S306" s="19">
        <v>0.23333333333333331</v>
      </c>
      <c r="T306" s="8">
        <f>(5+(36/60))*N306</f>
        <v>621.59999999999991</v>
      </c>
    </row>
    <row r="307" spans="1:20" x14ac:dyDescent="0.2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15">
        <v>1.198</v>
      </c>
      <c r="N307" s="2">
        <v>66.45</v>
      </c>
      <c r="O307" s="14" t="s">
        <v>775</v>
      </c>
      <c r="P307" s="14" t="s">
        <v>775</v>
      </c>
      <c r="Q307" s="14" t="s">
        <v>775</v>
      </c>
      <c r="R307" s="14" t="s">
        <v>775</v>
      </c>
      <c r="S307" s="19">
        <v>0.30624999999999997</v>
      </c>
      <c r="T307" s="8">
        <f>(7+(21/60))*N307</f>
        <v>488.40749999999997</v>
      </c>
    </row>
    <row r="308" spans="1:20" x14ac:dyDescent="0.2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15">
        <v>1.0349999999999999</v>
      </c>
      <c r="N308" s="2">
        <v>44.68</v>
      </c>
      <c r="O308" s="14" t="s">
        <v>775</v>
      </c>
      <c r="P308" s="14" t="s">
        <v>775</v>
      </c>
      <c r="Q308" s="14" t="s">
        <v>775</v>
      </c>
      <c r="R308" s="14" t="s">
        <v>775</v>
      </c>
      <c r="S308" s="19">
        <v>0.3347222222222222</v>
      </c>
      <c r="T308" s="8">
        <f>(8+(2/60))*N308</f>
        <v>358.92933333333332</v>
      </c>
    </row>
    <row r="309" spans="1:20" x14ac:dyDescent="0.2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15">
        <v>3.7149999999999999</v>
      </c>
      <c r="N309" s="2">
        <v>147.5</v>
      </c>
      <c r="O309" s="14" t="s">
        <v>775</v>
      </c>
      <c r="P309" s="14" t="s">
        <v>775</v>
      </c>
      <c r="Q309" s="14" t="s">
        <v>775</v>
      </c>
      <c r="R309" s="14" t="s">
        <v>775</v>
      </c>
      <c r="S309" s="19">
        <v>0.17361111111111113</v>
      </c>
      <c r="T309" s="8">
        <f>(4+(10/60))*N309</f>
        <v>614.58333333333337</v>
      </c>
    </row>
    <row r="310" spans="1:20" x14ac:dyDescent="0.2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15">
        <v>0.75537299999999996</v>
      </c>
      <c r="N310" s="2">
        <v>25.26</v>
      </c>
      <c r="O310" s="14" t="s">
        <v>775</v>
      </c>
      <c r="P310" s="14" t="s">
        <v>775</v>
      </c>
      <c r="Q310" s="14" t="s">
        <v>775</v>
      </c>
      <c r="R310" s="14" t="s">
        <v>775</v>
      </c>
      <c r="S310" s="19">
        <v>0.17430555555555557</v>
      </c>
      <c r="T310" s="8">
        <f>(4+(11/60))*N310</f>
        <v>105.67100000000001</v>
      </c>
    </row>
    <row r="311" spans="1:20" x14ac:dyDescent="0.2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15">
        <v>0.86647799999999997</v>
      </c>
      <c r="N311" s="2">
        <v>30.99</v>
      </c>
      <c r="O311" s="14" t="s">
        <v>775</v>
      </c>
      <c r="P311" s="14" t="s">
        <v>775</v>
      </c>
      <c r="Q311" s="14" t="s">
        <v>775</v>
      </c>
      <c r="R311" s="14" t="s">
        <v>775</v>
      </c>
      <c r="S311" s="19">
        <v>0.10694444444444444</v>
      </c>
      <c r="T311" s="8">
        <f>(2+(34/60))*N311</f>
        <v>79.540999999999983</v>
      </c>
    </row>
    <row r="312" spans="1:20" x14ac:dyDescent="0.2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15">
        <v>1.0329999999999999</v>
      </c>
      <c r="N312" s="2">
        <v>37.24</v>
      </c>
      <c r="O312" s="14" t="s">
        <v>775</v>
      </c>
      <c r="P312" s="14" t="s">
        <v>775</v>
      </c>
      <c r="Q312" s="14" t="s">
        <v>775</v>
      </c>
      <c r="R312" s="14" t="s">
        <v>775</v>
      </c>
      <c r="S312" s="19">
        <v>0.18402777777777779</v>
      </c>
      <c r="T312" s="8">
        <f>(4+(25/60))*N312</f>
        <v>164.47666666666669</v>
      </c>
    </row>
    <row r="313" spans="1:20" x14ac:dyDescent="0.2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15">
        <v>1.8149999999999999</v>
      </c>
      <c r="N313" s="2">
        <v>76.150000000000006</v>
      </c>
      <c r="O313" s="14" t="s">
        <v>775</v>
      </c>
      <c r="P313" s="14" t="s">
        <v>775</v>
      </c>
      <c r="Q313" s="14" t="s">
        <v>775</v>
      </c>
      <c r="R313" s="14" t="s">
        <v>775</v>
      </c>
      <c r="S313" s="19">
        <v>2.0833333333333332E-2</v>
      </c>
      <c r="T313" s="8">
        <f>N313*0.5</f>
        <v>38.075000000000003</v>
      </c>
    </row>
    <row r="314" spans="1:20" x14ac:dyDescent="0.2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15">
        <v>2.2389999999999999</v>
      </c>
      <c r="N314" s="2">
        <v>79.09</v>
      </c>
      <c r="O314" s="14" t="s">
        <v>775</v>
      </c>
      <c r="P314" s="14" t="s">
        <v>775</v>
      </c>
      <c r="Q314" s="14" t="s">
        <v>775</v>
      </c>
      <c r="R314" s="14" t="s">
        <v>775</v>
      </c>
      <c r="S314" s="19">
        <v>0.30833333333333335</v>
      </c>
      <c r="T314" s="8">
        <f>(7+(24/60))*N314</f>
        <v>585.26600000000008</v>
      </c>
    </row>
    <row r="315" spans="1:20" x14ac:dyDescent="0.2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15">
        <v>1.2549999999999999</v>
      </c>
      <c r="N315" s="2">
        <v>42.6</v>
      </c>
      <c r="O315" s="14" t="s">
        <v>775</v>
      </c>
      <c r="P315" s="14" t="s">
        <v>775</v>
      </c>
      <c r="Q315" s="14" t="s">
        <v>775</v>
      </c>
      <c r="R315" s="14" t="s">
        <v>775</v>
      </c>
      <c r="S315" s="19">
        <v>0.1763888888888889</v>
      </c>
      <c r="T315" s="8">
        <f>(4+(14/60))*N315</f>
        <v>180.34</v>
      </c>
    </row>
    <row r="316" spans="1:20" x14ac:dyDescent="0.2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15">
        <v>0.90659599999999996</v>
      </c>
      <c r="N316" s="2">
        <v>30.78</v>
      </c>
      <c r="O316" s="14" t="s">
        <v>775</v>
      </c>
      <c r="P316" s="14" t="s">
        <v>775</v>
      </c>
      <c r="Q316" s="14" t="s">
        <v>775</v>
      </c>
      <c r="R316" s="14" t="s">
        <v>775</v>
      </c>
      <c r="S316" s="19">
        <v>0.13125000000000001</v>
      </c>
      <c r="T316" s="8">
        <f>(3+(9/60))*N316</f>
        <v>96.957000000000008</v>
      </c>
    </row>
    <row r="317" spans="1:20" x14ac:dyDescent="0.2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15">
        <v>0.65577300000000005</v>
      </c>
      <c r="N317" s="2">
        <v>30.28</v>
      </c>
      <c r="O317" s="14" t="s">
        <v>775</v>
      </c>
      <c r="P317" s="14" t="s">
        <v>775</v>
      </c>
      <c r="Q317" s="14" t="s">
        <v>775</v>
      </c>
      <c r="R317" s="14" t="s">
        <v>775</v>
      </c>
      <c r="S317" s="19">
        <v>0.52986111111111112</v>
      </c>
      <c r="T317" s="8">
        <f>(12+(43/60))*N317</f>
        <v>385.06066666666669</v>
      </c>
    </row>
    <row r="318" spans="1:20" x14ac:dyDescent="0.2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15">
        <v>0.866672</v>
      </c>
      <c r="N318" s="2">
        <v>29.19</v>
      </c>
      <c r="O318" s="14" t="s">
        <v>775</v>
      </c>
      <c r="P318" s="14" t="s">
        <v>775</v>
      </c>
      <c r="Q318" s="14" t="s">
        <v>775</v>
      </c>
      <c r="R318" s="14" t="s">
        <v>775</v>
      </c>
      <c r="S318" s="19">
        <v>0.31111111111111112</v>
      </c>
      <c r="T318" s="8">
        <f>(7+(28/60))*N318</f>
        <v>217.95200000000003</v>
      </c>
    </row>
    <row r="319" spans="1:20" x14ac:dyDescent="0.2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15">
        <v>1.468</v>
      </c>
      <c r="N319" s="2">
        <v>53.31</v>
      </c>
      <c r="O319" s="14" t="s">
        <v>775</v>
      </c>
      <c r="P319" s="14" t="s">
        <v>775</v>
      </c>
      <c r="Q319" s="14" t="s">
        <v>775</v>
      </c>
      <c r="R319" s="14" t="s">
        <v>775</v>
      </c>
      <c r="S319" s="19">
        <v>7.9861111111111105E-2</v>
      </c>
      <c r="T319" s="8">
        <f>(1+(55/60))*N319</f>
        <v>102.17749999999999</v>
      </c>
    </row>
    <row r="320" spans="1:20" x14ac:dyDescent="0.2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15">
        <v>1.046</v>
      </c>
      <c r="N320" s="2">
        <v>38.71</v>
      </c>
      <c r="O320" s="14" t="s">
        <v>775</v>
      </c>
      <c r="P320" s="14" t="s">
        <v>775</v>
      </c>
      <c r="Q320" s="14" t="s">
        <v>775</v>
      </c>
      <c r="R320" s="14" t="s">
        <v>775</v>
      </c>
      <c r="S320" s="19">
        <v>0.22569444444444445</v>
      </c>
      <c r="T320" s="8">
        <f>(5+(25/60))*N320</f>
        <v>209.67916666666667</v>
      </c>
    </row>
    <row r="321" spans="1:18" x14ac:dyDescent="0.2">
      <c r="A321" s="2">
        <f t="shared" ref="A321:A342" si="2">A320+1</f>
        <v>215</v>
      </c>
      <c r="D321" t="s">
        <v>325</v>
      </c>
      <c r="N321" s="14"/>
      <c r="O321" s="14"/>
      <c r="P321" s="14"/>
      <c r="Q321" s="14"/>
      <c r="R321" s="52"/>
    </row>
    <row r="322" spans="1:18" x14ac:dyDescent="0.2">
      <c r="A322" s="2">
        <f t="shared" si="2"/>
        <v>216</v>
      </c>
      <c r="D322" t="s">
        <v>326</v>
      </c>
      <c r="N322" s="14"/>
      <c r="O322" s="14"/>
      <c r="P322" s="14"/>
      <c r="Q322" s="14"/>
      <c r="R322" s="52"/>
    </row>
    <row r="323" spans="1:18" x14ac:dyDescent="0.2">
      <c r="A323" s="2">
        <f t="shared" si="2"/>
        <v>217</v>
      </c>
      <c r="D323" t="s">
        <v>327</v>
      </c>
      <c r="N323" s="14"/>
      <c r="O323" s="14"/>
      <c r="P323" s="14"/>
      <c r="Q323" s="14"/>
      <c r="R323" s="52"/>
    </row>
    <row r="324" spans="1:18" x14ac:dyDescent="0.2">
      <c r="A324" s="2">
        <f t="shared" si="2"/>
        <v>218</v>
      </c>
      <c r="D324" t="s">
        <v>328</v>
      </c>
      <c r="N324" s="14"/>
      <c r="O324" s="14"/>
      <c r="P324" s="14"/>
      <c r="Q324" s="14"/>
      <c r="R324" s="52"/>
    </row>
    <row r="325" spans="1:18" x14ac:dyDescent="0.2">
      <c r="A325" s="2">
        <f t="shared" si="2"/>
        <v>219</v>
      </c>
      <c r="D325" t="s">
        <v>329</v>
      </c>
      <c r="E325" t="s">
        <v>6</v>
      </c>
      <c r="N325" s="14"/>
      <c r="O325" s="14"/>
      <c r="P325" s="14"/>
      <c r="Q325" s="14"/>
      <c r="R325" s="52"/>
    </row>
    <row r="326" spans="1:18" x14ac:dyDescent="0.2">
      <c r="A326" s="2">
        <f t="shared" si="2"/>
        <v>220</v>
      </c>
      <c r="D326" t="s">
        <v>330</v>
      </c>
      <c r="E326" t="s">
        <v>6</v>
      </c>
      <c r="N326" s="14"/>
      <c r="O326" s="14"/>
      <c r="P326" s="14"/>
      <c r="Q326" s="14"/>
      <c r="R326" s="52"/>
    </row>
    <row r="327" spans="1:18" x14ac:dyDescent="0.2">
      <c r="A327" s="2">
        <f t="shared" si="2"/>
        <v>221</v>
      </c>
      <c r="D327" t="s">
        <v>331</v>
      </c>
      <c r="N327" s="14"/>
      <c r="O327" s="14"/>
      <c r="P327" s="14"/>
      <c r="Q327" s="14"/>
      <c r="R327" s="52"/>
    </row>
    <row r="328" spans="1:18" x14ac:dyDescent="0.2">
      <c r="A328" s="2">
        <f t="shared" si="2"/>
        <v>222</v>
      </c>
      <c r="D328" t="s">
        <v>332</v>
      </c>
      <c r="N328" s="14"/>
      <c r="O328" s="14"/>
      <c r="P328" s="14"/>
      <c r="Q328" s="14"/>
      <c r="R328" s="52"/>
    </row>
    <row r="329" spans="1:18" x14ac:dyDescent="0.2">
      <c r="A329" s="2">
        <f t="shared" si="2"/>
        <v>223</v>
      </c>
      <c r="D329" t="s">
        <v>333</v>
      </c>
      <c r="N329" s="14"/>
      <c r="O329" s="14"/>
      <c r="P329" s="14"/>
      <c r="Q329" s="14"/>
      <c r="R329" s="52"/>
    </row>
    <row r="330" spans="1:18" x14ac:dyDescent="0.2">
      <c r="A330" s="2">
        <f t="shared" si="2"/>
        <v>224</v>
      </c>
      <c r="D330" t="s">
        <v>334</v>
      </c>
      <c r="E330" t="s">
        <v>683</v>
      </c>
      <c r="F330" s="2">
        <v>5500</v>
      </c>
      <c r="N330" s="14"/>
      <c r="O330" s="14"/>
      <c r="P330" s="14"/>
      <c r="Q330" s="14"/>
      <c r="R330" s="52"/>
    </row>
    <row r="331" spans="1:18" x14ac:dyDescent="0.2">
      <c r="A331" s="2">
        <f t="shared" si="2"/>
        <v>225</v>
      </c>
      <c r="D331" t="s">
        <v>335</v>
      </c>
      <c r="E331" t="s">
        <v>712</v>
      </c>
      <c r="F331" s="2">
        <v>49790</v>
      </c>
      <c r="N331" s="14"/>
      <c r="O331" s="14"/>
      <c r="P331" s="14"/>
      <c r="Q331" s="14"/>
      <c r="R331" s="52"/>
    </row>
    <row r="332" spans="1:18" x14ac:dyDescent="0.2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14"/>
      <c r="O332" s="14"/>
      <c r="P332" s="14"/>
      <c r="Q332" s="14"/>
      <c r="R332" s="52"/>
    </row>
    <row r="333" spans="1:18" x14ac:dyDescent="0.2">
      <c r="A333" s="2">
        <f t="shared" si="2"/>
        <v>227</v>
      </c>
      <c r="D333" t="s">
        <v>337</v>
      </c>
      <c r="E333" t="s">
        <v>541</v>
      </c>
      <c r="N333" s="14"/>
      <c r="O333" s="14"/>
      <c r="P333" s="14"/>
      <c r="Q333" s="14"/>
      <c r="R333" s="52"/>
    </row>
    <row r="334" spans="1:18" x14ac:dyDescent="0.2">
      <c r="A334" s="2">
        <f t="shared" si="2"/>
        <v>228</v>
      </c>
      <c r="D334" t="s">
        <v>338</v>
      </c>
      <c r="N334" s="14"/>
      <c r="O334" s="14"/>
      <c r="P334" s="14"/>
      <c r="Q334" s="14"/>
      <c r="R334" s="52"/>
    </row>
    <row r="335" spans="1:18" x14ac:dyDescent="0.2">
      <c r="A335" s="2">
        <f t="shared" si="2"/>
        <v>229</v>
      </c>
      <c r="D335" t="s">
        <v>339</v>
      </c>
      <c r="E335" t="s">
        <v>6</v>
      </c>
      <c r="N335" s="14"/>
      <c r="O335" s="14"/>
      <c r="P335" s="14"/>
      <c r="Q335" s="14"/>
      <c r="R335" s="52"/>
    </row>
    <row r="336" spans="1:18" x14ac:dyDescent="0.2">
      <c r="A336" s="2">
        <f t="shared" si="2"/>
        <v>230</v>
      </c>
      <c r="D336" t="s">
        <v>340</v>
      </c>
      <c r="N336" s="14"/>
      <c r="O336" s="14"/>
      <c r="P336" s="14"/>
      <c r="Q336" s="14"/>
      <c r="R336" s="52"/>
    </row>
    <row r="337" spans="1:18" x14ac:dyDescent="0.2">
      <c r="A337" s="2">
        <f t="shared" si="2"/>
        <v>231</v>
      </c>
      <c r="D337" t="s">
        <v>341</v>
      </c>
      <c r="N337" s="14"/>
      <c r="O337" s="14"/>
      <c r="P337" s="14"/>
      <c r="Q337" s="14"/>
      <c r="R337" s="52"/>
    </row>
    <row r="338" spans="1:18" x14ac:dyDescent="0.2">
      <c r="A338" s="2">
        <f t="shared" si="2"/>
        <v>232</v>
      </c>
      <c r="D338" t="s">
        <v>342</v>
      </c>
      <c r="N338" s="14"/>
      <c r="O338" s="14"/>
      <c r="P338" s="14"/>
      <c r="Q338" s="14"/>
      <c r="R338" s="52"/>
    </row>
    <row r="339" spans="1:18" x14ac:dyDescent="0.2">
      <c r="A339" s="2">
        <f t="shared" si="2"/>
        <v>233</v>
      </c>
      <c r="D339" t="s">
        <v>343</v>
      </c>
      <c r="N339" s="14"/>
      <c r="O339" s="14"/>
      <c r="P339" s="14"/>
      <c r="Q339" s="14"/>
      <c r="R339" s="52"/>
    </row>
    <row r="340" spans="1:18" x14ac:dyDescent="0.2">
      <c r="A340" s="2">
        <f t="shared" si="2"/>
        <v>234</v>
      </c>
      <c r="D340" t="s">
        <v>344</v>
      </c>
      <c r="E340" t="s">
        <v>6</v>
      </c>
      <c r="N340" s="14"/>
      <c r="O340" s="14"/>
      <c r="P340" s="14"/>
      <c r="Q340" s="14"/>
      <c r="R340" s="52"/>
    </row>
    <row r="341" spans="1:18" x14ac:dyDescent="0.2">
      <c r="A341" s="2">
        <f t="shared" si="2"/>
        <v>235</v>
      </c>
      <c r="D341" t="s">
        <v>345</v>
      </c>
      <c r="E341" t="s">
        <v>713</v>
      </c>
      <c r="F341" s="2">
        <v>687</v>
      </c>
      <c r="N341" s="14"/>
      <c r="O341" s="14"/>
      <c r="P341" s="14"/>
      <c r="Q341" s="14"/>
      <c r="R341" s="52"/>
    </row>
    <row r="342" spans="1:18" x14ac:dyDescent="0.2">
      <c r="A342" s="2">
        <f t="shared" si="2"/>
        <v>236</v>
      </c>
      <c r="D342" t="s">
        <v>347</v>
      </c>
      <c r="N342" s="14"/>
      <c r="O342" s="14"/>
      <c r="P342" s="14"/>
      <c r="Q342" s="14"/>
      <c r="R342" s="52"/>
    </row>
    <row r="343" spans="1:18" x14ac:dyDescent="0.2">
      <c r="A343" s="2">
        <f t="shared" ref="A343:A404" si="3">A342+1</f>
        <v>237</v>
      </c>
      <c r="D343" t="s">
        <v>348</v>
      </c>
      <c r="G343" s="2">
        <v>84.53</v>
      </c>
      <c r="N343" s="14"/>
      <c r="O343" s="14"/>
      <c r="P343" s="14"/>
      <c r="Q343" s="14"/>
      <c r="R343" s="52"/>
    </row>
    <row r="344" spans="1:18" x14ac:dyDescent="0.2">
      <c r="D344" t="s">
        <v>1159</v>
      </c>
      <c r="N344" s="14"/>
      <c r="O344" s="14"/>
      <c r="P344" s="14"/>
      <c r="Q344" s="14"/>
      <c r="R344" s="52"/>
    </row>
    <row r="345" spans="1:18" x14ac:dyDescent="0.2">
      <c r="A345" s="2">
        <f>A343+1</f>
        <v>238</v>
      </c>
      <c r="D345" t="s">
        <v>349</v>
      </c>
      <c r="E345" t="s">
        <v>6</v>
      </c>
      <c r="N345" s="14"/>
      <c r="O345" s="14"/>
      <c r="P345" s="14"/>
      <c r="Q345" s="14"/>
      <c r="R345" s="52"/>
    </row>
    <row r="346" spans="1:18" x14ac:dyDescent="0.2">
      <c r="A346" s="2">
        <f t="shared" si="3"/>
        <v>239</v>
      </c>
      <c r="D346" t="s">
        <v>350</v>
      </c>
      <c r="N346" s="14"/>
      <c r="O346" s="14"/>
      <c r="P346" s="14"/>
      <c r="Q346" s="14"/>
      <c r="R346" s="52"/>
    </row>
    <row r="347" spans="1:18" x14ac:dyDescent="0.2">
      <c r="A347" s="2">
        <f t="shared" si="3"/>
        <v>240</v>
      </c>
      <c r="D347" t="s">
        <v>351</v>
      </c>
      <c r="N347" s="14"/>
      <c r="O347" s="14"/>
      <c r="P347" s="14"/>
      <c r="Q347" s="14"/>
      <c r="R347" s="52"/>
    </row>
    <row r="348" spans="1:18" x14ac:dyDescent="0.2">
      <c r="A348" s="2">
        <v>317</v>
      </c>
      <c r="D348" t="s">
        <v>603</v>
      </c>
      <c r="G348" s="2">
        <v>19.32</v>
      </c>
      <c r="N348" s="14"/>
      <c r="O348" s="14"/>
      <c r="P348" s="14"/>
      <c r="Q348" s="14"/>
      <c r="R348" s="52"/>
    </row>
    <row r="349" spans="1:18" x14ac:dyDescent="0.2">
      <c r="A349" s="2">
        <f>A347+1</f>
        <v>241</v>
      </c>
      <c r="D349" t="s">
        <v>352</v>
      </c>
      <c r="N349" s="14"/>
      <c r="O349" s="14"/>
      <c r="P349" s="14"/>
      <c r="Q349" s="14"/>
      <c r="R349" s="52"/>
    </row>
    <row r="350" spans="1:18" x14ac:dyDescent="0.2">
      <c r="A350" s="2">
        <f t="shared" si="3"/>
        <v>242</v>
      </c>
      <c r="D350" t="s">
        <v>353</v>
      </c>
      <c r="E350" t="s">
        <v>563</v>
      </c>
      <c r="N350" s="14"/>
      <c r="O350" s="14"/>
      <c r="P350" s="14"/>
      <c r="Q350" s="14"/>
      <c r="R350" s="52"/>
    </row>
    <row r="351" spans="1:18" x14ac:dyDescent="0.2">
      <c r="A351" s="2">
        <f t="shared" si="3"/>
        <v>243</v>
      </c>
      <c r="D351" t="s">
        <v>354</v>
      </c>
      <c r="N351" s="14"/>
      <c r="O351" s="14"/>
      <c r="P351" s="14"/>
      <c r="Q351" s="14"/>
      <c r="R351" s="52"/>
    </row>
    <row r="352" spans="1:18" x14ac:dyDescent="0.2">
      <c r="A352" s="2">
        <f t="shared" si="3"/>
        <v>244</v>
      </c>
      <c r="D352" t="s">
        <v>355</v>
      </c>
      <c r="N352" s="14"/>
      <c r="O352" s="14"/>
      <c r="P352" s="14"/>
      <c r="Q352" s="14"/>
      <c r="R352" s="52"/>
    </row>
    <row r="353" spans="1:19" x14ac:dyDescent="0.2">
      <c r="A353" s="2">
        <f t="shared" si="3"/>
        <v>245</v>
      </c>
      <c r="D353" t="s">
        <v>356</v>
      </c>
      <c r="N353" s="14"/>
      <c r="O353" s="14"/>
      <c r="P353" s="14"/>
      <c r="Q353" s="14"/>
      <c r="R353" s="52"/>
    </row>
    <row r="354" spans="1:19" x14ac:dyDescent="0.2">
      <c r="A354" s="2">
        <f t="shared" si="3"/>
        <v>246</v>
      </c>
      <c r="D354" t="s">
        <v>357</v>
      </c>
      <c r="N354" s="14"/>
      <c r="O354" s="14"/>
      <c r="P354" s="14"/>
      <c r="Q354" s="14"/>
      <c r="R354" s="52"/>
    </row>
    <row r="355" spans="1:19" x14ac:dyDescent="0.2">
      <c r="A355" s="2">
        <f t="shared" si="3"/>
        <v>247</v>
      </c>
      <c r="D355" t="s">
        <v>358</v>
      </c>
      <c r="N355" s="14"/>
      <c r="O355" s="14"/>
      <c r="P355" s="14"/>
      <c r="Q355" s="14"/>
      <c r="R355" s="52"/>
    </row>
    <row r="356" spans="1:19" x14ac:dyDescent="0.2">
      <c r="A356" s="2">
        <f t="shared" si="3"/>
        <v>248</v>
      </c>
      <c r="D356" t="s">
        <v>359</v>
      </c>
      <c r="N356" s="14"/>
      <c r="O356" s="14"/>
      <c r="P356" s="14"/>
      <c r="Q356" s="14"/>
      <c r="R356" s="52"/>
    </row>
    <row r="357" spans="1:19" x14ac:dyDescent="0.2">
      <c r="A357" s="2">
        <f t="shared" si="3"/>
        <v>249</v>
      </c>
      <c r="D357" t="s">
        <v>360</v>
      </c>
      <c r="N357" s="14"/>
      <c r="O357" s="14"/>
      <c r="P357" s="14"/>
      <c r="Q357" s="14"/>
      <c r="R357" s="52"/>
    </row>
    <row r="358" spans="1:19" x14ac:dyDescent="0.2">
      <c r="A358" s="2">
        <f t="shared" si="3"/>
        <v>250</v>
      </c>
      <c r="D358" t="s">
        <v>361</v>
      </c>
      <c r="N358" s="14"/>
      <c r="O358" s="14"/>
      <c r="P358" s="14"/>
      <c r="Q358" s="14"/>
      <c r="R358" s="52"/>
    </row>
    <row r="359" spans="1:19" x14ac:dyDescent="0.2">
      <c r="A359" s="2">
        <f t="shared" si="3"/>
        <v>251</v>
      </c>
      <c r="D359" t="s">
        <v>362</v>
      </c>
      <c r="N359" s="14"/>
      <c r="O359" s="14"/>
      <c r="P359" s="14"/>
      <c r="Q359" s="14"/>
      <c r="R359" s="52"/>
    </row>
    <row r="360" spans="1:19" x14ac:dyDescent="0.2">
      <c r="A360" s="2">
        <f t="shared" si="3"/>
        <v>252</v>
      </c>
      <c r="D360" t="s">
        <v>363</v>
      </c>
      <c r="N360" s="14"/>
      <c r="O360" s="14"/>
      <c r="P360" s="14"/>
      <c r="Q360" s="14"/>
      <c r="R360" s="52"/>
    </row>
    <row r="361" spans="1:19" x14ac:dyDescent="0.2">
      <c r="A361" s="2">
        <f t="shared" si="3"/>
        <v>253</v>
      </c>
      <c r="D361" s="3" t="s">
        <v>364</v>
      </c>
      <c r="N361" s="14"/>
      <c r="O361" s="14"/>
      <c r="P361" s="14"/>
      <c r="Q361" s="14"/>
      <c r="R361" s="52"/>
    </row>
    <row r="362" spans="1:19" x14ac:dyDescent="0.2">
      <c r="A362" s="2">
        <f t="shared" si="3"/>
        <v>254</v>
      </c>
      <c r="D362" t="s">
        <v>365</v>
      </c>
      <c r="N362" s="14"/>
      <c r="O362" s="14"/>
      <c r="P362" s="14"/>
      <c r="Q362" s="14"/>
      <c r="R362" s="52"/>
    </row>
    <row r="363" spans="1:19" x14ac:dyDescent="0.2">
      <c r="A363" s="2">
        <f t="shared" si="3"/>
        <v>255</v>
      </c>
      <c r="D363" t="s">
        <v>366</v>
      </c>
      <c r="E363" t="s">
        <v>714</v>
      </c>
      <c r="F363" s="2">
        <v>45450</v>
      </c>
      <c r="N363" s="14"/>
      <c r="O363" s="14"/>
      <c r="P363" s="14"/>
      <c r="Q363" s="14"/>
      <c r="R363" s="52"/>
    </row>
    <row r="364" spans="1:19" x14ac:dyDescent="0.2">
      <c r="A364" s="2">
        <f t="shared" si="3"/>
        <v>256</v>
      </c>
      <c r="D364" t="s">
        <v>367</v>
      </c>
      <c r="E364" t="s">
        <v>582</v>
      </c>
      <c r="N364" s="14"/>
      <c r="O364" s="14"/>
      <c r="P364" s="14"/>
      <c r="Q364" s="14"/>
      <c r="R364" s="52"/>
    </row>
    <row r="365" spans="1:19" x14ac:dyDescent="0.2">
      <c r="A365" s="2">
        <f t="shared" si="3"/>
        <v>257</v>
      </c>
      <c r="D365" t="s">
        <v>368</v>
      </c>
      <c r="N365" s="14"/>
      <c r="O365" s="14"/>
      <c r="P365" s="14"/>
      <c r="Q365" s="14"/>
      <c r="R365" s="52"/>
    </row>
    <row r="366" spans="1:19" x14ac:dyDescent="0.2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14"/>
      <c r="O366" s="14"/>
      <c r="P366" s="14"/>
      <c r="Q366" s="14"/>
      <c r="R366" s="52"/>
      <c r="S366" s="19">
        <v>0.10555555555555556</v>
      </c>
    </row>
    <row r="367" spans="1:19" x14ac:dyDescent="0.2">
      <c r="A367" s="2">
        <f t="shared" si="3"/>
        <v>373</v>
      </c>
      <c r="D367" t="s">
        <v>370</v>
      </c>
      <c r="E367" t="s">
        <v>541</v>
      </c>
      <c r="F367" s="2">
        <v>0</v>
      </c>
      <c r="N367" s="14"/>
      <c r="O367" s="14"/>
      <c r="P367" s="14"/>
      <c r="Q367" s="14"/>
      <c r="R367" s="52"/>
    </row>
    <row r="368" spans="1:19" x14ac:dyDescent="0.2">
      <c r="A368" s="2">
        <f t="shared" si="3"/>
        <v>374</v>
      </c>
      <c r="D368" t="s">
        <v>372</v>
      </c>
      <c r="N368" s="14"/>
      <c r="O368" s="14"/>
      <c r="P368" s="14"/>
      <c r="Q368" s="14"/>
      <c r="R368" s="52"/>
    </row>
    <row r="369" spans="1:18" x14ac:dyDescent="0.2">
      <c r="A369" s="2">
        <f t="shared" si="3"/>
        <v>375</v>
      </c>
      <c r="D369" t="s">
        <v>374</v>
      </c>
      <c r="N369" s="14"/>
      <c r="O369" s="14"/>
      <c r="P369" s="14"/>
      <c r="Q369" s="14"/>
      <c r="R369" s="52"/>
    </row>
    <row r="370" spans="1:18" x14ac:dyDescent="0.2">
      <c r="A370" s="2">
        <f t="shared" si="3"/>
        <v>376</v>
      </c>
      <c r="D370" t="s">
        <v>375</v>
      </c>
      <c r="N370" s="14"/>
      <c r="O370" s="14"/>
      <c r="P370" s="14"/>
      <c r="Q370" s="14"/>
      <c r="R370" s="52"/>
    </row>
    <row r="371" spans="1:18" x14ac:dyDescent="0.2">
      <c r="A371" s="2">
        <f t="shared" si="3"/>
        <v>377</v>
      </c>
      <c r="D371" t="s">
        <v>376</v>
      </c>
      <c r="N371" s="14"/>
      <c r="O371" s="14"/>
      <c r="P371" s="14"/>
      <c r="Q371" s="14"/>
      <c r="R371" s="52"/>
    </row>
    <row r="372" spans="1:18" x14ac:dyDescent="0.2">
      <c r="A372" s="2">
        <f t="shared" si="3"/>
        <v>378</v>
      </c>
      <c r="D372" t="s">
        <v>377</v>
      </c>
      <c r="N372" s="14"/>
      <c r="O372" s="14"/>
      <c r="P372" s="14"/>
      <c r="Q372" s="14"/>
      <c r="R372" s="52"/>
    </row>
    <row r="373" spans="1:18" x14ac:dyDescent="0.2">
      <c r="A373" s="2">
        <f t="shared" si="3"/>
        <v>379</v>
      </c>
      <c r="D373" t="s">
        <v>378</v>
      </c>
      <c r="N373" s="14"/>
      <c r="O373" s="14"/>
      <c r="P373" s="14"/>
      <c r="Q373" s="14"/>
      <c r="R373" s="52"/>
    </row>
    <row r="374" spans="1:18" x14ac:dyDescent="0.2">
      <c r="A374" s="2">
        <f t="shared" si="3"/>
        <v>380</v>
      </c>
      <c r="D374" t="s">
        <v>379</v>
      </c>
      <c r="N374" s="14"/>
      <c r="O374" s="14"/>
      <c r="P374" s="14"/>
      <c r="Q374" s="14"/>
      <c r="R374" s="52"/>
    </row>
    <row r="375" spans="1:18" x14ac:dyDescent="0.2">
      <c r="A375" s="2">
        <f t="shared" si="3"/>
        <v>381</v>
      </c>
      <c r="D375" t="s">
        <v>380</v>
      </c>
      <c r="N375" s="14"/>
      <c r="O375" s="14"/>
      <c r="P375" s="14"/>
      <c r="Q375" s="14"/>
      <c r="R375" s="52"/>
    </row>
    <row r="376" spans="1:18" x14ac:dyDescent="0.2">
      <c r="A376" s="2">
        <f t="shared" si="3"/>
        <v>382</v>
      </c>
      <c r="D376" t="s">
        <v>381</v>
      </c>
      <c r="N376" s="14"/>
      <c r="O376" s="14"/>
      <c r="P376" s="14"/>
      <c r="Q376" s="14"/>
      <c r="R376" s="52"/>
    </row>
    <row r="377" spans="1:18" x14ac:dyDescent="0.2">
      <c r="A377" s="2">
        <f t="shared" si="3"/>
        <v>383</v>
      </c>
      <c r="D377" t="s">
        <v>382</v>
      </c>
      <c r="N377" s="14"/>
      <c r="O377" s="14"/>
      <c r="P377" s="14"/>
      <c r="Q377" s="14"/>
      <c r="R377" s="52"/>
    </row>
    <row r="378" spans="1:18" x14ac:dyDescent="0.2">
      <c r="A378" s="2">
        <f t="shared" si="3"/>
        <v>384</v>
      </c>
      <c r="D378" t="s">
        <v>383</v>
      </c>
      <c r="E378" t="s">
        <v>715</v>
      </c>
      <c r="F378" s="2">
        <v>2670</v>
      </c>
      <c r="N378" s="14"/>
      <c r="O378" s="14"/>
      <c r="P378" s="14"/>
      <c r="Q378" s="14"/>
      <c r="R378" s="52"/>
    </row>
    <row r="379" spans="1:18" x14ac:dyDescent="0.2">
      <c r="A379" s="2">
        <f t="shared" si="3"/>
        <v>385</v>
      </c>
      <c r="D379" t="s">
        <v>384</v>
      </c>
      <c r="N379" s="14"/>
      <c r="O379" s="14"/>
      <c r="P379" s="14"/>
      <c r="Q379" s="14"/>
      <c r="R379" s="52"/>
    </row>
    <row r="380" spans="1:18" x14ac:dyDescent="0.2">
      <c r="A380" s="2">
        <f t="shared" si="3"/>
        <v>386</v>
      </c>
      <c r="D380" t="s">
        <v>385</v>
      </c>
      <c r="N380" s="14"/>
      <c r="O380" s="14"/>
      <c r="P380" s="14"/>
      <c r="Q380" s="14"/>
      <c r="R380" s="52"/>
    </row>
    <row r="381" spans="1:18" x14ac:dyDescent="0.2">
      <c r="A381" s="2">
        <f t="shared" si="3"/>
        <v>387</v>
      </c>
      <c r="D381" t="s">
        <v>386</v>
      </c>
      <c r="N381" s="14"/>
      <c r="O381" s="14"/>
      <c r="P381" s="14"/>
      <c r="Q381" s="14"/>
      <c r="R381" s="52"/>
    </row>
    <row r="382" spans="1:18" x14ac:dyDescent="0.2">
      <c r="A382" s="2">
        <f t="shared" si="3"/>
        <v>388</v>
      </c>
      <c r="D382" t="s">
        <v>387</v>
      </c>
      <c r="N382" s="14"/>
      <c r="O382" s="14"/>
      <c r="P382" s="14"/>
      <c r="Q382" s="14"/>
      <c r="R382" s="52"/>
    </row>
    <row r="383" spans="1:18" x14ac:dyDescent="0.2">
      <c r="A383" s="2">
        <f t="shared" si="3"/>
        <v>389</v>
      </c>
      <c r="D383" t="s">
        <v>389</v>
      </c>
      <c r="N383" s="14"/>
      <c r="O383" s="14"/>
      <c r="P383" s="14"/>
      <c r="Q383" s="14"/>
      <c r="R383" s="52"/>
    </row>
    <row r="384" spans="1:18" x14ac:dyDescent="0.2">
      <c r="A384" s="2">
        <f t="shared" si="3"/>
        <v>390</v>
      </c>
      <c r="D384" t="s">
        <v>390</v>
      </c>
      <c r="N384" s="14"/>
      <c r="O384" s="14"/>
      <c r="P384" s="14"/>
      <c r="Q384" s="14"/>
      <c r="R384" s="52"/>
    </row>
    <row r="385" spans="1:18" x14ac:dyDescent="0.2">
      <c r="A385" s="2">
        <f t="shared" si="3"/>
        <v>391</v>
      </c>
      <c r="D385" t="s">
        <v>391</v>
      </c>
      <c r="E385" t="s">
        <v>6</v>
      </c>
      <c r="N385" s="14"/>
      <c r="O385" s="14"/>
      <c r="P385" s="14"/>
      <c r="Q385" s="14"/>
      <c r="R385" s="52"/>
    </row>
    <row r="386" spans="1:18" x14ac:dyDescent="0.2">
      <c r="A386" s="2">
        <f t="shared" si="3"/>
        <v>392</v>
      </c>
      <c r="D386" t="s">
        <v>392</v>
      </c>
      <c r="N386" s="14"/>
      <c r="O386" s="14"/>
      <c r="P386" s="14"/>
      <c r="Q386" s="14"/>
      <c r="R386" s="52"/>
    </row>
    <row r="387" spans="1:18" x14ac:dyDescent="0.2">
      <c r="A387" s="2">
        <f t="shared" si="3"/>
        <v>393</v>
      </c>
      <c r="D387" t="s">
        <v>393</v>
      </c>
      <c r="N387" s="14"/>
      <c r="O387" s="14"/>
      <c r="P387" s="14"/>
      <c r="Q387" s="14"/>
      <c r="R387" s="52"/>
    </row>
    <row r="388" spans="1:18" x14ac:dyDescent="0.2">
      <c r="A388" s="2">
        <f t="shared" si="3"/>
        <v>394</v>
      </c>
      <c r="D388" t="s">
        <v>394</v>
      </c>
      <c r="N388" s="14"/>
      <c r="O388" s="14"/>
      <c r="P388" s="14"/>
      <c r="Q388" s="14"/>
      <c r="R388" s="52"/>
    </row>
    <row r="389" spans="1:18" x14ac:dyDescent="0.2">
      <c r="A389" s="2">
        <f t="shared" si="3"/>
        <v>395</v>
      </c>
      <c r="D389" t="s">
        <v>395</v>
      </c>
      <c r="N389" s="14"/>
      <c r="O389" s="14"/>
      <c r="P389" s="14"/>
      <c r="Q389" s="14"/>
      <c r="R389" s="52"/>
    </row>
    <row r="390" spans="1:18" x14ac:dyDescent="0.2">
      <c r="A390" s="2">
        <f t="shared" si="3"/>
        <v>396</v>
      </c>
      <c r="D390" t="s">
        <v>396</v>
      </c>
      <c r="N390" s="14"/>
      <c r="O390" s="14"/>
      <c r="P390" s="14"/>
      <c r="Q390" s="14"/>
      <c r="R390" s="52"/>
    </row>
    <row r="391" spans="1:18" x14ac:dyDescent="0.2">
      <c r="A391" s="2">
        <f t="shared" si="3"/>
        <v>397</v>
      </c>
      <c r="D391" t="s">
        <v>397</v>
      </c>
      <c r="N391" s="14"/>
      <c r="O391" s="14"/>
      <c r="P391" s="14"/>
      <c r="Q391" s="14"/>
      <c r="R391" s="52"/>
    </row>
    <row r="392" spans="1:18" x14ac:dyDescent="0.2">
      <c r="A392" s="2">
        <f t="shared" si="3"/>
        <v>398</v>
      </c>
      <c r="D392" t="s">
        <v>398</v>
      </c>
      <c r="N392" s="14"/>
      <c r="O392" s="14"/>
      <c r="P392" s="14"/>
      <c r="Q392" s="14"/>
      <c r="R392" s="52"/>
    </row>
    <row r="393" spans="1:18" x14ac:dyDescent="0.2">
      <c r="A393" s="2">
        <f t="shared" si="3"/>
        <v>399</v>
      </c>
      <c r="D393" t="s">
        <v>399</v>
      </c>
      <c r="N393" s="14"/>
      <c r="O393" s="14"/>
      <c r="P393" s="14"/>
      <c r="Q393" s="14"/>
      <c r="R393" s="52"/>
    </row>
    <row r="394" spans="1:18" x14ac:dyDescent="0.2">
      <c r="A394" s="2">
        <f t="shared" si="3"/>
        <v>400</v>
      </c>
      <c r="D394" t="s">
        <v>400</v>
      </c>
      <c r="N394" s="14"/>
      <c r="O394" s="14"/>
      <c r="P394" s="14"/>
      <c r="Q394" s="14"/>
      <c r="R394" s="52"/>
    </row>
    <row r="395" spans="1:18" x14ac:dyDescent="0.2">
      <c r="A395" s="2">
        <f t="shared" si="3"/>
        <v>401</v>
      </c>
      <c r="D395" t="s">
        <v>401</v>
      </c>
      <c r="N395" s="14"/>
      <c r="O395" s="14"/>
      <c r="P395" s="14"/>
      <c r="Q395" s="14"/>
      <c r="R395" s="52"/>
    </row>
    <row r="396" spans="1:18" x14ac:dyDescent="0.2">
      <c r="A396" s="2">
        <f t="shared" si="3"/>
        <v>402</v>
      </c>
      <c r="D396" t="s">
        <v>402</v>
      </c>
      <c r="E396" t="s">
        <v>716</v>
      </c>
      <c r="F396" s="2">
        <v>77190</v>
      </c>
      <c r="N396" s="14"/>
      <c r="O396" s="14"/>
      <c r="P396" s="14"/>
      <c r="Q396" s="14"/>
      <c r="R396" s="52"/>
    </row>
    <row r="397" spans="1:18" x14ac:dyDescent="0.2">
      <c r="A397" s="2">
        <f t="shared" si="3"/>
        <v>403</v>
      </c>
      <c r="D397" t="s">
        <v>403</v>
      </c>
      <c r="N397" s="14"/>
      <c r="O397" s="14"/>
      <c r="P397" s="14"/>
      <c r="Q397" s="14"/>
      <c r="R397" s="52"/>
    </row>
    <row r="398" spans="1:18" x14ac:dyDescent="0.2">
      <c r="A398" s="2">
        <f t="shared" si="3"/>
        <v>404</v>
      </c>
      <c r="D398" t="s">
        <v>405</v>
      </c>
      <c r="N398" s="14"/>
      <c r="O398" s="14"/>
      <c r="P398" s="14"/>
      <c r="Q398" s="14"/>
      <c r="R398" s="52"/>
    </row>
    <row r="399" spans="1:18" x14ac:dyDescent="0.2">
      <c r="A399" s="2">
        <f t="shared" si="3"/>
        <v>405</v>
      </c>
      <c r="D399" t="s">
        <v>406</v>
      </c>
      <c r="N399" s="14"/>
      <c r="O399" s="14"/>
      <c r="P399" s="14"/>
      <c r="Q399" s="14"/>
      <c r="R399" s="52"/>
    </row>
    <row r="400" spans="1:18" x14ac:dyDescent="0.2">
      <c r="A400" s="2">
        <f t="shared" si="3"/>
        <v>406</v>
      </c>
      <c r="D400" t="s">
        <v>407</v>
      </c>
      <c r="E400" t="s">
        <v>567</v>
      </c>
      <c r="N400" s="14"/>
      <c r="O400" s="14"/>
      <c r="P400" s="14"/>
      <c r="Q400" s="14"/>
      <c r="R400" s="52"/>
    </row>
    <row r="401" spans="1:18" x14ac:dyDescent="0.2">
      <c r="A401" s="2">
        <f t="shared" si="3"/>
        <v>407</v>
      </c>
      <c r="D401" t="s">
        <v>408</v>
      </c>
      <c r="N401" s="14"/>
      <c r="O401" s="14"/>
      <c r="P401" s="14"/>
      <c r="Q401" s="14"/>
      <c r="R401" s="52"/>
    </row>
    <row r="402" spans="1:18" x14ac:dyDescent="0.2">
      <c r="A402" s="2">
        <f t="shared" si="3"/>
        <v>408</v>
      </c>
      <c r="D402" t="s">
        <v>409</v>
      </c>
      <c r="N402" s="14"/>
      <c r="O402" s="14"/>
      <c r="P402" s="14"/>
      <c r="Q402" s="14"/>
      <c r="R402" s="52"/>
    </row>
    <row r="403" spans="1:18" x14ac:dyDescent="0.2">
      <c r="A403" s="2">
        <f t="shared" si="3"/>
        <v>409</v>
      </c>
      <c r="D403" t="s">
        <v>410</v>
      </c>
      <c r="N403" s="14"/>
      <c r="O403" s="14"/>
      <c r="P403" s="14"/>
      <c r="Q403" s="14"/>
      <c r="R403" s="52"/>
    </row>
    <row r="404" spans="1:18" x14ac:dyDescent="0.2">
      <c r="A404" s="2">
        <f t="shared" si="3"/>
        <v>410</v>
      </c>
      <c r="D404" t="s">
        <v>411</v>
      </c>
      <c r="N404" s="14"/>
      <c r="O404" s="14"/>
      <c r="P404" s="14"/>
      <c r="Q404" s="14"/>
      <c r="R404" s="52"/>
    </row>
    <row r="405" spans="1:18" x14ac:dyDescent="0.2">
      <c r="D405" t="s">
        <v>1160</v>
      </c>
      <c r="N405" s="14"/>
      <c r="O405" s="14"/>
      <c r="P405" s="14"/>
      <c r="Q405" s="14"/>
      <c r="R405" s="52"/>
    </row>
    <row r="406" spans="1:18" x14ac:dyDescent="0.2">
      <c r="A406" s="2">
        <f>A404+1</f>
        <v>411</v>
      </c>
      <c r="D406" t="s">
        <v>412</v>
      </c>
      <c r="N406" s="14"/>
      <c r="O406" s="14"/>
      <c r="P406" s="14"/>
      <c r="Q406" s="14"/>
      <c r="R406" s="52"/>
    </row>
    <row r="407" spans="1:18" x14ac:dyDescent="0.2">
      <c r="A407" s="2">
        <f t="shared" ref="A407:A462" si="4">A406+1</f>
        <v>412</v>
      </c>
      <c r="D407" t="s">
        <v>413</v>
      </c>
      <c r="N407" s="14"/>
      <c r="O407" s="14"/>
      <c r="P407" s="14"/>
      <c r="Q407" s="14"/>
      <c r="R407" s="52"/>
    </row>
    <row r="408" spans="1:18" x14ac:dyDescent="0.2">
      <c r="A408" s="2">
        <v>413</v>
      </c>
      <c r="D408" t="s">
        <v>414</v>
      </c>
      <c r="N408" s="14"/>
      <c r="O408" s="14"/>
      <c r="P408" s="14"/>
      <c r="Q408" s="14"/>
      <c r="R408" s="52"/>
    </row>
    <row r="409" spans="1:18" x14ac:dyDescent="0.2">
      <c r="A409" s="2">
        <v>415</v>
      </c>
      <c r="D409" t="s">
        <v>416</v>
      </c>
      <c r="N409" s="14"/>
      <c r="O409" s="14"/>
      <c r="P409" s="14"/>
      <c r="Q409" s="14"/>
      <c r="R409" s="52"/>
    </row>
    <row r="410" spans="1:18" x14ac:dyDescent="0.2">
      <c r="A410" s="2">
        <f t="shared" si="4"/>
        <v>416</v>
      </c>
      <c r="D410" t="s">
        <v>417</v>
      </c>
      <c r="N410" s="14"/>
      <c r="O410" s="14"/>
      <c r="P410" s="14"/>
      <c r="Q410" s="14"/>
      <c r="R410" s="52"/>
    </row>
    <row r="411" spans="1:18" x14ac:dyDescent="0.2">
      <c r="A411" s="2">
        <f t="shared" si="4"/>
        <v>417</v>
      </c>
      <c r="D411" t="s">
        <v>418</v>
      </c>
      <c r="N411" s="14"/>
      <c r="O411" s="14"/>
      <c r="P411" s="14"/>
      <c r="Q411" s="14"/>
      <c r="R411" s="52"/>
    </row>
    <row r="412" spans="1:18" x14ac:dyDescent="0.2">
      <c r="A412" s="2">
        <f t="shared" si="4"/>
        <v>418</v>
      </c>
      <c r="D412" t="s">
        <v>419</v>
      </c>
      <c r="N412" s="14"/>
      <c r="O412" s="14"/>
      <c r="P412" s="14"/>
      <c r="Q412" s="14"/>
      <c r="R412" s="52"/>
    </row>
    <row r="413" spans="1:18" x14ac:dyDescent="0.2">
      <c r="A413" s="2">
        <f t="shared" si="4"/>
        <v>419</v>
      </c>
      <c r="D413" t="s">
        <v>420</v>
      </c>
      <c r="N413" s="14"/>
      <c r="O413" s="14"/>
      <c r="P413" s="14"/>
      <c r="Q413" s="14"/>
      <c r="R413" s="52"/>
    </row>
    <row r="414" spans="1:18" x14ac:dyDescent="0.2">
      <c r="A414" s="2">
        <f t="shared" si="4"/>
        <v>420</v>
      </c>
      <c r="D414" t="s">
        <v>421</v>
      </c>
      <c r="N414" s="14"/>
      <c r="O414" s="14"/>
      <c r="P414" s="14"/>
      <c r="Q414" s="14"/>
      <c r="R414" s="52"/>
    </row>
    <row r="415" spans="1:18" x14ac:dyDescent="0.2">
      <c r="A415" s="2">
        <f t="shared" si="4"/>
        <v>421</v>
      </c>
      <c r="D415" t="s">
        <v>422</v>
      </c>
      <c r="N415" s="14"/>
      <c r="O415" s="14"/>
      <c r="P415" s="14"/>
      <c r="Q415" s="14"/>
      <c r="R415" s="52"/>
    </row>
    <row r="416" spans="1:18" x14ac:dyDescent="0.2">
      <c r="A416" s="2">
        <f t="shared" si="4"/>
        <v>422</v>
      </c>
      <c r="D416" t="s">
        <v>423</v>
      </c>
      <c r="N416" s="14"/>
      <c r="O416" s="14"/>
      <c r="P416" s="14"/>
      <c r="Q416" s="14"/>
      <c r="R416" s="52"/>
    </row>
    <row r="417" spans="1:18" x14ac:dyDescent="0.2">
      <c r="A417" s="2">
        <f t="shared" si="4"/>
        <v>423</v>
      </c>
      <c r="D417" t="s">
        <v>424</v>
      </c>
      <c r="N417" s="14"/>
      <c r="O417" s="14"/>
      <c r="P417" s="14"/>
      <c r="Q417" s="14"/>
      <c r="R417" s="52"/>
    </row>
    <row r="418" spans="1:18" x14ac:dyDescent="0.2">
      <c r="A418" s="2">
        <f t="shared" si="4"/>
        <v>424</v>
      </c>
      <c r="D418" t="s">
        <v>425</v>
      </c>
      <c r="N418" s="14"/>
      <c r="O418" s="14"/>
      <c r="P418" s="14"/>
      <c r="Q418" s="14"/>
      <c r="R418" s="52"/>
    </row>
    <row r="419" spans="1:18" x14ac:dyDescent="0.2">
      <c r="A419" s="2">
        <f t="shared" si="4"/>
        <v>425</v>
      </c>
      <c r="D419" t="s">
        <v>426</v>
      </c>
      <c r="N419" s="14"/>
      <c r="O419" s="14"/>
      <c r="P419" s="14"/>
      <c r="Q419" s="14"/>
      <c r="R419" s="52"/>
    </row>
    <row r="420" spans="1:18" x14ac:dyDescent="0.2">
      <c r="A420" s="2">
        <f t="shared" si="4"/>
        <v>426</v>
      </c>
      <c r="D420" t="s">
        <v>427</v>
      </c>
      <c r="N420" s="14"/>
      <c r="O420" s="14"/>
      <c r="P420" s="14"/>
      <c r="Q420" s="14"/>
      <c r="R420" s="52"/>
    </row>
    <row r="421" spans="1:18" x14ac:dyDescent="0.2">
      <c r="A421" s="2">
        <f t="shared" si="4"/>
        <v>427</v>
      </c>
      <c r="D421" t="s">
        <v>428</v>
      </c>
      <c r="N421" s="14"/>
      <c r="O421" s="14"/>
      <c r="P421" s="14"/>
      <c r="Q421" s="14"/>
      <c r="R421" s="52"/>
    </row>
    <row r="422" spans="1:18" x14ac:dyDescent="0.2">
      <c r="A422" s="2">
        <f t="shared" si="4"/>
        <v>428</v>
      </c>
      <c r="D422" t="s">
        <v>429</v>
      </c>
      <c r="N422" s="14"/>
      <c r="O422" s="14"/>
      <c r="P422" s="14"/>
      <c r="Q422" s="14"/>
      <c r="R422" s="52"/>
    </row>
    <row r="423" spans="1:18" x14ac:dyDescent="0.2">
      <c r="A423" s="2">
        <f t="shared" si="4"/>
        <v>429</v>
      </c>
      <c r="D423" t="s">
        <v>430</v>
      </c>
      <c r="N423" s="14"/>
      <c r="O423" s="14"/>
      <c r="P423" s="14"/>
      <c r="Q423" s="14"/>
      <c r="R423" s="52"/>
    </row>
    <row r="424" spans="1:18" x14ac:dyDescent="0.2">
      <c r="A424" s="2">
        <f t="shared" si="4"/>
        <v>430</v>
      </c>
      <c r="D424" t="s">
        <v>431</v>
      </c>
      <c r="N424" s="14"/>
      <c r="O424" s="14"/>
      <c r="P424" s="14"/>
      <c r="Q424" s="14"/>
      <c r="R424" s="52"/>
    </row>
    <row r="425" spans="1:18" x14ac:dyDescent="0.2">
      <c r="A425" s="2">
        <f t="shared" si="4"/>
        <v>431</v>
      </c>
      <c r="D425" t="s">
        <v>432</v>
      </c>
      <c r="N425" s="14"/>
      <c r="O425" s="14"/>
      <c r="P425" s="14"/>
      <c r="Q425" s="14"/>
      <c r="R425" s="52"/>
    </row>
    <row r="426" spans="1:18" x14ac:dyDescent="0.2">
      <c r="A426" s="2">
        <f t="shared" si="4"/>
        <v>432</v>
      </c>
      <c r="D426" t="s">
        <v>433</v>
      </c>
      <c r="N426" s="14"/>
      <c r="O426" s="14"/>
      <c r="P426" s="14"/>
      <c r="Q426" s="14"/>
      <c r="R426" s="52"/>
    </row>
    <row r="427" spans="1:18" x14ac:dyDescent="0.2">
      <c r="A427" s="2">
        <f t="shared" si="4"/>
        <v>433</v>
      </c>
      <c r="D427" t="s">
        <v>434</v>
      </c>
      <c r="N427" s="14"/>
      <c r="O427" s="14"/>
      <c r="P427" s="14"/>
      <c r="Q427" s="14"/>
      <c r="R427" s="52"/>
    </row>
    <row r="428" spans="1:18" x14ac:dyDescent="0.2">
      <c r="A428" s="2">
        <f t="shared" si="4"/>
        <v>434</v>
      </c>
      <c r="D428" t="s">
        <v>435</v>
      </c>
      <c r="N428" s="14"/>
      <c r="O428" s="14"/>
      <c r="P428" s="14"/>
      <c r="Q428" s="14"/>
      <c r="R428" s="52"/>
    </row>
    <row r="429" spans="1:18" x14ac:dyDescent="0.2">
      <c r="A429" s="2">
        <f t="shared" si="4"/>
        <v>435</v>
      </c>
      <c r="D429" s="3" t="s">
        <v>436</v>
      </c>
      <c r="N429" s="14"/>
      <c r="O429" s="14"/>
      <c r="P429" s="14"/>
      <c r="Q429" s="14"/>
      <c r="R429" s="52"/>
    </row>
    <row r="430" spans="1:18" x14ac:dyDescent="0.2">
      <c r="A430" s="2">
        <f t="shared" si="4"/>
        <v>436</v>
      </c>
      <c r="D430" t="s">
        <v>437</v>
      </c>
      <c r="E430" t="s">
        <v>6</v>
      </c>
      <c r="N430" s="14"/>
      <c r="O430" s="14"/>
      <c r="P430" s="14"/>
      <c r="Q430" s="14"/>
      <c r="R430" s="52"/>
    </row>
    <row r="431" spans="1:18" x14ac:dyDescent="0.2">
      <c r="A431" s="2">
        <f t="shared" si="4"/>
        <v>437</v>
      </c>
      <c r="D431" t="s">
        <v>438</v>
      </c>
      <c r="N431" s="14"/>
      <c r="O431" s="14"/>
      <c r="P431" s="14"/>
      <c r="Q431" s="14"/>
      <c r="R431" s="52"/>
    </row>
    <row r="432" spans="1:18" x14ac:dyDescent="0.2">
      <c r="A432" s="2">
        <f t="shared" si="4"/>
        <v>438</v>
      </c>
      <c r="D432" t="s">
        <v>439</v>
      </c>
      <c r="E432" t="s">
        <v>718</v>
      </c>
      <c r="N432" s="14"/>
      <c r="O432" s="14"/>
      <c r="P432" s="14"/>
      <c r="Q432" s="14"/>
      <c r="R432" s="52"/>
    </row>
    <row r="433" spans="1:18" x14ac:dyDescent="0.2">
      <c r="A433" s="2">
        <f t="shared" si="4"/>
        <v>439</v>
      </c>
      <c r="D433" t="s">
        <v>440</v>
      </c>
      <c r="N433" s="14"/>
      <c r="O433" s="14"/>
      <c r="P433" s="14"/>
      <c r="Q433" s="14"/>
      <c r="R433" s="52"/>
    </row>
    <row r="434" spans="1:18" x14ac:dyDescent="0.2">
      <c r="A434" s="2">
        <f t="shared" si="4"/>
        <v>440</v>
      </c>
      <c r="D434" t="s">
        <v>441</v>
      </c>
      <c r="N434" s="14"/>
      <c r="O434" s="14"/>
      <c r="P434" s="14"/>
      <c r="Q434" s="14"/>
      <c r="R434" s="52"/>
    </row>
    <row r="435" spans="1:18" x14ac:dyDescent="0.2">
      <c r="A435" s="2">
        <f t="shared" si="4"/>
        <v>441</v>
      </c>
      <c r="D435" t="s">
        <v>442</v>
      </c>
      <c r="N435" s="14"/>
      <c r="O435" s="14"/>
      <c r="P435" s="14"/>
      <c r="Q435" s="14"/>
      <c r="R435" s="52"/>
    </row>
    <row r="436" spans="1:18" x14ac:dyDescent="0.2">
      <c r="A436" s="2">
        <f t="shared" si="4"/>
        <v>442</v>
      </c>
      <c r="D436" t="s">
        <v>443</v>
      </c>
      <c r="N436" s="14"/>
      <c r="O436" s="14"/>
      <c r="P436" s="14"/>
      <c r="Q436" s="14"/>
      <c r="R436" s="52"/>
    </row>
    <row r="437" spans="1:18" x14ac:dyDescent="0.2">
      <c r="A437" s="2">
        <f t="shared" si="4"/>
        <v>443</v>
      </c>
      <c r="D437" t="s">
        <v>444</v>
      </c>
      <c r="E437" t="s">
        <v>6</v>
      </c>
      <c r="N437" s="14"/>
      <c r="O437" s="14"/>
      <c r="P437" s="14"/>
      <c r="Q437" s="14"/>
      <c r="R437" s="52"/>
    </row>
    <row r="438" spans="1:18" x14ac:dyDescent="0.2">
      <c r="A438" s="2">
        <f t="shared" si="4"/>
        <v>444</v>
      </c>
      <c r="D438" t="s">
        <v>445</v>
      </c>
      <c r="N438" s="14"/>
      <c r="O438" s="14"/>
      <c r="P438" s="14"/>
      <c r="Q438" s="14"/>
      <c r="R438" s="52"/>
    </row>
    <row r="439" spans="1:18" x14ac:dyDescent="0.2">
      <c r="A439" s="2">
        <f t="shared" si="4"/>
        <v>445</v>
      </c>
      <c r="D439" t="s">
        <v>446</v>
      </c>
      <c r="N439" s="14"/>
      <c r="O439" s="14"/>
      <c r="P439" s="14"/>
      <c r="Q439" s="14"/>
      <c r="R439" s="52"/>
    </row>
    <row r="440" spans="1:18" x14ac:dyDescent="0.2">
      <c r="A440" s="2">
        <f>A75+1</f>
        <v>423</v>
      </c>
      <c r="D440" t="s">
        <v>448</v>
      </c>
      <c r="E440" t="s">
        <v>541</v>
      </c>
      <c r="N440" s="14"/>
      <c r="O440" s="14"/>
      <c r="P440" s="14"/>
      <c r="Q440" s="14"/>
      <c r="R440" s="52"/>
    </row>
    <row r="441" spans="1:18" x14ac:dyDescent="0.2">
      <c r="A441" s="2">
        <f t="shared" si="4"/>
        <v>424</v>
      </c>
      <c r="D441" t="s">
        <v>449</v>
      </c>
      <c r="E441" t="s">
        <v>6</v>
      </c>
      <c r="N441" s="14"/>
      <c r="O441" s="14"/>
      <c r="P441" s="14"/>
      <c r="Q441" s="14"/>
      <c r="R441" s="52"/>
    </row>
    <row r="442" spans="1:18" x14ac:dyDescent="0.2">
      <c r="A442" s="2">
        <f t="shared" si="4"/>
        <v>425</v>
      </c>
      <c r="D442" t="s">
        <v>450</v>
      </c>
      <c r="N442" s="14"/>
      <c r="O442" s="14"/>
      <c r="P442" s="14"/>
      <c r="Q442" s="14"/>
      <c r="R442" s="52"/>
    </row>
    <row r="443" spans="1:18" x14ac:dyDescent="0.2">
      <c r="A443" s="2">
        <f t="shared" si="4"/>
        <v>426</v>
      </c>
      <c r="D443" t="s">
        <v>451</v>
      </c>
      <c r="N443" s="14"/>
      <c r="O443" s="14"/>
      <c r="P443" s="14"/>
      <c r="Q443" s="14"/>
      <c r="R443" s="52"/>
    </row>
    <row r="444" spans="1:18" x14ac:dyDescent="0.2">
      <c r="A444" s="2">
        <f t="shared" si="4"/>
        <v>427</v>
      </c>
      <c r="D444" t="s">
        <v>452</v>
      </c>
      <c r="E444" t="s">
        <v>580</v>
      </c>
      <c r="N444" s="14"/>
      <c r="O444" s="14"/>
      <c r="P444" s="14"/>
      <c r="Q444" s="14"/>
      <c r="R444" s="52"/>
    </row>
    <row r="445" spans="1:18" x14ac:dyDescent="0.2">
      <c r="A445" s="2">
        <f t="shared" si="4"/>
        <v>428</v>
      </c>
      <c r="D445" t="s">
        <v>453</v>
      </c>
      <c r="N445" s="14"/>
      <c r="O445" s="14"/>
      <c r="P445" s="14"/>
      <c r="Q445" s="14"/>
      <c r="R445" s="52"/>
    </row>
    <row r="446" spans="1:18" x14ac:dyDescent="0.2">
      <c r="A446" s="2">
        <f t="shared" si="4"/>
        <v>429</v>
      </c>
      <c r="D446" t="s">
        <v>454</v>
      </c>
      <c r="N446" s="14"/>
      <c r="O446" s="14"/>
      <c r="P446" s="14"/>
      <c r="Q446" s="14"/>
      <c r="R446" s="52"/>
    </row>
    <row r="447" spans="1:18" x14ac:dyDescent="0.2">
      <c r="A447" s="2">
        <f t="shared" si="4"/>
        <v>430</v>
      </c>
      <c r="D447" t="s">
        <v>455</v>
      </c>
      <c r="N447" s="14"/>
      <c r="O447" s="14"/>
      <c r="P447" s="14"/>
      <c r="Q447" s="14"/>
      <c r="R447" s="52"/>
    </row>
    <row r="448" spans="1:18" x14ac:dyDescent="0.2">
      <c r="A448" s="2">
        <f t="shared" si="4"/>
        <v>431</v>
      </c>
      <c r="D448" t="s">
        <v>456</v>
      </c>
      <c r="N448" s="14"/>
      <c r="O448" s="14"/>
      <c r="P448" s="14"/>
      <c r="Q448" s="14"/>
      <c r="R448" s="52"/>
    </row>
    <row r="449" spans="1:19" x14ac:dyDescent="0.2">
      <c r="A449" s="2">
        <f t="shared" si="4"/>
        <v>432</v>
      </c>
      <c r="D449" t="s">
        <v>457</v>
      </c>
      <c r="N449" s="14"/>
      <c r="O449" s="14"/>
      <c r="P449" s="14"/>
      <c r="Q449" s="14"/>
      <c r="R449" s="52"/>
    </row>
    <row r="450" spans="1:19" x14ac:dyDescent="0.2">
      <c r="A450" s="2">
        <f t="shared" si="4"/>
        <v>433</v>
      </c>
      <c r="D450" t="s">
        <v>459</v>
      </c>
      <c r="N450" s="14"/>
      <c r="O450" s="14"/>
      <c r="P450" s="14"/>
      <c r="Q450" s="14"/>
      <c r="R450" s="52"/>
    </row>
    <row r="451" spans="1:19" x14ac:dyDescent="0.2">
      <c r="A451" s="2">
        <f t="shared" si="4"/>
        <v>434</v>
      </c>
      <c r="D451" t="s">
        <v>460</v>
      </c>
      <c r="N451" s="14"/>
      <c r="O451" s="14"/>
      <c r="P451" s="14"/>
      <c r="Q451" s="14"/>
      <c r="R451" s="52"/>
    </row>
    <row r="452" spans="1:19" x14ac:dyDescent="0.2">
      <c r="A452" s="2">
        <f t="shared" si="4"/>
        <v>435</v>
      </c>
      <c r="D452" t="s">
        <v>461</v>
      </c>
      <c r="E452" t="s">
        <v>550</v>
      </c>
      <c r="N452" s="14"/>
      <c r="O452" s="14"/>
      <c r="P452" s="14"/>
      <c r="Q452" s="14"/>
      <c r="R452" s="52"/>
    </row>
    <row r="453" spans="1:19" x14ac:dyDescent="0.2">
      <c r="A453" s="2">
        <f t="shared" si="4"/>
        <v>436</v>
      </c>
      <c r="D453" t="s">
        <v>462</v>
      </c>
      <c r="N453" s="14"/>
      <c r="O453" s="14"/>
      <c r="P453" s="14"/>
      <c r="Q453" s="14"/>
      <c r="R453" s="52"/>
    </row>
    <row r="454" spans="1:19" x14ac:dyDescent="0.2">
      <c r="A454" s="2">
        <f t="shared" si="4"/>
        <v>437</v>
      </c>
      <c r="D454" t="s">
        <v>463</v>
      </c>
      <c r="N454" s="14"/>
      <c r="O454" s="14"/>
      <c r="P454" s="14"/>
      <c r="Q454" s="14"/>
      <c r="R454" s="52"/>
    </row>
    <row r="455" spans="1:19" x14ac:dyDescent="0.2">
      <c r="A455" s="2">
        <f t="shared" si="4"/>
        <v>438</v>
      </c>
      <c r="D455" t="s">
        <v>464</v>
      </c>
      <c r="N455" s="14"/>
      <c r="O455" s="14"/>
      <c r="P455" s="14"/>
      <c r="Q455" s="14"/>
      <c r="R455" s="52"/>
    </row>
    <row r="456" spans="1:19" x14ac:dyDescent="0.2">
      <c r="A456" s="2">
        <f t="shared" si="4"/>
        <v>439</v>
      </c>
      <c r="D456" t="s">
        <v>465</v>
      </c>
      <c r="N456" s="14"/>
      <c r="O456" s="14"/>
      <c r="P456" s="14"/>
      <c r="Q456" s="14"/>
      <c r="R456" s="52"/>
    </row>
    <row r="457" spans="1:19" x14ac:dyDescent="0.2">
      <c r="A457" s="2">
        <f t="shared" si="4"/>
        <v>440</v>
      </c>
      <c r="D457" t="s">
        <v>467</v>
      </c>
      <c r="N457" s="14"/>
      <c r="O457" s="14"/>
      <c r="P457" s="14"/>
      <c r="Q457" s="14"/>
      <c r="R457" s="52"/>
    </row>
    <row r="458" spans="1:19" x14ac:dyDescent="0.2">
      <c r="A458" s="2">
        <f t="shared" si="4"/>
        <v>441</v>
      </c>
      <c r="D458" t="s">
        <v>468</v>
      </c>
      <c r="N458" s="14"/>
      <c r="O458" s="14"/>
      <c r="P458" s="14"/>
      <c r="Q458" s="14"/>
      <c r="R458" s="52"/>
    </row>
    <row r="459" spans="1:19" x14ac:dyDescent="0.2">
      <c r="A459" s="2">
        <f t="shared" si="4"/>
        <v>442</v>
      </c>
      <c r="D459" t="s">
        <v>600</v>
      </c>
      <c r="E459" t="s">
        <v>601</v>
      </c>
      <c r="G459" s="2">
        <v>19.38</v>
      </c>
      <c r="N459" s="14"/>
      <c r="O459" s="14"/>
      <c r="P459" s="14"/>
      <c r="Q459" s="14"/>
      <c r="R459" s="52"/>
    </row>
    <row r="460" spans="1:19" x14ac:dyDescent="0.2">
      <c r="A460" s="2">
        <f t="shared" si="4"/>
        <v>443</v>
      </c>
      <c r="D460" s="3" t="s">
        <v>469</v>
      </c>
      <c r="N460" s="14"/>
      <c r="O460" s="14"/>
      <c r="P460" s="14"/>
      <c r="Q460" s="14"/>
      <c r="R460" s="52"/>
    </row>
    <row r="461" spans="1:19" x14ac:dyDescent="0.2">
      <c r="A461" s="2">
        <f t="shared" si="4"/>
        <v>444</v>
      </c>
      <c r="D461" t="s">
        <v>470</v>
      </c>
      <c r="N461" s="14"/>
      <c r="O461" s="14"/>
      <c r="P461" s="14"/>
      <c r="Q461" s="14"/>
      <c r="R461" s="52"/>
    </row>
    <row r="462" spans="1:19" x14ac:dyDescent="0.2">
      <c r="A462" s="2">
        <f t="shared" si="4"/>
        <v>445</v>
      </c>
      <c r="D462" t="s">
        <v>471</v>
      </c>
      <c r="N462" s="14"/>
      <c r="O462" s="14"/>
      <c r="P462" s="14"/>
      <c r="Q462" s="14"/>
      <c r="R462" s="52"/>
    </row>
    <row r="463" spans="1:19" x14ac:dyDescent="0.2">
      <c r="A463" s="2">
        <v>470</v>
      </c>
      <c r="D463" t="s">
        <v>474</v>
      </c>
      <c r="E463" t="s">
        <v>710</v>
      </c>
      <c r="N463" s="14"/>
      <c r="O463" s="14"/>
      <c r="P463" s="14"/>
      <c r="Q463" s="14"/>
      <c r="R463" s="52"/>
    </row>
    <row r="464" spans="1:19" x14ac:dyDescent="0.2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N464" s="14"/>
      <c r="O464" s="14">
        <v>61.21</v>
      </c>
      <c r="P464" s="14"/>
      <c r="Q464" s="14"/>
      <c r="R464" s="52"/>
      <c r="S464" s="19">
        <v>0.4777777777777778</v>
      </c>
    </row>
    <row r="465" spans="1:18" x14ac:dyDescent="0.2">
      <c r="A465" s="2">
        <v>472</v>
      </c>
      <c r="D465" t="s">
        <v>476</v>
      </c>
      <c r="N465" s="14"/>
      <c r="O465" s="14"/>
      <c r="P465" s="14"/>
      <c r="Q465" s="14"/>
      <c r="R465" s="52"/>
    </row>
    <row r="466" spans="1:18" x14ac:dyDescent="0.2">
      <c r="A466" s="2">
        <f t="shared" ref="A466:A504" si="5">A465+1</f>
        <v>473</v>
      </c>
      <c r="D466" t="s">
        <v>477</v>
      </c>
      <c r="E466" t="s">
        <v>7</v>
      </c>
      <c r="N466" s="14"/>
      <c r="O466" s="14"/>
      <c r="P466" s="14"/>
      <c r="Q466" s="14"/>
      <c r="R466" s="52"/>
    </row>
    <row r="467" spans="1:18" x14ac:dyDescent="0.2">
      <c r="A467" s="2">
        <f t="shared" si="5"/>
        <v>474</v>
      </c>
      <c r="D467" t="s">
        <v>478</v>
      </c>
      <c r="N467" s="14"/>
      <c r="O467" s="14"/>
      <c r="P467" s="14"/>
      <c r="Q467" s="14"/>
      <c r="R467" s="52"/>
    </row>
    <row r="468" spans="1:18" x14ac:dyDescent="0.2">
      <c r="A468" s="2">
        <f t="shared" si="5"/>
        <v>475</v>
      </c>
      <c r="D468" t="s">
        <v>479</v>
      </c>
      <c r="N468" s="14"/>
      <c r="O468" s="14"/>
      <c r="P468" s="14"/>
      <c r="Q468" s="14"/>
      <c r="R468" s="52"/>
    </row>
    <row r="469" spans="1:18" x14ac:dyDescent="0.2">
      <c r="A469" s="2">
        <f t="shared" si="5"/>
        <v>476</v>
      </c>
      <c r="D469" t="s">
        <v>481</v>
      </c>
      <c r="N469" s="14"/>
      <c r="O469" s="14"/>
      <c r="P469" s="14"/>
      <c r="Q469" s="14"/>
      <c r="R469" s="52"/>
    </row>
    <row r="470" spans="1:18" x14ac:dyDescent="0.2">
      <c r="A470" s="2">
        <f t="shared" si="5"/>
        <v>477</v>
      </c>
      <c r="D470" t="s">
        <v>482</v>
      </c>
      <c r="N470" s="14"/>
      <c r="O470" s="14"/>
      <c r="P470" s="14"/>
      <c r="Q470" s="14"/>
      <c r="R470" s="52"/>
    </row>
    <row r="471" spans="1:18" x14ac:dyDescent="0.2">
      <c r="A471" s="2">
        <f t="shared" si="5"/>
        <v>478</v>
      </c>
      <c r="D471" t="s">
        <v>483</v>
      </c>
      <c r="N471" s="14"/>
      <c r="O471" s="14"/>
      <c r="P471" s="14"/>
      <c r="Q471" s="14"/>
      <c r="R471" s="52"/>
    </row>
    <row r="472" spans="1:18" x14ac:dyDescent="0.2">
      <c r="A472" s="2">
        <f t="shared" si="5"/>
        <v>479</v>
      </c>
      <c r="D472" t="s">
        <v>484</v>
      </c>
      <c r="N472" s="14"/>
      <c r="O472" s="14"/>
      <c r="P472" s="14"/>
      <c r="Q472" s="14"/>
      <c r="R472" s="52"/>
    </row>
    <row r="473" spans="1:18" x14ac:dyDescent="0.2">
      <c r="A473" s="2">
        <f t="shared" si="5"/>
        <v>480</v>
      </c>
      <c r="D473" t="s">
        <v>485</v>
      </c>
      <c r="N473" s="14"/>
      <c r="O473" s="14"/>
      <c r="P473" s="14"/>
      <c r="Q473" s="14"/>
      <c r="R473" s="52"/>
    </row>
    <row r="474" spans="1:18" x14ac:dyDescent="0.2">
      <c r="A474" s="2">
        <f t="shared" si="5"/>
        <v>481</v>
      </c>
      <c r="D474" t="s">
        <v>487</v>
      </c>
      <c r="N474" s="14"/>
      <c r="O474" s="14"/>
      <c r="P474" s="14"/>
      <c r="Q474" s="14"/>
      <c r="R474" s="52"/>
    </row>
    <row r="475" spans="1:18" x14ac:dyDescent="0.2">
      <c r="A475" s="2">
        <f t="shared" si="5"/>
        <v>482</v>
      </c>
      <c r="D475" t="s">
        <v>488</v>
      </c>
      <c r="N475" s="14"/>
      <c r="O475" s="14"/>
      <c r="P475" s="14"/>
      <c r="Q475" s="14"/>
      <c r="R475" s="52"/>
    </row>
    <row r="476" spans="1:18" x14ac:dyDescent="0.2">
      <c r="A476" s="2">
        <f t="shared" si="5"/>
        <v>483</v>
      </c>
      <c r="D476" s="3" t="s">
        <v>489</v>
      </c>
      <c r="N476" s="14"/>
      <c r="O476" s="14"/>
      <c r="P476" s="14"/>
      <c r="Q476" s="14"/>
      <c r="R476" s="52"/>
    </row>
    <row r="477" spans="1:18" x14ac:dyDescent="0.2">
      <c r="A477" s="2">
        <f t="shared" si="5"/>
        <v>484</v>
      </c>
      <c r="D477" t="s">
        <v>490</v>
      </c>
      <c r="N477" s="14"/>
      <c r="O477" s="14"/>
      <c r="P477" s="14"/>
      <c r="Q477" s="14"/>
      <c r="R477" s="52"/>
    </row>
    <row r="478" spans="1:18" x14ac:dyDescent="0.2">
      <c r="A478" s="2">
        <f t="shared" si="5"/>
        <v>485</v>
      </c>
      <c r="D478" t="s">
        <v>491</v>
      </c>
      <c r="E478" t="s">
        <v>6</v>
      </c>
      <c r="F478" s="2">
        <v>8000</v>
      </c>
      <c r="N478" s="14"/>
      <c r="O478" s="14"/>
      <c r="P478" s="14"/>
      <c r="Q478" s="14"/>
      <c r="R478" s="52"/>
    </row>
    <row r="479" spans="1:18" x14ac:dyDescent="0.2">
      <c r="A479" s="2">
        <f t="shared" si="5"/>
        <v>486</v>
      </c>
      <c r="D479" t="s">
        <v>492</v>
      </c>
      <c r="N479" s="14"/>
      <c r="O479" s="14"/>
      <c r="P479" s="14"/>
      <c r="Q479" s="14"/>
      <c r="R479" s="52"/>
    </row>
    <row r="480" spans="1:18" x14ac:dyDescent="0.2">
      <c r="D480" t="s">
        <v>1004</v>
      </c>
      <c r="N480" s="14"/>
      <c r="O480" s="14"/>
      <c r="P480" s="14"/>
      <c r="Q480" s="14"/>
      <c r="R480" s="52"/>
    </row>
    <row r="481" spans="1:18" x14ac:dyDescent="0.2">
      <c r="A481" s="2">
        <f>A479+1</f>
        <v>487</v>
      </c>
      <c r="D481" t="s">
        <v>493</v>
      </c>
      <c r="N481" s="14"/>
      <c r="O481" s="14"/>
      <c r="P481" s="14"/>
      <c r="Q481" s="14"/>
      <c r="R481" s="52"/>
    </row>
    <row r="482" spans="1:18" x14ac:dyDescent="0.2">
      <c r="A482" s="4">
        <f t="shared" si="5"/>
        <v>488</v>
      </c>
      <c r="B482" s="4"/>
      <c r="C482" s="4"/>
      <c r="D482" s="3" t="s">
        <v>494</v>
      </c>
      <c r="N482" s="14"/>
      <c r="O482" s="14"/>
      <c r="P482" s="14"/>
      <c r="Q482" s="14"/>
      <c r="R482" s="52"/>
    </row>
    <row r="483" spans="1:18" x14ac:dyDescent="0.2">
      <c r="A483" s="2">
        <v>490</v>
      </c>
      <c r="D483" t="s">
        <v>496</v>
      </c>
      <c r="N483" s="14"/>
      <c r="O483" s="14"/>
      <c r="P483" s="14"/>
      <c r="Q483" s="14"/>
      <c r="R483" s="52"/>
    </row>
    <row r="484" spans="1:18" x14ac:dyDescent="0.2">
      <c r="A484" s="4">
        <f t="shared" si="5"/>
        <v>491</v>
      </c>
      <c r="B484" s="4"/>
      <c r="C484" s="4"/>
      <c r="D484" s="3" t="s">
        <v>497</v>
      </c>
      <c r="N484" s="14"/>
      <c r="O484" s="14"/>
      <c r="P484" s="14"/>
      <c r="Q484" s="14"/>
      <c r="R484" s="52"/>
    </row>
    <row r="485" spans="1:18" x14ac:dyDescent="0.2">
      <c r="A485" s="2">
        <f t="shared" si="5"/>
        <v>492</v>
      </c>
      <c r="D485" t="s">
        <v>499</v>
      </c>
      <c r="N485" s="14"/>
      <c r="O485" s="14"/>
      <c r="P485" s="14"/>
      <c r="Q485" s="14"/>
      <c r="R485" s="52"/>
    </row>
    <row r="486" spans="1:18" x14ac:dyDescent="0.2">
      <c r="A486" s="4">
        <f t="shared" si="5"/>
        <v>493</v>
      </c>
      <c r="B486" s="4"/>
      <c r="C486" s="4"/>
      <c r="D486" t="s">
        <v>500</v>
      </c>
      <c r="N486" s="14"/>
      <c r="O486" s="14"/>
      <c r="P486" s="14"/>
      <c r="Q486" s="14"/>
      <c r="R486" s="52"/>
    </row>
    <row r="487" spans="1:18" x14ac:dyDescent="0.2">
      <c r="A487" s="2">
        <f t="shared" si="5"/>
        <v>494</v>
      </c>
      <c r="D487" t="s">
        <v>501</v>
      </c>
      <c r="N487" s="14"/>
      <c r="O487" s="14"/>
      <c r="P487" s="14"/>
      <c r="Q487" s="14"/>
      <c r="R487" s="52"/>
    </row>
    <row r="488" spans="1:18" x14ac:dyDescent="0.2">
      <c r="A488" s="2">
        <f t="shared" si="5"/>
        <v>495</v>
      </c>
      <c r="D488" t="s">
        <v>503</v>
      </c>
      <c r="N488" s="14"/>
      <c r="O488" s="14"/>
      <c r="P488" s="14"/>
      <c r="Q488" s="14"/>
      <c r="R488" s="52"/>
    </row>
    <row r="489" spans="1:18" x14ac:dyDescent="0.2">
      <c r="A489" s="2">
        <f t="shared" si="5"/>
        <v>496</v>
      </c>
      <c r="D489" t="s">
        <v>504</v>
      </c>
      <c r="N489" s="14"/>
      <c r="O489" s="14"/>
      <c r="P489" s="14"/>
      <c r="Q489" s="14"/>
      <c r="R489" s="52"/>
    </row>
    <row r="490" spans="1:18" x14ac:dyDescent="0.2">
      <c r="A490" s="2">
        <f t="shared" si="5"/>
        <v>497</v>
      </c>
      <c r="D490" t="s">
        <v>505</v>
      </c>
      <c r="N490" s="14"/>
      <c r="O490" s="14"/>
      <c r="P490" s="14"/>
      <c r="Q490" s="14"/>
      <c r="R490" s="52"/>
    </row>
    <row r="491" spans="1:18" x14ac:dyDescent="0.2">
      <c r="A491" s="2">
        <f t="shared" si="5"/>
        <v>498</v>
      </c>
      <c r="D491" t="s">
        <v>506</v>
      </c>
      <c r="N491" s="14"/>
      <c r="O491" s="14"/>
      <c r="P491" s="14"/>
      <c r="Q491" s="14"/>
      <c r="R491" s="52"/>
    </row>
    <row r="492" spans="1:18" x14ac:dyDescent="0.2">
      <c r="A492" s="2">
        <f t="shared" si="5"/>
        <v>499</v>
      </c>
      <c r="D492" t="s">
        <v>507</v>
      </c>
      <c r="E492" t="s">
        <v>6</v>
      </c>
      <c r="F492" s="2">
        <v>265</v>
      </c>
      <c r="N492" s="14"/>
      <c r="O492" s="14"/>
      <c r="P492" s="14"/>
      <c r="Q492" s="14"/>
      <c r="R492" s="52"/>
    </row>
    <row r="493" spans="1:18" x14ac:dyDescent="0.2">
      <c r="A493" s="2">
        <f t="shared" si="5"/>
        <v>500</v>
      </c>
      <c r="D493" t="s">
        <v>508</v>
      </c>
      <c r="N493" s="14"/>
      <c r="O493" s="14"/>
      <c r="P493" s="14"/>
      <c r="Q493" s="14"/>
      <c r="R493" s="52"/>
    </row>
    <row r="494" spans="1:18" x14ac:dyDescent="0.2">
      <c r="A494" s="2">
        <f t="shared" si="5"/>
        <v>501</v>
      </c>
      <c r="D494" t="s">
        <v>509</v>
      </c>
      <c r="N494" s="14"/>
      <c r="O494" s="14"/>
      <c r="P494" s="14"/>
      <c r="Q494" s="14"/>
      <c r="R494" s="52"/>
    </row>
    <row r="495" spans="1:18" x14ac:dyDescent="0.2">
      <c r="A495" s="2">
        <f t="shared" si="5"/>
        <v>502</v>
      </c>
      <c r="D495" t="s">
        <v>510</v>
      </c>
      <c r="N495" s="14"/>
      <c r="O495" s="14"/>
      <c r="P495" s="14"/>
      <c r="Q495" s="14"/>
      <c r="R495" s="52"/>
    </row>
    <row r="496" spans="1:18" x14ac:dyDescent="0.2">
      <c r="A496" s="2">
        <f t="shared" si="5"/>
        <v>503</v>
      </c>
      <c r="C496" s="2">
        <v>60</v>
      </c>
      <c r="D496" t="s">
        <v>511</v>
      </c>
      <c r="N496" s="14"/>
      <c r="O496" s="14"/>
      <c r="P496" s="14"/>
      <c r="Q496" s="14"/>
      <c r="R496" s="52"/>
    </row>
    <row r="497" spans="1:19" x14ac:dyDescent="0.2">
      <c r="A497" s="2">
        <f t="shared" si="5"/>
        <v>504</v>
      </c>
      <c r="D497" t="s">
        <v>512</v>
      </c>
      <c r="N497" s="14"/>
      <c r="O497" s="14"/>
      <c r="P497" s="14"/>
      <c r="Q497" s="14"/>
      <c r="R497" s="52"/>
    </row>
    <row r="498" spans="1:19" x14ac:dyDescent="0.2">
      <c r="A498" s="2">
        <f t="shared" si="5"/>
        <v>505</v>
      </c>
      <c r="D498" t="s">
        <v>513</v>
      </c>
      <c r="E498" t="s">
        <v>9</v>
      </c>
      <c r="N498" s="14"/>
      <c r="O498" s="14"/>
      <c r="P498" s="14"/>
      <c r="Q498" s="14"/>
      <c r="R498" s="52"/>
    </row>
    <row r="499" spans="1:19" x14ac:dyDescent="0.2">
      <c r="A499" s="2">
        <v>469</v>
      </c>
      <c r="D499" t="s">
        <v>647</v>
      </c>
      <c r="G499" s="2">
        <v>22.95</v>
      </c>
      <c r="N499" s="14"/>
      <c r="O499" s="14"/>
      <c r="P499" s="14"/>
      <c r="Q499" s="14"/>
      <c r="R499" s="52"/>
    </row>
    <row r="500" spans="1:19" x14ac:dyDescent="0.2">
      <c r="A500" s="2">
        <f>A498+1</f>
        <v>506</v>
      </c>
      <c r="D500" t="s">
        <v>514</v>
      </c>
      <c r="N500" s="14"/>
      <c r="O500" s="14"/>
      <c r="P500" s="14"/>
      <c r="Q500" s="14"/>
      <c r="R500" s="52"/>
    </row>
    <row r="501" spans="1:19" x14ac:dyDescent="0.2">
      <c r="A501" s="2">
        <f t="shared" si="5"/>
        <v>507</v>
      </c>
      <c r="D501" t="s">
        <v>515</v>
      </c>
      <c r="N501" s="14"/>
      <c r="O501" s="14"/>
      <c r="P501" s="14"/>
      <c r="Q501" s="14"/>
      <c r="R501" s="52"/>
    </row>
    <row r="502" spans="1:19" x14ac:dyDescent="0.2">
      <c r="A502" s="2">
        <f t="shared" si="5"/>
        <v>508</v>
      </c>
      <c r="D502" t="s">
        <v>516</v>
      </c>
      <c r="E502" t="s">
        <v>566</v>
      </c>
      <c r="N502" s="14"/>
      <c r="O502" s="14"/>
      <c r="P502" s="14"/>
      <c r="Q502" s="14"/>
      <c r="R502" s="52"/>
    </row>
    <row r="503" spans="1:19" x14ac:dyDescent="0.2">
      <c r="A503" s="2">
        <f t="shared" si="5"/>
        <v>509</v>
      </c>
      <c r="D503" s="3" t="s">
        <v>517</v>
      </c>
      <c r="N503" s="14"/>
      <c r="O503" s="14"/>
      <c r="P503" s="14"/>
      <c r="Q503" s="14"/>
      <c r="R503" s="52"/>
    </row>
    <row r="504" spans="1:19" x14ac:dyDescent="0.2">
      <c r="A504" s="2">
        <f t="shared" si="5"/>
        <v>510</v>
      </c>
      <c r="D504" t="s">
        <v>518</v>
      </c>
      <c r="N504" s="14"/>
      <c r="O504" s="14"/>
      <c r="P504" s="14"/>
      <c r="Q504" s="14"/>
      <c r="R504" s="52"/>
    </row>
    <row r="505" spans="1:19" x14ac:dyDescent="0.2">
      <c r="A505" s="2">
        <v>489</v>
      </c>
      <c r="D505" t="s">
        <v>623</v>
      </c>
      <c r="E505" t="s">
        <v>622</v>
      </c>
      <c r="G505" s="2">
        <v>23.18</v>
      </c>
      <c r="N505" s="14"/>
      <c r="O505" s="14"/>
      <c r="P505" s="14"/>
      <c r="Q505" s="14"/>
      <c r="R505" s="52"/>
    </row>
    <row r="506" spans="1:19" x14ac:dyDescent="0.2">
      <c r="A506" s="2">
        <v>517</v>
      </c>
      <c r="D506" t="s">
        <v>588</v>
      </c>
      <c r="E506" t="s">
        <v>625</v>
      </c>
      <c r="G506" s="2">
        <v>32.01</v>
      </c>
      <c r="N506" s="14"/>
      <c r="O506" s="14"/>
      <c r="P506" s="14"/>
      <c r="Q506" s="14"/>
      <c r="R506" s="52"/>
    </row>
    <row r="507" spans="1:19" x14ac:dyDescent="0.2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N507" s="14"/>
      <c r="O507" s="14">
        <v>142.30000000000001</v>
      </c>
      <c r="P507" s="14"/>
      <c r="Q507" s="14"/>
      <c r="R507" s="52"/>
      <c r="S507" s="19">
        <v>0.22013888888888888</v>
      </c>
    </row>
    <row r="508" spans="1:19" x14ac:dyDescent="0.2">
      <c r="A508" s="2">
        <v>537</v>
      </c>
      <c r="D508" t="s">
        <v>602</v>
      </c>
      <c r="E508" t="s">
        <v>624</v>
      </c>
      <c r="G508" s="2">
        <v>19.38</v>
      </c>
      <c r="N508" s="14"/>
      <c r="O508" s="14"/>
      <c r="P508" s="14"/>
      <c r="Q508" s="14"/>
      <c r="R508" s="52"/>
    </row>
    <row r="509" spans="1:19" x14ac:dyDescent="0.2">
      <c r="A509" s="2">
        <v>557</v>
      </c>
      <c r="D509" t="s">
        <v>648</v>
      </c>
      <c r="G509" s="2">
        <v>23.29</v>
      </c>
      <c r="N509" s="14"/>
      <c r="O509" s="14"/>
      <c r="P509" s="14"/>
      <c r="Q509" s="14"/>
      <c r="R509" s="52"/>
    </row>
    <row r="510" spans="1:19" x14ac:dyDescent="0.2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N510" s="14"/>
      <c r="O510" s="14">
        <v>77.900000000000006</v>
      </c>
      <c r="P510" s="14"/>
      <c r="Q510" s="14"/>
      <c r="R510" s="52"/>
      <c r="S510" s="22">
        <v>0.51597222222222217</v>
      </c>
    </row>
    <row r="511" spans="1:19" x14ac:dyDescent="0.2">
      <c r="A511" s="2">
        <v>587</v>
      </c>
      <c r="D511" t="s">
        <v>618</v>
      </c>
      <c r="G511" s="2">
        <v>48.41</v>
      </c>
      <c r="N511" s="14"/>
      <c r="O511" s="14"/>
      <c r="P511" s="14"/>
      <c r="Q511" s="14"/>
      <c r="R511" s="52"/>
    </row>
    <row r="512" spans="1:19" x14ac:dyDescent="0.2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N512" s="14"/>
      <c r="O512" s="14">
        <v>75.209999999999994</v>
      </c>
      <c r="P512" s="14"/>
      <c r="Q512" s="14"/>
      <c r="R512" s="52"/>
      <c r="S512" s="19">
        <v>0.62847222222222221</v>
      </c>
    </row>
    <row r="513" spans="1:19" x14ac:dyDescent="0.2">
      <c r="D513" t="s">
        <v>1005</v>
      </c>
      <c r="N513" s="14"/>
      <c r="O513" s="14"/>
      <c r="P513" s="14"/>
      <c r="Q513" s="14"/>
      <c r="R513" s="52"/>
    </row>
    <row r="514" spans="1:19" x14ac:dyDescent="0.2">
      <c r="D514" t="s">
        <v>1006</v>
      </c>
      <c r="N514" s="14"/>
      <c r="O514" s="14"/>
      <c r="P514" s="14"/>
      <c r="Q514" s="14"/>
      <c r="R514" s="52"/>
    </row>
    <row r="515" spans="1:19" x14ac:dyDescent="0.2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N515" s="14"/>
      <c r="O515" s="14"/>
      <c r="P515" s="14"/>
      <c r="Q515" s="14"/>
      <c r="R515" s="52"/>
    </row>
    <row r="516" spans="1:19" x14ac:dyDescent="0.2">
      <c r="A516" s="2">
        <v>625</v>
      </c>
      <c r="D516" t="s">
        <v>632</v>
      </c>
      <c r="G516" s="2">
        <v>19.7</v>
      </c>
      <c r="N516" s="14"/>
      <c r="O516" s="14"/>
      <c r="P516" s="14"/>
      <c r="Q516" s="14"/>
      <c r="R516" s="52"/>
    </row>
    <row r="517" spans="1:19" x14ac:dyDescent="0.2">
      <c r="A517" s="2">
        <v>668</v>
      </c>
      <c r="D517" t="s">
        <v>663</v>
      </c>
      <c r="G517" s="2">
        <v>18.46</v>
      </c>
      <c r="N517" s="14"/>
      <c r="O517" s="14"/>
      <c r="P517" s="14"/>
      <c r="Q517" s="14"/>
      <c r="R517" s="52"/>
    </row>
    <row r="518" spans="1:19" x14ac:dyDescent="0.2">
      <c r="D518" t="s">
        <v>842</v>
      </c>
      <c r="N518" s="14"/>
      <c r="O518" s="14"/>
      <c r="P518" s="14"/>
      <c r="Q518" s="14"/>
      <c r="R518" s="52"/>
    </row>
    <row r="519" spans="1:19" x14ac:dyDescent="0.2">
      <c r="D519" t="s">
        <v>843</v>
      </c>
      <c r="N519" s="14"/>
      <c r="O519" s="14"/>
      <c r="P519" s="14"/>
      <c r="Q519" s="14"/>
      <c r="R519" s="52"/>
    </row>
    <row r="520" spans="1:19" x14ac:dyDescent="0.2">
      <c r="D520" t="s">
        <v>844</v>
      </c>
      <c r="N520" s="14"/>
      <c r="O520" s="14"/>
      <c r="P520" s="14"/>
      <c r="Q520" s="14"/>
      <c r="R520" s="52"/>
    </row>
    <row r="521" spans="1:19" x14ac:dyDescent="0.2">
      <c r="A521" s="2">
        <v>691</v>
      </c>
      <c r="D521" t="s">
        <v>593</v>
      </c>
      <c r="G521" s="2">
        <v>24.11</v>
      </c>
      <c r="N521" s="14"/>
      <c r="O521" s="14"/>
      <c r="P521" s="14"/>
      <c r="Q521" s="14"/>
      <c r="R521" s="52"/>
    </row>
    <row r="522" spans="1:19" x14ac:dyDescent="0.2">
      <c r="A522" s="2">
        <v>707</v>
      </c>
      <c r="D522" t="s">
        <v>599</v>
      </c>
      <c r="G522" s="2">
        <v>149</v>
      </c>
      <c r="N522" s="14"/>
      <c r="O522" s="14"/>
      <c r="P522" s="14"/>
      <c r="Q522" s="14"/>
      <c r="R522" s="52"/>
    </row>
    <row r="523" spans="1:19" x14ac:dyDescent="0.2">
      <c r="A523" s="2">
        <v>720</v>
      </c>
      <c r="D523" t="s">
        <v>628</v>
      </c>
      <c r="G523" s="2">
        <v>126.9</v>
      </c>
      <c r="N523" s="14"/>
      <c r="O523" s="14"/>
      <c r="P523" s="14"/>
      <c r="Q523" s="14"/>
      <c r="R523" s="52"/>
    </row>
    <row r="524" spans="1:19" x14ac:dyDescent="0.2">
      <c r="A524" s="2">
        <v>729</v>
      </c>
      <c r="D524" t="s">
        <v>626</v>
      </c>
      <c r="G524" s="2">
        <v>18.29</v>
      </c>
      <c r="N524" s="14"/>
      <c r="O524" s="14"/>
      <c r="P524" s="14"/>
      <c r="Q524" s="14"/>
      <c r="R524" s="52"/>
    </row>
    <row r="525" spans="1:19" x14ac:dyDescent="0.2">
      <c r="A525" s="2">
        <v>737</v>
      </c>
      <c r="D525" t="s">
        <v>661</v>
      </c>
      <c r="G525" s="2">
        <v>28.83</v>
      </c>
      <c r="N525" s="14"/>
      <c r="O525" s="14"/>
      <c r="P525" s="14"/>
      <c r="Q525" s="14"/>
      <c r="R525" s="52"/>
    </row>
    <row r="526" spans="1:19" x14ac:dyDescent="0.2">
      <c r="A526" s="2">
        <v>745</v>
      </c>
      <c r="D526" t="s">
        <v>585</v>
      </c>
      <c r="E526" t="s">
        <v>6</v>
      </c>
      <c r="G526" s="2">
        <v>21.86</v>
      </c>
      <c r="N526" s="14"/>
      <c r="O526" s="14"/>
      <c r="P526" s="14"/>
      <c r="Q526" s="14"/>
      <c r="R526" s="52"/>
    </row>
    <row r="527" spans="1:19" x14ac:dyDescent="0.2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N527" s="14"/>
      <c r="O527" s="14">
        <v>20.48</v>
      </c>
      <c r="P527" s="14"/>
      <c r="Q527" s="14"/>
      <c r="R527" s="52"/>
      <c r="S527" s="19">
        <v>0.15694444444444444</v>
      </c>
    </row>
    <row r="528" spans="1:19" x14ac:dyDescent="0.2">
      <c r="A528" s="2">
        <v>804</v>
      </c>
      <c r="D528" t="s">
        <v>621</v>
      </c>
      <c r="E528" t="s">
        <v>622</v>
      </c>
      <c r="G528" s="2">
        <v>87.23</v>
      </c>
      <c r="N528" s="14"/>
      <c r="O528" s="14"/>
      <c r="P528" s="14"/>
      <c r="Q528" s="14"/>
      <c r="R528" s="52"/>
    </row>
    <row r="529" spans="1:19" x14ac:dyDescent="0.2">
      <c r="A529" s="2">
        <v>852</v>
      </c>
      <c r="D529" t="s">
        <v>572</v>
      </c>
      <c r="E529" t="s">
        <v>6</v>
      </c>
      <c r="F529" s="2">
        <v>3000</v>
      </c>
      <c r="N529" s="14"/>
      <c r="O529" s="14"/>
      <c r="P529" s="14"/>
      <c r="Q529" s="14"/>
      <c r="R529" s="52"/>
    </row>
    <row r="530" spans="1:19" x14ac:dyDescent="0.2">
      <c r="A530" s="2">
        <v>855</v>
      </c>
      <c r="D530" t="s">
        <v>660</v>
      </c>
      <c r="G530" s="2">
        <v>18.73</v>
      </c>
      <c r="N530" s="14"/>
      <c r="O530" s="14"/>
      <c r="P530" s="14"/>
      <c r="Q530" s="14"/>
      <c r="R530" s="52"/>
    </row>
    <row r="531" spans="1:19" x14ac:dyDescent="0.2">
      <c r="A531" s="2">
        <v>903</v>
      </c>
      <c r="D531" t="s">
        <v>645</v>
      </c>
      <c r="G531" s="2">
        <v>22.7</v>
      </c>
      <c r="N531" s="14"/>
      <c r="O531" s="14"/>
      <c r="P531" s="14"/>
      <c r="Q531" s="14"/>
      <c r="R531" s="52"/>
    </row>
    <row r="532" spans="1:19" x14ac:dyDescent="0.2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N532" s="14"/>
      <c r="O532" s="14">
        <v>84.84</v>
      </c>
      <c r="P532" s="14"/>
      <c r="Q532" s="14"/>
      <c r="R532" s="52"/>
      <c r="S532" s="19">
        <v>0.1423611111111111</v>
      </c>
    </row>
    <row r="533" spans="1:19" x14ac:dyDescent="0.2">
      <c r="A533" s="2">
        <v>946</v>
      </c>
      <c r="D533" t="s">
        <v>644</v>
      </c>
      <c r="G533" s="2">
        <v>14.63</v>
      </c>
      <c r="N533" s="14"/>
      <c r="O533" s="14"/>
      <c r="P533" s="14"/>
      <c r="Q533" s="14"/>
      <c r="R533" s="52"/>
    </row>
    <row r="534" spans="1:19" x14ac:dyDescent="0.2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N534" s="14"/>
      <c r="O534" s="14">
        <v>31.03</v>
      </c>
      <c r="P534" s="14"/>
      <c r="Q534" s="14"/>
      <c r="R534" s="52"/>
      <c r="S534" s="22">
        <v>0.33124999999999999</v>
      </c>
    </row>
    <row r="535" spans="1:19" x14ac:dyDescent="0.2">
      <c r="A535" s="2">
        <v>1004</v>
      </c>
      <c r="D535" t="s">
        <v>581</v>
      </c>
      <c r="G535" s="2">
        <v>32</v>
      </c>
      <c r="N535" s="14"/>
      <c r="O535" s="14"/>
      <c r="P535" s="14"/>
      <c r="Q535" s="14"/>
      <c r="R535" s="52"/>
    </row>
    <row r="536" spans="1:19" x14ac:dyDescent="0.2">
      <c r="A536" s="2">
        <v>1017</v>
      </c>
      <c r="D536" t="s">
        <v>666</v>
      </c>
      <c r="G536" s="2">
        <v>18.64</v>
      </c>
      <c r="N536" s="14"/>
      <c r="O536" s="14"/>
      <c r="P536" s="14"/>
      <c r="Q536" s="14"/>
      <c r="R536" s="52"/>
    </row>
    <row r="537" spans="1:19" x14ac:dyDescent="0.2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N537" s="14"/>
      <c r="O537" s="14">
        <v>36.590000000000003</v>
      </c>
      <c r="P537" s="14"/>
      <c r="Q537" s="14"/>
      <c r="R537" s="52"/>
      <c r="S537" s="19">
        <v>0.37777777777777777</v>
      </c>
    </row>
    <row r="538" spans="1:19" x14ac:dyDescent="0.2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N538" s="14"/>
      <c r="O538" s="14"/>
      <c r="P538" s="14"/>
      <c r="Q538" s="14"/>
      <c r="R538" s="52"/>
      <c r="S538" s="20" t="s">
        <v>755</v>
      </c>
    </row>
    <row r="539" spans="1:19" x14ac:dyDescent="0.2">
      <c r="A539" s="2">
        <v>1057</v>
      </c>
      <c r="D539" t="s">
        <v>619</v>
      </c>
      <c r="G539" s="2">
        <v>37.200000000000003</v>
      </c>
      <c r="N539" s="14"/>
      <c r="O539" s="14"/>
      <c r="P539" s="14"/>
      <c r="Q539" s="14"/>
      <c r="R539" s="52"/>
    </row>
    <row r="540" spans="1:19" x14ac:dyDescent="0.2">
      <c r="D540" t="s">
        <v>1194</v>
      </c>
      <c r="N540" s="14"/>
      <c r="O540" s="14"/>
      <c r="P540" s="14"/>
      <c r="Q540" s="14"/>
      <c r="R540" s="52"/>
    </row>
    <row r="541" spans="1:19" x14ac:dyDescent="0.2">
      <c r="A541" s="2">
        <v>1058</v>
      </c>
      <c r="D541" t="s">
        <v>728</v>
      </c>
      <c r="G541" s="2">
        <v>18.8</v>
      </c>
      <c r="N541" s="14"/>
      <c r="O541" s="14"/>
      <c r="P541" s="14"/>
      <c r="Q541" s="14"/>
      <c r="R541" s="52"/>
    </row>
    <row r="542" spans="1:19" x14ac:dyDescent="0.2">
      <c r="A542" s="2">
        <v>1063</v>
      </c>
      <c r="D542" t="s">
        <v>654</v>
      </c>
      <c r="G542" s="2">
        <v>19.68</v>
      </c>
      <c r="N542" s="14"/>
      <c r="O542" s="14"/>
      <c r="P542" s="14"/>
      <c r="Q542" s="14"/>
      <c r="R542" s="52"/>
    </row>
    <row r="543" spans="1:19" x14ac:dyDescent="0.2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N543" s="14"/>
      <c r="O543" s="14">
        <v>192.4</v>
      </c>
      <c r="P543" s="14"/>
      <c r="Q543" s="14"/>
      <c r="R543" s="52"/>
      <c r="S543" s="19">
        <v>0.17500000000000002</v>
      </c>
    </row>
    <row r="544" spans="1:19" x14ac:dyDescent="0.2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N544" s="14"/>
      <c r="O544" s="14"/>
      <c r="P544" s="14"/>
      <c r="Q544" s="14"/>
      <c r="R544" s="52"/>
      <c r="S544" s="19">
        <v>4.5833333333333337E-2</v>
      </c>
    </row>
    <row r="545" spans="1:19" x14ac:dyDescent="0.2">
      <c r="A545" s="2">
        <v>1125</v>
      </c>
      <c r="D545" t="s">
        <v>721</v>
      </c>
      <c r="G545" s="2">
        <v>38.51</v>
      </c>
      <c r="N545" s="14"/>
      <c r="O545" s="14"/>
      <c r="P545" s="14"/>
      <c r="Q545" s="14"/>
      <c r="R545" s="52"/>
    </row>
    <row r="546" spans="1:19" x14ac:dyDescent="0.2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N546" s="14"/>
      <c r="O546" s="14">
        <v>55.55</v>
      </c>
      <c r="P546" s="14"/>
      <c r="Q546" s="14"/>
      <c r="R546" s="52"/>
      <c r="S546" s="19">
        <v>0.15902777777777777</v>
      </c>
    </row>
    <row r="547" spans="1:19" x14ac:dyDescent="0.2">
      <c r="D547" t="s">
        <v>1204</v>
      </c>
      <c r="G547" s="15"/>
      <c r="J547" s="15"/>
      <c r="N547" s="14"/>
      <c r="O547" s="14"/>
      <c r="P547" s="14"/>
      <c r="Q547" s="14"/>
      <c r="R547" s="52"/>
      <c r="S547" s="19"/>
    </row>
    <row r="548" spans="1:19" x14ac:dyDescent="0.2">
      <c r="D548" t="s">
        <v>1205</v>
      </c>
      <c r="G548" s="15"/>
      <c r="J548" s="15"/>
      <c r="N548" s="14"/>
      <c r="O548" s="14"/>
      <c r="P548" s="14"/>
      <c r="Q548" s="14"/>
      <c r="R548" s="52"/>
      <c r="S548" s="19"/>
    </row>
    <row r="549" spans="1:19" x14ac:dyDescent="0.2">
      <c r="A549" s="2">
        <v>1172</v>
      </c>
      <c r="D549" t="s">
        <v>814</v>
      </c>
      <c r="G549" s="2">
        <v>19.43</v>
      </c>
      <c r="N549" s="14"/>
      <c r="O549" s="14">
        <v>19.43</v>
      </c>
      <c r="P549" s="14"/>
      <c r="Q549" s="14"/>
      <c r="R549" s="52"/>
      <c r="S549" s="45" t="s">
        <v>815</v>
      </c>
    </row>
    <row r="550" spans="1:19" x14ac:dyDescent="0.2">
      <c r="D550" t="s">
        <v>1187</v>
      </c>
      <c r="N550" s="14"/>
      <c r="O550" s="14"/>
      <c r="P550" s="14"/>
      <c r="Q550" s="14"/>
      <c r="R550" s="52"/>
      <c r="S550" s="45"/>
    </row>
    <row r="551" spans="1:19" x14ac:dyDescent="0.2">
      <c r="A551" s="2">
        <v>1180</v>
      </c>
      <c r="D551" t="s">
        <v>668</v>
      </c>
      <c r="G551" s="2">
        <v>19.940000000000001</v>
      </c>
      <c r="N551" s="14"/>
      <c r="O551" s="14"/>
      <c r="P551" s="14"/>
      <c r="Q551" s="14"/>
      <c r="R551" s="52"/>
    </row>
    <row r="552" spans="1:19" x14ac:dyDescent="0.2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N552" s="14"/>
      <c r="O552" s="14">
        <v>46.71</v>
      </c>
      <c r="P552" s="14"/>
      <c r="Q552" s="14"/>
      <c r="R552" s="52"/>
      <c r="S552" s="19">
        <v>5.0694444444444452E-2</v>
      </c>
    </row>
    <row r="553" spans="1:19" x14ac:dyDescent="0.2">
      <c r="A553" s="2">
        <v>1256</v>
      </c>
      <c r="D553" t="s">
        <v>577</v>
      </c>
      <c r="G553" s="2">
        <v>97.66</v>
      </c>
      <c r="N553" s="14"/>
      <c r="O553" s="14"/>
      <c r="P553" s="14"/>
      <c r="Q553" s="14"/>
      <c r="R553" s="52"/>
    </row>
    <row r="554" spans="1:19" x14ac:dyDescent="0.2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N554" s="14"/>
      <c r="O554" s="14">
        <v>32.049999999999997</v>
      </c>
      <c r="P554" s="14"/>
      <c r="Q554" s="14"/>
      <c r="R554" s="52"/>
      <c r="S554" s="19">
        <v>0.11944444444444445</v>
      </c>
    </row>
    <row r="555" spans="1:19" x14ac:dyDescent="0.2">
      <c r="A555" s="2">
        <v>1315</v>
      </c>
      <c r="D555" t="s">
        <v>729</v>
      </c>
      <c r="G555" s="2">
        <v>23.57</v>
      </c>
      <c r="N555" s="14"/>
      <c r="O555" s="14"/>
      <c r="P555" s="14"/>
      <c r="Q555" s="14"/>
      <c r="R555" s="52"/>
    </row>
    <row r="556" spans="1:19" x14ac:dyDescent="0.2">
      <c r="A556" s="2">
        <v>1334</v>
      </c>
      <c r="D556" t="s">
        <v>651</v>
      </c>
      <c r="G556" s="2">
        <v>15.56</v>
      </c>
      <c r="N556" s="14"/>
      <c r="O556" s="14"/>
      <c r="P556" s="14"/>
      <c r="Q556" s="14"/>
      <c r="R556" s="52"/>
    </row>
    <row r="557" spans="1:19" x14ac:dyDescent="0.2">
      <c r="A557" s="2">
        <v>1353</v>
      </c>
      <c r="D557" t="s">
        <v>667</v>
      </c>
      <c r="G557" s="2">
        <v>24.04</v>
      </c>
      <c r="N557" s="14"/>
      <c r="O557" s="14"/>
      <c r="P557" s="14"/>
      <c r="Q557" s="14"/>
      <c r="R557" s="52"/>
    </row>
    <row r="558" spans="1:19" x14ac:dyDescent="0.2">
      <c r="A558" s="2">
        <v>1369</v>
      </c>
      <c r="D558" t="s">
        <v>659</v>
      </c>
      <c r="G558" s="2">
        <v>19.04</v>
      </c>
      <c r="N558" s="14"/>
      <c r="O558" s="14"/>
      <c r="P558" s="14"/>
      <c r="Q558" s="14"/>
      <c r="R558" s="52"/>
    </row>
    <row r="559" spans="1:19" x14ac:dyDescent="0.2">
      <c r="A559" s="2">
        <v>1385</v>
      </c>
      <c r="D559" t="s">
        <v>733</v>
      </c>
      <c r="G559" s="2">
        <v>28.49</v>
      </c>
      <c r="N559" s="14"/>
      <c r="O559" s="14"/>
      <c r="P559" s="14"/>
      <c r="Q559" s="14"/>
      <c r="R559" s="52"/>
    </row>
    <row r="560" spans="1:19" x14ac:dyDescent="0.2">
      <c r="D560" t="s">
        <v>1124</v>
      </c>
      <c r="N560" s="14"/>
      <c r="O560" s="14"/>
      <c r="P560" s="14"/>
      <c r="Q560" s="14"/>
      <c r="R560" s="52"/>
    </row>
    <row r="561" spans="1:27" x14ac:dyDescent="0.2">
      <c r="A561" s="2">
        <v>1413</v>
      </c>
      <c r="D561" t="s">
        <v>673</v>
      </c>
      <c r="E561" t="s">
        <v>5</v>
      </c>
      <c r="G561" s="2">
        <v>11.14</v>
      </c>
      <c r="N561" s="14"/>
      <c r="O561" s="14"/>
      <c r="P561" s="14"/>
      <c r="Q561" s="14"/>
      <c r="R561" s="52"/>
    </row>
    <row r="562" spans="1:27" x14ac:dyDescent="0.2">
      <c r="A562" s="2">
        <v>1442</v>
      </c>
      <c r="D562" t="s">
        <v>650</v>
      </c>
      <c r="G562" s="2">
        <v>15.9</v>
      </c>
      <c r="N562" s="14"/>
      <c r="O562" s="14"/>
      <c r="P562" s="14"/>
      <c r="Q562" s="14"/>
      <c r="R562" s="52"/>
    </row>
    <row r="563" spans="1:27" x14ac:dyDescent="0.2">
      <c r="A563" s="2">
        <v>1448</v>
      </c>
      <c r="D563" t="s">
        <v>731</v>
      </c>
      <c r="G563" s="2">
        <v>7.6420000000000003</v>
      </c>
      <c r="N563" s="14"/>
      <c r="O563" s="14"/>
      <c r="P563" s="14"/>
      <c r="Q563" s="14"/>
      <c r="R563" s="52"/>
    </row>
    <row r="564" spans="1:27" x14ac:dyDescent="0.2">
      <c r="D564" t="s">
        <v>972</v>
      </c>
      <c r="N564" s="14"/>
      <c r="O564" s="14"/>
      <c r="P564" s="14"/>
      <c r="Q564" s="14"/>
      <c r="R564" s="52"/>
    </row>
    <row r="565" spans="1:27" x14ac:dyDescent="0.2">
      <c r="A565" s="2">
        <v>1452</v>
      </c>
      <c r="D565" t="s">
        <v>656</v>
      </c>
      <c r="G565" s="2">
        <v>9.1170000000000009</v>
      </c>
      <c r="N565" s="14"/>
      <c r="O565" s="14"/>
      <c r="P565" s="14"/>
      <c r="Q565" s="14"/>
      <c r="R565" s="52"/>
    </row>
    <row r="566" spans="1:27" s="3" customFormat="1" x14ac:dyDescent="0.2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46"/>
      <c r="O566" s="46"/>
      <c r="P566" s="46"/>
      <c r="Q566" s="46"/>
      <c r="R566" s="53"/>
      <c r="Y566"/>
      <c r="Z566"/>
      <c r="AA566"/>
    </row>
    <row r="567" spans="1:27" x14ac:dyDescent="0.2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N567" s="14"/>
      <c r="O567" s="14"/>
      <c r="P567" s="14"/>
      <c r="Q567" s="14"/>
      <c r="R567" s="52"/>
      <c r="S567" s="20" t="s">
        <v>754</v>
      </c>
      <c r="Y567" s="3"/>
      <c r="Z567" s="3"/>
      <c r="AA567" s="3"/>
    </row>
    <row r="568" spans="1:27" x14ac:dyDescent="0.2">
      <c r="A568" s="2">
        <v>1551</v>
      </c>
      <c r="D568" t="s">
        <v>631</v>
      </c>
      <c r="G568" s="2">
        <v>11.8</v>
      </c>
      <c r="N568" s="14"/>
      <c r="O568" s="14"/>
      <c r="P568" s="14"/>
      <c r="Q568" s="14"/>
      <c r="R568" s="52"/>
    </row>
    <row r="569" spans="1:27" x14ac:dyDescent="0.2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N569" s="14"/>
      <c r="O569" s="14">
        <v>48.22</v>
      </c>
      <c r="P569" s="14"/>
      <c r="Q569" s="14"/>
      <c r="R569" s="52"/>
      <c r="S569" s="19">
        <v>0.25625000000000003</v>
      </c>
    </row>
    <row r="570" spans="1:27" x14ac:dyDescent="0.2">
      <c r="A570" s="2">
        <v>1609</v>
      </c>
      <c r="D570" t="s">
        <v>646</v>
      </c>
      <c r="G570" s="2">
        <v>14.72</v>
      </c>
      <c r="N570" s="14"/>
      <c r="O570" s="14"/>
      <c r="P570" s="14"/>
      <c r="Q570" s="14"/>
      <c r="R570" s="52"/>
    </row>
    <row r="571" spans="1:27" x14ac:dyDescent="0.2">
      <c r="A571" s="2">
        <v>1611</v>
      </c>
      <c r="D571" t="s">
        <v>669</v>
      </c>
      <c r="G571" s="2">
        <v>14.64</v>
      </c>
      <c r="N571" s="14"/>
      <c r="O571" s="14"/>
      <c r="P571" s="14"/>
      <c r="Q571" s="14"/>
      <c r="R571" s="52"/>
    </row>
    <row r="572" spans="1:27" x14ac:dyDescent="0.2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N572" s="14"/>
      <c r="O572" s="14"/>
      <c r="P572" s="14"/>
      <c r="Q572" s="14"/>
      <c r="R572" s="52"/>
      <c r="S572" s="19">
        <v>9.1666666666666674E-2</v>
      </c>
    </row>
    <row r="573" spans="1:27" x14ac:dyDescent="0.2">
      <c r="A573" s="2">
        <v>1652</v>
      </c>
      <c r="D573" t="s">
        <v>629</v>
      </c>
      <c r="G573" s="2">
        <v>17.239999999999998</v>
      </c>
      <c r="N573" s="14"/>
      <c r="O573" s="14"/>
      <c r="P573" s="14"/>
      <c r="Q573" s="14"/>
      <c r="R573" s="52"/>
    </row>
    <row r="574" spans="1:27" x14ac:dyDescent="0.2">
      <c r="A574" s="2">
        <v>1655</v>
      </c>
      <c r="D574" t="s">
        <v>649</v>
      </c>
      <c r="G574" s="2">
        <v>28.27</v>
      </c>
      <c r="N574" s="14"/>
      <c r="O574" s="14"/>
      <c r="P574" s="14"/>
      <c r="Q574" s="14"/>
      <c r="R574" s="52"/>
    </row>
    <row r="575" spans="1:27" x14ac:dyDescent="0.2">
      <c r="A575" s="2">
        <v>1669</v>
      </c>
      <c r="D575" t="s">
        <v>643</v>
      </c>
      <c r="G575" s="2">
        <v>52</v>
      </c>
      <c r="N575" s="14"/>
      <c r="O575" s="14"/>
      <c r="P575" s="14"/>
      <c r="Q575" s="14"/>
      <c r="R575" s="52"/>
    </row>
    <row r="576" spans="1:27" x14ac:dyDescent="0.2">
      <c r="A576" s="2">
        <v>1727</v>
      </c>
      <c r="D576" t="s">
        <v>734</v>
      </c>
      <c r="G576" s="2">
        <v>21.92</v>
      </c>
      <c r="N576" s="14"/>
      <c r="O576" s="14"/>
      <c r="P576" s="14"/>
      <c r="Q576" s="14"/>
      <c r="R576" s="52"/>
    </row>
    <row r="577" spans="1:27" x14ac:dyDescent="0.2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N577" s="14"/>
      <c r="O577" s="14">
        <v>8.484</v>
      </c>
      <c r="P577" s="14"/>
      <c r="Q577" s="14"/>
      <c r="R577" s="52"/>
      <c r="S577" s="22">
        <v>9.2361111111111116E-2</v>
      </c>
    </row>
    <row r="578" spans="1:27" x14ac:dyDescent="0.2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N578" s="14"/>
      <c r="O578" s="14">
        <v>16.22</v>
      </c>
      <c r="P578" s="14"/>
      <c r="Q578" s="14"/>
      <c r="R578" s="52"/>
      <c r="S578" s="19">
        <v>0.10069444444444443</v>
      </c>
    </row>
    <row r="579" spans="1:27" x14ac:dyDescent="0.2">
      <c r="A579" s="2">
        <v>1804</v>
      </c>
      <c r="D579" t="s">
        <v>594</v>
      </c>
      <c r="G579" s="2">
        <v>6.01</v>
      </c>
      <c r="N579" s="14"/>
      <c r="O579" s="14"/>
      <c r="P579" s="14"/>
      <c r="Q579" s="14"/>
      <c r="R579" s="52"/>
    </row>
    <row r="580" spans="1:27" x14ac:dyDescent="0.2">
      <c r="A580" s="2">
        <v>1829</v>
      </c>
      <c r="D580" t="s">
        <v>620</v>
      </c>
      <c r="E580" t="s">
        <v>622</v>
      </c>
      <c r="G580" s="2">
        <v>14.19</v>
      </c>
      <c r="N580" s="14"/>
      <c r="O580" s="14"/>
      <c r="P580" s="14"/>
      <c r="Q580" s="14"/>
      <c r="R580" s="52"/>
    </row>
    <row r="581" spans="1:27" x14ac:dyDescent="0.2">
      <c r="A581" s="2">
        <v>1857</v>
      </c>
      <c r="D581" t="s">
        <v>845</v>
      </c>
      <c r="G581" s="2">
        <v>25.69</v>
      </c>
      <c r="N581" s="14"/>
      <c r="O581" s="14">
        <v>25.69</v>
      </c>
      <c r="P581" s="14"/>
      <c r="Q581" s="14"/>
      <c r="R581" s="52"/>
      <c r="S581" s="19">
        <v>0.28194444444444444</v>
      </c>
    </row>
    <row r="582" spans="1:27" s="3" customFormat="1" x14ac:dyDescent="0.2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46"/>
      <c r="O582" s="46"/>
      <c r="P582" s="46"/>
      <c r="Q582" s="46"/>
      <c r="R582" s="53"/>
      <c r="S582" s="21" t="s">
        <v>753</v>
      </c>
      <c r="Y582"/>
      <c r="Z582"/>
      <c r="AA582"/>
    </row>
    <row r="583" spans="1:27" x14ac:dyDescent="0.2">
      <c r="D583" t="s">
        <v>1099</v>
      </c>
      <c r="N583" s="14"/>
      <c r="O583" s="14"/>
      <c r="P583" s="14"/>
      <c r="Q583" s="14"/>
      <c r="R583" s="52"/>
      <c r="Y583" s="3"/>
      <c r="Z583" s="3"/>
      <c r="AA583" s="3"/>
    </row>
    <row r="584" spans="1:27" x14ac:dyDescent="0.2">
      <c r="D584" t="s">
        <v>1167</v>
      </c>
      <c r="N584" s="14"/>
      <c r="O584" s="14"/>
      <c r="P584" s="14"/>
      <c r="Q584" s="14"/>
      <c r="R584" s="52"/>
    </row>
    <row r="585" spans="1:27" x14ac:dyDescent="0.2">
      <c r="D585" t="s">
        <v>1138</v>
      </c>
      <c r="N585" s="14"/>
      <c r="O585" s="14"/>
      <c r="P585" s="14"/>
      <c r="Q585" s="14"/>
      <c r="R585" s="52"/>
    </row>
    <row r="586" spans="1:27" x14ac:dyDescent="0.2">
      <c r="D586" t="s">
        <v>1168</v>
      </c>
      <c r="N586" s="14"/>
      <c r="O586" s="14"/>
      <c r="P586" s="14"/>
      <c r="Q586" s="14"/>
      <c r="R586" s="52"/>
    </row>
    <row r="587" spans="1:27" x14ac:dyDescent="0.2">
      <c r="D587" t="s">
        <v>1100</v>
      </c>
      <c r="N587" s="14"/>
      <c r="O587" s="14"/>
      <c r="P587" s="14"/>
      <c r="Q587" s="14"/>
      <c r="R587" s="52"/>
    </row>
    <row r="588" spans="1:27" x14ac:dyDescent="0.2">
      <c r="A588" s="2">
        <v>1890</v>
      </c>
      <c r="D588" t="s">
        <v>597</v>
      </c>
      <c r="G588" s="2">
        <v>13.39</v>
      </c>
      <c r="N588" s="14"/>
      <c r="O588" s="14"/>
      <c r="P588" s="14"/>
      <c r="Q588" s="14"/>
      <c r="R588" s="52"/>
    </row>
    <row r="589" spans="1:27" x14ac:dyDescent="0.2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N589" s="14"/>
      <c r="O589" s="14">
        <v>12.56</v>
      </c>
      <c r="P589" s="14"/>
      <c r="Q589" s="14"/>
      <c r="R589" s="52"/>
      <c r="S589" s="19">
        <v>0.14583333333333334</v>
      </c>
    </row>
    <row r="590" spans="1:27" x14ac:dyDescent="0.2">
      <c r="A590" s="2">
        <v>2015</v>
      </c>
      <c r="D590" t="s">
        <v>586</v>
      </c>
      <c r="G590" s="2">
        <v>10.199999999999999</v>
      </c>
      <c r="N590" s="14"/>
      <c r="O590" s="14"/>
      <c r="P590" s="14"/>
      <c r="Q590" s="14"/>
      <c r="R590" s="52"/>
    </row>
    <row r="591" spans="1:27" x14ac:dyDescent="0.2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N591" s="14"/>
      <c r="O591" s="14">
        <v>47.59</v>
      </c>
      <c r="P591" s="14"/>
      <c r="Q591" s="14"/>
      <c r="R591" s="52"/>
      <c r="S591" s="22">
        <v>7.1527777777777787E-2</v>
      </c>
    </row>
    <row r="592" spans="1:27" x14ac:dyDescent="0.2">
      <c r="D592" t="s">
        <v>1196</v>
      </c>
      <c r="G592" s="15"/>
      <c r="J592" s="15"/>
      <c r="N592" s="14"/>
      <c r="O592" s="14"/>
      <c r="P592" s="14"/>
      <c r="Q592" s="14"/>
      <c r="R592" s="52"/>
      <c r="S592" s="22"/>
    </row>
    <row r="593" spans="1:19" x14ac:dyDescent="0.2">
      <c r="A593" s="2">
        <v>2042</v>
      </c>
      <c r="D593" t="s">
        <v>652</v>
      </c>
      <c r="G593" s="2">
        <v>12.13</v>
      </c>
      <c r="N593" s="14"/>
      <c r="O593" s="14"/>
      <c r="P593" s="14"/>
      <c r="Q593" s="14"/>
      <c r="R593" s="52"/>
    </row>
    <row r="594" spans="1:19" x14ac:dyDescent="0.2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N594" s="14"/>
      <c r="O594" s="14">
        <v>7.875</v>
      </c>
      <c r="P594" s="14"/>
      <c r="Q594" s="14"/>
      <c r="R594" s="52"/>
      <c r="S594" s="19">
        <v>0.13055555555555556</v>
      </c>
    </row>
    <row r="595" spans="1:19" x14ac:dyDescent="0.2">
      <c r="A595" s="2">
        <v>2079</v>
      </c>
      <c r="D595" t="s">
        <v>610</v>
      </c>
      <c r="G595" s="2">
        <v>12.233000000000001</v>
      </c>
      <c r="N595" s="14"/>
      <c r="O595" s="14"/>
      <c r="P595" s="14"/>
      <c r="Q595" s="14"/>
      <c r="R595" s="52"/>
    </row>
    <row r="596" spans="1:19" x14ac:dyDescent="0.2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N596" s="14"/>
      <c r="O596" s="14"/>
      <c r="P596" s="14"/>
      <c r="Q596" s="14"/>
      <c r="R596" s="52"/>
    </row>
    <row r="597" spans="1:19" x14ac:dyDescent="0.2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N597" s="14"/>
      <c r="O597" s="14">
        <v>26.76</v>
      </c>
      <c r="P597" s="14"/>
      <c r="Q597" s="14"/>
      <c r="R597" s="52"/>
      <c r="S597" s="19">
        <v>0.15833333333333333</v>
      </c>
    </row>
    <row r="598" spans="1:19" x14ac:dyDescent="0.2">
      <c r="D598" t="s">
        <v>1157</v>
      </c>
      <c r="N598" s="14"/>
      <c r="O598" s="14"/>
      <c r="P598" s="14"/>
      <c r="Q598" s="14"/>
      <c r="R598" s="52"/>
      <c r="S598" s="19"/>
    </row>
    <row r="599" spans="1:19" x14ac:dyDescent="0.2">
      <c r="D599" t="s">
        <v>1158</v>
      </c>
      <c r="N599" s="14"/>
      <c r="O599" s="14"/>
      <c r="P599" s="14"/>
      <c r="Q599" s="14"/>
      <c r="R599" s="52"/>
      <c r="S599" s="19"/>
    </row>
    <row r="600" spans="1:19" x14ac:dyDescent="0.2">
      <c r="D600" t="s">
        <v>975</v>
      </c>
      <c r="N600" s="14"/>
      <c r="O600" s="14"/>
      <c r="P600" s="14"/>
      <c r="Q600" s="14"/>
      <c r="R600" s="52"/>
      <c r="S600" s="19"/>
    </row>
    <row r="601" spans="1:19" x14ac:dyDescent="0.2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N601" s="14"/>
      <c r="O601" s="14"/>
      <c r="P601" s="14"/>
      <c r="Q601" s="14"/>
      <c r="R601" s="52"/>
      <c r="S601" s="20" t="s">
        <v>752</v>
      </c>
    </row>
    <row r="602" spans="1:19" x14ac:dyDescent="0.2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N602" s="14"/>
      <c r="O602" s="14"/>
      <c r="P602" s="14"/>
      <c r="Q602" s="14"/>
      <c r="R602" s="52"/>
      <c r="S602" s="22">
        <v>0.16041666666666668</v>
      </c>
    </row>
    <row r="603" spans="1:19" x14ac:dyDescent="0.2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N603" s="14"/>
      <c r="O603" s="14">
        <v>8.2710000000000008</v>
      </c>
      <c r="P603" s="14"/>
      <c r="Q603" s="14"/>
      <c r="R603" s="52"/>
      <c r="S603" s="19">
        <v>0.3576388888888889</v>
      </c>
    </row>
    <row r="604" spans="1:19" x14ac:dyDescent="0.2">
      <c r="A604" s="2">
        <v>2226</v>
      </c>
      <c r="D604" t="s">
        <v>605</v>
      </c>
      <c r="G604" s="2">
        <v>4.218</v>
      </c>
      <c r="N604" s="14"/>
      <c r="O604" s="14"/>
      <c r="P604" s="14"/>
      <c r="Q604" s="14"/>
      <c r="R604" s="52"/>
    </row>
    <row r="605" spans="1:19" x14ac:dyDescent="0.2">
      <c r="D605" t="s">
        <v>976</v>
      </c>
      <c r="N605" s="14"/>
      <c r="O605" s="14"/>
      <c r="P605" s="14"/>
      <c r="Q605" s="14"/>
      <c r="R605" s="52"/>
    </row>
    <row r="606" spans="1:19" x14ac:dyDescent="0.2">
      <c r="A606" s="2">
        <v>2236</v>
      </c>
      <c r="D606" t="s">
        <v>665</v>
      </c>
      <c r="N606" s="14"/>
      <c r="O606" s="14"/>
      <c r="P606" s="14"/>
      <c r="Q606" s="14"/>
      <c r="R606" s="52"/>
    </row>
    <row r="607" spans="1:19" x14ac:dyDescent="0.2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N607" s="14"/>
      <c r="O607" s="14"/>
      <c r="P607" s="14"/>
      <c r="Q607" s="14"/>
      <c r="R607" s="52"/>
      <c r="S607" s="19">
        <v>4.6527777777777779E-2</v>
      </c>
    </row>
    <row r="608" spans="1:19" x14ac:dyDescent="0.2">
      <c r="A608" s="2">
        <v>2349</v>
      </c>
      <c r="D608" t="s">
        <v>725</v>
      </c>
      <c r="G608" s="2">
        <v>13.03</v>
      </c>
      <c r="N608" s="14"/>
      <c r="O608" s="14"/>
      <c r="P608" s="14"/>
      <c r="Q608" s="14"/>
      <c r="R608" s="52"/>
    </row>
    <row r="609" spans="1:19" x14ac:dyDescent="0.2">
      <c r="A609" s="2">
        <v>2463</v>
      </c>
      <c r="D609" t="s">
        <v>675</v>
      </c>
      <c r="G609" s="2">
        <v>10.17</v>
      </c>
      <c r="N609" s="14"/>
      <c r="O609" s="14"/>
      <c r="P609" s="14"/>
      <c r="Q609" s="14"/>
      <c r="R609" s="52"/>
    </row>
    <row r="610" spans="1:19" x14ac:dyDescent="0.2">
      <c r="D610" t="s">
        <v>1022</v>
      </c>
      <c r="N610" s="14"/>
      <c r="O610" s="14"/>
      <c r="P610" s="14"/>
      <c r="Q610" s="14"/>
      <c r="R610" s="52"/>
    </row>
    <row r="611" spans="1:19" x14ac:dyDescent="0.2">
      <c r="D611" t="s">
        <v>1023</v>
      </c>
      <c r="N611" s="14"/>
      <c r="O611" s="14"/>
      <c r="P611" s="14"/>
      <c r="Q611" s="14"/>
      <c r="R611" s="52"/>
    </row>
    <row r="612" spans="1:19" x14ac:dyDescent="0.2">
      <c r="D612" t="s">
        <v>1024</v>
      </c>
      <c r="N612" s="14"/>
      <c r="O612" s="14"/>
      <c r="P612" s="14"/>
      <c r="Q612" s="14"/>
      <c r="R612" s="52"/>
    </row>
    <row r="613" spans="1:19" x14ac:dyDescent="0.2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N613" s="14"/>
      <c r="O613" s="14"/>
      <c r="P613" s="14"/>
      <c r="Q613" s="14"/>
      <c r="R613" s="52"/>
      <c r="S613" s="19">
        <v>0.125</v>
      </c>
    </row>
    <row r="614" spans="1:19" x14ac:dyDescent="0.2">
      <c r="D614" t="s">
        <v>998</v>
      </c>
      <c r="N614" s="14"/>
      <c r="O614" s="14"/>
      <c r="P614" s="14"/>
      <c r="Q614" s="14"/>
      <c r="R614" s="52"/>
      <c r="S614" s="19"/>
    </row>
    <row r="615" spans="1:19" x14ac:dyDescent="0.2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N615" s="14"/>
      <c r="O615" s="14">
        <v>6.0490000000000004</v>
      </c>
      <c r="P615" s="14"/>
      <c r="Q615" s="14"/>
      <c r="R615" s="52"/>
      <c r="S615" s="19">
        <v>0.11319444444444444</v>
      </c>
    </row>
    <row r="616" spans="1:19" x14ac:dyDescent="0.2">
      <c r="A616" s="2">
        <v>2628</v>
      </c>
      <c r="D616" t="s">
        <v>573</v>
      </c>
      <c r="E616" t="s">
        <v>6</v>
      </c>
      <c r="N616" s="14"/>
      <c r="O616" s="14"/>
      <c r="P616" s="14"/>
      <c r="Q616" s="14"/>
      <c r="R616" s="52"/>
    </row>
    <row r="617" spans="1:19" x14ac:dyDescent="0.2">
      <c r="D617" t="s">
        <v>1188</v>
      </c>
      <c r="N617" s="14"/>
      <c r="O617" s="14"/>
      <c r="P617" s="14"/>
      <c r="Q617" s="14"/>
      <c r="R617" s="52"/>
    </row>
    <row r="618" spans="1:19" x14ac:dyDescent="0.2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N618" s="14"/>
      <c r="O618" s="14">
        <v>6.6059999999999999</v>
      </c>
      <c r="P618" s="14"/>
      <c r="Q618" s="14"/>
      <c r="R618" s="52"/>
      <c r="S618" s="19">
        <v>5.5555555555555552E-2</v>
      </c>
    </row>
    <row r="619" spans="1:19" x14ac:dyDescent="0.2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N619" s="14"/>
      <c r="O619" s="14">
        <v>8.8539999999999992</v>
      </c>
      <c r="P619" s="14"/>
      <c r="Q619" s="14"/>
      <c r="R619" s="52"/>
      <c r="S619" s="19">
        <v>0.22500000000000001</v>
      </c>
    </row>
    <row r="620" spans="1:19" x14ac:dyDescent="0.2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N620" s="14"/>
      <c r="O620" s="14">
        <v>21.17</v>
      </c>
      <c r="P620" s="14"/>
      <c r="Q620" s="14"/>
      <c r="R620" s="52"/>
      <c r="S620" s="19">
        <v>0.17916666666666667</v>
      </c>
    </row>
    <row r="621" spans="1:19" x14ac:dyDescent="0.2">
      <c r="D621" t="s">
        <v>1093</v>
      </c>
      <c r="G621" s="15"/>
      <c r="J621" s="15"/>
      <c r="N621" s="14"/>
      <c r="O621" s="14"/>
      <c r="P621" s="14"/>
      <c r="Q621" s="14"/>
      <c r="R621" s="52"/>
      <c r="S621" s="19"/>
    </row>
    <row r="622" spans="1:19" x14ac:dyDescent="0.2">
      <c r="D622" t="s">
        <v>1094</v>
      </c>
      <c r="G622" s="15"/>
      <c r="J622" s="15"/>
      <c r="N622" s="14"/>
      <c r="O622" s="14"/>
      <c r="P622" s="14"/>
      <c r="Q622" s="14"/>
      <c r="R622" s="52"/>
      <c r="S622" s="19"/>
    </row>
    <row r="623" spans="1:19" x14ac:dyDescent="0.2">
      <c r="A623" s="2">
        <v>2738</v>
      </c>
      <c r="D623" t="s">
        <v>664</v>
      </c>
      <c r="G623" s="2">
        <v>4.9560000000000004</v>
      </c>
      <c r="N623" s="14"/>
      <c r="O623" s="14"/>
      <c r="P623" s="14"/>
      <c r="Q623" s="14"/>
      <c r="R623" s="52"/>
    </row>
    <row r="624" spans="1:19" x14ac:dyDescent="0.2">
      <c r="D624" t="s">
        <v>1018</v>
      </c>
      <c r="N624" s="14"/>
      <c r="O624" s="14"/>
      <c r="P624" s="14"/>
      <c r="Q624" s="14"/>
      <c r="R624" s="52"/>
    </row>
    <row r="625" spans="1:19" x14ac:dyDescent="0.2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N625" s="14"/>
      <c r="O625" s="14">
        <v>4.9009999999999998</v>
      </c>
      <c r="P625" s="14"/>
      <c r="Q625" s="14"/>
      <c r="R625" s="52"/>
      <c r="S625" s="19">
        <v>0.10277777777777779</v>
      </c>
    </row>
    <row r="626" spans="1:19" x14ac:dyDescent="0.2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N626" s="14"/>
      <c r="O626" s="14">
        <v>29.52</v>
      </c>
      <c r="P626" s="14"/>
      <c r="Q626" s="14"/>
      <c r="R626" s="52"/>
      <c r="S626" s="19">
        <v>0.13472222222222222</v>
      </c>
    </row>
    <row r="627" spans="1:19" x14ac:dyDescent="0.2">
      <c r="A627" s="2">
        <v>2843</v>
      </c>
      <c r="D627" t="s">
        <v>638</v>
      </c>
      <c r="G627" s="2">
        <v>16.63</v>
      </c>
      <c r="N627" s="14"/>
      <c r="O627" s="14"/>
      <c r="P627" s="14"/>
      <c r="Q627" s="14"/>
      <c r="R627" s="52"/>
    </row>
    <row r="628" spans="1:19" x14ac:dyDescent="0.2">
      <c r="A628" s="2">
        <v>2870</v>
      </c>
      <c r="D628" t="s">
        <v>657</v>
      </c>
      <c r="G628" s="2">
        <v>4.1989999999999998</v>
      </c>
      <c r="N628" s="14"/>
      <c r="O628" s="14"/>
      <c r="P628" s="14"/>
      <c r="Q628" s="14"/>
      <c r="R628" s="52"/>
    </row>
    <row r="629" spans="1:19" x14ac:dyDescent="0.2">
      <c r="A629" s="2">
        <v>2912</v>
      </c>
      <c r="D629" t="s">
        <v>614</v>
      </c>
      <c r="G629" s="2">
        <v>6.2709999999999999</v>
      </c>
      <c r="N629" s="14"/>
      <c r="O629" s="14"/>
      <c r="P629" s="14"/>
      <c r="Q629" s="14"/>
      <c r="R629" s="52"/>
    </row>
    <row r="630" spans="1:19" x14ac:dyDescent="0.2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N630" s="14"/>
      <c r="O630" s="14">
        <v>7.2060000000000004</v>
      </c>
      <c r="P630" s="14"/>
      <c r="Q630" s="14"/>
      <c r="R630" s="52"/>
      <c r="S630" s="19">
        <v>3.888888888888889E-2</v>
      </c>
    </row>
    <row r="631" spans="1:19" x14ac:dyDescent="0.2">
      <c r="A631" s="2">
        <v>2917</v>
      </c>
      <c r="D631" t="s">
        <v>670</v>
      </c>
      <c r="N631" s="14"/>
      <c r="O631" s="14"/>
      <c r="P631" s="14"/>
      <c r="Q631" s="14"/>
      <c r="R631" s="52"/>
    </row>
    <row r="632" spans="1:19" x14ac:dyDescent="0.2">
      <c r="A632" s="2">
        <v>2935</v>
      </c>
      <c r="D632" t="s">
        <v>827</v>
      </c>
      <c r="G632" s="2">
        <v>4.1040000000000001</v>
      </c>
      <c r="N632" s="14"/>
      <c r="O632" s="14">
        <v>4.1040000000000001</v>
      </c>
      <c r="P632" s="14"/>
      <c r="Q632" s="14"/>
      <c r="R632" s="52"/>
      <c r="S632" s="19">
        <v>0.13541666666666666</v>
      </c>
    </row>
    <row r="633" spans="1:19" x14ac:dyDescent="0.2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N633" s="14"/>
      <c r="O633" s="14">
        <v>17.18</v>
      </c>
      <c r="P633" s="14"/>
      <c r="Q633" s="14"/>
      <c r="R633" s="52"/>
      <c r="S633" s="19">
        <v>0.10555555555555556</v>
      </c>
    </row>
    <row r="634" spans="1:19" x14ac:dyDescent="0.2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N634" s="14"/>
      <c r="O634" s="14">
        <v>21.35</v>
      </c>
      <c r="P634" s="14"/>
      <c r="Q634" s="14"/>
      <c r="R634" s="52"/>
      <c r="S634" s="19">
        <v>0.12361111111111112</v>
      </c>
    </row>
    <row r="635" spans="1:19" x14ac:dyDescent="0.2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N635" s="14"/>
      <c r="O635" s="14">
        <v>42.88</v>
      </c>
      <c r="P635" s="14"/>
      <c r="Q635" s="14"/>
      <c r="R635" s="52"/>
      <c r="S635" s="19">
        <v>0.17500000000000002</v>
      </c>
    </row>
    <row r="636" spans="1:19" x14ac:dyDescent="0.2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N636" s="14"/>
      <c r="O636" s="14">
        <v>12.89</v>
      </c>
      <c r="P636" s="14"/>
      <c r="Q636" s="14"/>
      <c r="R636" s="52"/>
      <c r="S636" s="19">
        <v>9.9999999999999992E-2</v>
      </c>
    </row>
    <row r="637" spans="1:19" x14ac:dyDescent="0.2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N637" s="14"/>
      <c r="O637" s="14"/>
      <c r="P637" s="14"/>
      <c r="Q637" s="14"/>
      <c r="R637" s="52"/>
      <c r="S637" s="20" t="s">
        <v>751</v>
      </c>
    </row>
    <row r="638" spans="1:19" x14ac:dyDescent="0.2">
      <c r="A638" s="2">
        <v>3107</v>
      </c>
      <c r="D638" t="s">
        <v>727</v>
      </c>
      <c r="G638" s="2">
        <v>10.51</v>
      </c>
      <c r="N638" s="14"/>
      <c r="O638" s="14"/>
      <c r="P638" s="14"/>
      <c r="Q638" s="14"/>
      <c r="R638" s="52"/>
    </row>
    <row r="639" spans="1:19" x14ac:dyDescent="0.2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N639" s="14"/>
      <c r="O639" s="14">
        <v>31.26</v>
      </c>
      <c r="P639" s="14"/>
      <c r="Q639" s="14"/>
      <c r="R639" s="52"/>
      <c r="S639" s="19">
        <v>0.21041666666666667</v>
      </c>
    </row>
    <row r="640" spans="1:19" x14ac:dyDescent="0.2">
      <c r="A640" s="2">
        <v>3330</v>
      </c>
      <c r="D640" t="s">
        <v>634</v>
      </c>
      <c r="G640" s="2">
        <v>15.97</v>
      </c>
      <c r="N640" s="14"/>
      <c r="O640" s="14"/>
      <c r="P640" s="14"/>
      <c r="Q640" s="14"/>
      <c r="R640" s="52"/>
    </row>
    <row r="641" spans="1:19" x14ac:dyDescent="0.2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N641" s="14"/>
      <c r="O641" s="14">
        <v>41.26</v>
      </c>
      <c r="P641" s="14"/>
      <c r="Q641" s="14"/>
      <c r="R641" s="52"/>
      <c r="S641" s="19">
        <v>0.3125</v>
      </c>
    </row>
    <row r="642" spans="1:19" x14ac:dyDescent="0.2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4"/>
      <c r="O642" s="14">
        <v>6.64</v>
      </c>
      <c r="P642" s="14"/>
      <c r="Q642" s="14"/>
      <c r="R642" s="52"/>
      <c r="S642" s="19">
        <v>0.15</v>
      </c>
    </row>
    <row r="643" spans="1:19" x14ac:dyDescent="0.2">
      <c r="A643" s="2">
        <v>3616</v>
      </c>
      <c r="D643" t="s">
        <v>653</v>
      </c>
      <c r="G643" s="2">
        <v>22.9</v>
      </c>
      <c r="N643" s="14"/>
      <c r="O643" s="14"/>
      <c r="P643" s="14"/>
      <c r="Q643" s="14"/>
      <c r="R643" s="52"/>
    </row>
    <row r="644" spans="1:19" x14ac:dyDescent="0.2">
      <c r="A644" s="2">
        <v>3637</v>
      </c>
      <c r="D644" t="s">
        <v>589</v>
      </c>
      <c r="N644" s="14"/>
      <c r="O644" s="14"/>
      <c r="P644" s="14"/>
      <c r="Q644" s="14"/>
      <c r="R644" s="52"/>
    </row>
    <row r="645" spans="1:19" x14ac:dyDescent="0.2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N645" s="14"/>
      <c r="O645" s="14">
        <v>18.670000000000002</v>
      </c>
      <c r="P645" s="14"/>
      <c r="Q645" s="14"/>
      <c r="R645" s="52"/>
      <c r="S645" s="19">
        <v>0.1111111111111111</v>
      </c>
    </row>
    <row r="646" spans="1:19" x14ac:dyDescent="0.2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N646" s="14"/>
      <c r="O646" s="14">
        <v>15.57</v>
      </c>
      <c r="P646" s="14"/>
      <c r="Q646" s="14"/>
      <c r="R646" s="52"/>
      <c r="S646" s="19">
        <v>0.12986111111111112</v>
      </c>
    </row>
    <row r="647" spans="1:19" x14ac:dyDescent="0.2">
      <c r="A647" s="2">
        <v>3747</v>
      </c>
      <c r="D647" t="s">
        <v>655</v>
      </c>
      <c r="G647" s="2">
        <v>5.5439999999999996</v>
      </c>
      <c r="N647" s="14"/>
      <c r="O647" s="14"/>
      <c r="P647" s="14"/>
      <c r="Q647" s="14"/>
      <c r="R647" s="52"/>
    </row>
    <row r="648" spans="1:19" x14ac:dyDescent="0.2">
      <c r="D648" t="s">
        <v>1067</v>
      </c>
      <c r="N648" s="14"/>
      <c r="O648" s="14"/>
      <c r="P648" s="14"/>
      <c r="Q648" s="14"/>
      <c r="R648" s="52"/>
    </row>
    <row r="649" spans="1:19" x14ac:dyDescent="0.2">
      <c r="D649" t="s">
        <v>1216</v>
      </c>
      <c r="N649" s="14"/>
      <c r="O649" s="14"/>
      <c r="P649" s="14"/>
      <c r="Q649" s="14"/>
      <c r="R649" s="52"/>
    </row>
    <row r="650" spans="1:19" x14ac:dyDescent="0.2">
      <c r="D650" t="s">
        <v>1217</v>
      </c>
      <c r="N650" s="14"/>
      <c r="O650" s="14"/>
      <c r="P650" s="14"/>
      <c r="Q650" s="14"/>
      <c r="R650" s="52"/>
    </row>
    <row r="651" spans="1:19" x14ac:dyDescent="0.2">
      <c r="D651" t="s">
        <v>1218</v>
      </c>
      <c r="N651" s="14"/>
      <c r="O651" s="14"/>
      <c r="P651" s="14"/>
      <c r="Q651" s="14"/>
      <c r="R651" s="52"/>
    </row>
    <row r="652" spans="1:19" x14ac:dyDescent="0.2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N652" s="14"/>
      <c r="O652" s="14">
        <v>20.74</v>
      </c>
      <c r="P652" s="14"/>
      <c r="Q652" s="14"/>
      <c r="R652" s="52"/>
      <c r="S652" s="19">
        <v>0.17500000000000002</v>
      </c>
    </row>
    <row r="653" spans="1:19" x14ac:dyDescent="0.2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N653" s="14"/>
      <c r="O653" s="14">
        <v>5.085</v>
      </c>
      <c r="P653" s="14"/>
      <c r="Q653" s="14"/>
      <c r="R653" s="52"/>
      <c r="S653" s="19">
        <v>0.35902777777777778</v>
      </c>
    </row>
    <row r="654" spans="1:19" x14ac:dyDescent="0.2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N654" s="14"/>
      <c r="O654" s="14">
        <v>19.2</v>
      </c>
      <c r="P654" s="14"/>
      <c r="Q654" s="14"/>
      <c r="R654" s="52"/>
      <c r="S654" s="19">
        <v>0.38194444444444442</v>
      </c>
    </row>
    <row r="655" spans="1:19" x14ac:dyDescent="0.2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N655" s="14"/>
      <c r="O655" s="14">
        <v>2.6480000000000001</v>
      </c>
      <c r="P655" s="14"/>
      <c r="Q655" s="14"/>
      <c r="R655" s="52"/>
      <c r="S655" s="22">
        <v>0.31736111111111115</v>
      </c>
    </row>
    <row r="656" spans="1:19" x14ac:dyDescent="0.2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N656" s="14"/>
      <c r="O656" s="14">
        <v>2.645</v>
      </c>
      <c r="P656" s="14"/>
      <c r="Q656" s="14"/>
      <c r="R656" s="52"/>
      <c r="S656" s="19">
        <v>0.31736111111111115</v>
      </c>
    </row>
    <row r="657" spans="1:27" x14ac:dyDescent="0.2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N657" s="14"/>
      <c r="O657" s="14">
        <v>21.07</v>
      </c>
      <c r="P657" s="14"/>
      <c r="Q657" s="14"/>
      <c r="R657" s="52"/>
      <c r="S657" s="19">
        <v>0.33333333333333331</v>
      </c>
    </row>
    <row r="658" spans="1:27" x14ac:dyDescent="0.2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N658" s="14"/>
      <c r="O658" s="14">
        <v>7.0010000000000003</v>
      </c>
      <c r="P658" s="14"/>
      <c r="Q658" s="14"/>
      <c r="R658" s="52"/>
      <c r="S658" s="19">
        <v>3.6111111111111115E-2</v>
      </c>
    </row>
    <row r="659" spans="1:27" x14ac:dyDescent="0.2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N659" s="14"/>
      <c r="O659" s="14">
        <v>4.2469999999999999</v>
      </c>
      <c r="P659" s="14"/>
      <c r="Q659" s="14"/>
      <c r="R659" s="52"/>
      <c r="S659" s="22">
        <v>0.27152777777777776</v>
      </c>
    </row>
    <row r="660" spans="1:27" x14ac:dyDescent="0.2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N660" s="14"/>
      <c r="O660" s="14">
        <v>11.35</v>
      </c>
      <c r="P660" s="14"/>
      <c r="Q660" s="14"/>
      <c r="R660" s="52"/>
      <c r="S660" s="19">
        <v>0.20277777777777781</v>
      </c>
    </row>
    <row r="661" spans="1:27" x14ac:dyDescent="0.2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N661" s="14"/>
      <c r="O661" s="14">
        <v>13.09</v>
      </c>
      <c r="P661" s="14"/>
      <c r="Q661" s="14"/>
      <c r="R661" s="52"/>
      <c r="S661" s="19">
        <v>0.10972222222222222</v>
      </c>
    </row>
    <row r="662" spans="1:27" x14ac:dyDescent="0.2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N662" s="14"/>
      <c r="O662" s="14">
        <v>24.74</v>
      </c>
      <c r="P662" s="14"/>
      <c r="Q662" s="14"/>
      <c r="R662" s="52"/>
      <c r="S662" s="19">
        <v>0.21944444444444444</v>
      </c>
    </row>
    <row r="663" spans="1:27" x14ac:dyDescent="0.2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N663" s="14"/>
      <c r="O663" s="14">
        <v>22.43</v>
      </c>
      <c r="P663" s="14"/>
      <c r="Q663" s="14"/>
      <c r="R663" s="52"/>
      <c r="S663" s="19">
        <v>0.13333333333333333</v>
      </c>
    </row>
    <row r="664" spans="1:27" x14ac:dyDescent="0.2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N664" s="14"/>
      <c r="O664" s="14">
        <v>19.38</v>
      </c>
      <c r="P664" s="14"/>
      <c r="Q664" s="14"/>
      <c r="R664" s="52"/>
      <c r="S664" s="22">
        <v>9.6527777777777768E-2</v>
      </c>
    </row>
    <row r="665" spans="1:27" s="3" customFormat="1" x14ac:dyDescent="0.2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46"/>
      <c r="O665" s="46">
        <v>6.3339999999999996</v>
      </c>
      <c r="P665" s="46"/>
      <c r="Q665" s="46"/>
      <c r="R665" s="53"/>
      <c r="S665" s="23">
        <v>0.1361111111111111</v>
      </c>
      <c r="Y665"/>
      <c r="Z665"/>
      <c r="AA665"/>
    </row>
    <row r="666" spans="1:27" x14ac:dyDescent="0.2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N666" s="14"/>
      <c r="O666" s="14">
        <v>5.6760000000000002</v>
      </c>
      <c r="P666" s="14"/>
      <c r="Q666" s="14"/>
      <c r="R666" s="52"/>
      <c r="S666" s="19">
        <v>5.0694444444444452E-2</v>
      </c>
      <c r="Y666" s="3"/>
      <c r="Z666" s="3"/>
      <c r="AA666" s="3"/>
    </row>
    <row r="667" spans="1:27" x14ac:dyDescent="0.2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N667" s="14"/>
      <c r="O667" s="14">
        <v>5.8659999999999997</v>
      </c>
      <c r="P667" s="14"/>
      <c r="Q667" s="14"/>
      <c r="R667" s="52"/>
      <c r="S667" s="19">
        <v>2.9861111111111113E-2</v>
      </c>
    </row>
    <row r="668" spans="1:27" x14ac:dyDescent="0.2">
      <c r="A668" s="2">
        <v>5070</v>
      </c>
      <c r="B668" s="2">
        <v>5070</v>
      </c>
      <c r="C668" s="2">
        <v>8828</v>
      </c>
      <c r="D668" t="s">
        <v>828</v>
      </c>
      <c r="G668" s="14">
        <v>4.9059999999999997</v>
      </c>
      <c r="N668" s="14"/>
      <c r="O668" s="14">
        <v>4.9059999999999997</v>
      </c>
      <c r="P668" s="14"/>
      <c r="Q668" s="14"/>
      <c r="R668" s="52"/>
      <c r="S668" s="19">
        <v>0.6</v>
      </c>
    </row>
    <row r="669" spans="1:27" x14ac:dyDescent="0.2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N669" s="14"/>
      <c r="O669" s="14">
        <v>12.54</v>
      </c>
      <c r="P669" s="14"/>
      <c r="Q669" s="14"/>
      <c r="R669" s="52"/>
      <c r="S669" s="19">
        <v>0.27916666666666667</v>
      </c>
    </row>
    <row r="670" spans="1:27" x14ac:dyDescent="0.2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N670" s="14"/>
      <c r="O670" s="14">
        <v>17.43</v>
      </c>
      <c r="P670" s="14"/>
      <c r="Q670" s="14"/>
      <c r="R670" s="52"/>
      <c r="S670" s="19">
        <v>0.14305555555555557</v>
      </c>
    </row>
    <row r="671" spans="1:27" x14ac:dyDescent="0.2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N671" s="14"/>
      <c r="O671" s="14">
        <v>5.7850000000000001</v>
      </c>
      <c r="P671" s="14"/>
      <c r="Q671" s="14"/>
      <c r="R671" s="52"/>
      <c r="S671" s="23">
        <v>0.15694444444444444</v>
      </c>
    </row>
    <row r="672" spans="1:27" x14ac:dyDescent="0.2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N672" s="14"/>
      <c r="O672" s="14">
        <v>10.48</v>
      </c>
      <c r="P672" s="14"/>
      <c r="Q672" s="14"/>
      <c r="R672" s="52"/>
      <c r="S672" s="19">
        <v>0.12569444444444444</v>
      </c>
    </row>
    <row r="673" spans="1:27" x14ac:dyDescent="0.2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N673" s="14"/>
      <c r="O673" s="14">
        <v>7.12</v>
      </c>
      <c r="P673" s="14"/>
      <c r="Q673" s="14"/>
      <c r="R673" s="52"/>
      <c r="S673" s="19">
        <v>5.8333333333333327E-2</v>
      </c>
    </row>
    <row r="674" spans="1:27" x14ac:dyDescent="0.2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N674" s="14"/>
      <c r="O674" s="14">
        <v>7.3879999999999999</v>
      </c>
      <c r="P674" s="14"/>
      <c r="Q674" s="14"/>
      <c r="R674" s="52"/>
      <c r="S674" s="19">
        <v>0.14375000000000002</v>
      </c>
    </row>
    <row r="675" spans="1:27" x14ac:dyDescent="0.2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N675" s="14"/>
      <c r="O675" s="14">
        <v>5.7910000000000004</v>
      </c>
      <c r="P675" s="14"/>
      <c r="Q675" s="14"/>
      <c r="R675" s="52"/>
      <c r="S675" s="22">
        <v>3.7499999999999999E-2</v>
      </c>
    </row>
    <row r="676" spans="1:27" x14ac:dyDescent="0.2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N676" s="14"/>
      <c r="O676" s="14">
        <v>2.5379999999999998</v>
      </c>
      <c r="P676" s="14"/>
      <c r="Q676" s="14"/>
      <c r="R676" s="52"/>
      <c r="S676" s="22">
        <v>0.1451388888888889</v>
      </c>
    </row>
    <row r="677" spans="1:27" s="3" customFormat="1" x14ac:dyDescent="0.2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46"/>
      <c r="O677" s="46">
        <v>4.1509999999999998</v>
      </c>
      <c r="P677" s="46"/>
      <c r="Q677" s="46"/>
      <c r="R677" s="53"/>
      <c r="S677" s="23">
        <v>0.20416666666666669</v>
      </c>
      <c r="Y677"/>
      <c r="Z677"/>
      <c r="AA677"/>
    </row>
    <row r="678" spans="1:27" x14ac:dyDescent="0.2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N678" s="14"/>
      <c r="O678" s="14">
        <v>14.64</v>
      </c>
      <c r="P678" s="14"/>
      <c r="Q678" s="14"/>
      <c r="R678" s="52"/>
      <c r="S678" s="19">
        <v>0.79166666666666663</v>
      </c>
      <c r="Y678" s="3"/>
      <c r="Z678" s="3"/>
      <c r="AA678" s="3"/>
    </row>
    <row r="679" spans="1:27" x14ac:dyDescent="0.2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N679" s="14"/>
      <c r="O679" s="14">
        <v>8.4960000000000004</v>
      </c>
      <c r="P679" s="14"/>
      <c r="Q679" s="14"/>
      <c r="R679" s="52"/>
      <c r="S679" s="19">
        <v>0.23750000000000002</v>
      </c>
    </row>
    <row r="680" spans="1:27" x14ac:dyDescent="0.2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N680" s="14"/>
      <c r="O680" s="14">
        <v>1.9330000000000001</v>
      </c>
      <c r="P680" s="14"/>
      <c r="Q680" s="14"/>
      <c r="R680" s="52"/>
      <c r="S680" s="22">
        <v>0.62361111111111112</v>
      </c>
    </row>
    <row r="681" spans="1:27" x14ac:dyDescent="0.2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N681" s="14"/>
      <c r="O681" s="14">
        <v>5.5259999999999998</v>
      </c>
      <c r="P681" s="14"/>
      <c r="Q681" s="14"/>
      <c r="R681" s="52"/>
      <c r="S681" s="19">
        <v>0.12291666666666667</v>
      </c>
    </row>
    <row r="682" spans="1:27" x14ac:dyDescent="0.2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N682" s="14"/>
      <c r="O682" s="14">
        <v>4.8769999999999998</v>
      </c>
      <c r="P682" s="14"/>
      <c r="Q682" s="14"/>
      <c r="R682" s="52"/>
      <c r="S682" s="19">
        <v>3.4722222222222224E-2</v>
      </c>
    </row>
    <row r="683" spans="1:27" x14ac:dyDescent="0.2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N683" s="14"/>
      <c r="O683" s="14">
        <v>6.74</v>
      </c>
      <c r="P683" s="14"/>
      <c r="Q683" s="14"/>
      <c r="R683" s="52"/>
      <c r="S683" s="19">
        <v>0.3430555555555555</v>
      </c>
    </row>
    <row r="684" spans="1:27" x14ac:dyDescent="0.2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N684" s="14"/>
      <c r="O684" s="14">
        <v>1.81</v>
      </c>
      <c r="P684" s="14"/>
      <c r="Q684" s="14"/>
      <c r="R684" s="52"/>
      <c r="S684" s="19">
        <v>0.23750000000000002</v>
      </c>
    </row>
    <row r="685" spans="1:27" x14ac:dyDescent="0.2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N685" s="14"/>
      <c r="O685" s="14">
        <v>6.1139999999999999</v>
      </c>
      <c r="P685" s="14"/>
      <c r="Q685" s="14"/>
      <c r="R685" s="52"/>
      <c r="S685" s="19">
        <v>0.17291666666666669</v>
      </c>
    </row>
    <row r="686" spans="1:27" x14ac:dyDescent="0.2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N686" s="14"/>
      <c r="O686" s="14">
        <v>13.84</v>
      </c>
      <c r="P686" s="14"/>
      <c r="Q686" s="14"/>
      <c r="R686" s="52"/>
      <c r="S686" s="19">
        <v>0.39861111111111108</v>
      </c>
    </row>
    <row r="687" spans="1:27" x14ac:dyDescent="0.2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N687" s="14"/>
      <c r="O687" s="14">
        <v>2.931</v>
      </c>
      <c r="P687" s="14"/>
      <c r="Q687" s="14"/>
      <c r="R687" s="52"/>
      <c r="S687" s="23">
        <v>0.47291666666666665</v>
      </c>
    </row>
    <row r="688" spans="1:27" x14ac:dyDescent="0.2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N688" s="14"/>
      <c r="O688" s="14">
        <v>16.399999999999999</v>
      </c>
      <c r="P688" s="14"/>
      <c r="Q688" s="14"/>
      <c r="R688" s="52"/>
      <c r="S688" s="19">
        <v>0.14444444444444446</v>
      </c>
    </row>
    <row r="689" spans="1:19" x14ac:dyDescent="0.2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46"/>
      <c r="O689" s="46">
        <v>4.806</v>
      </c>
      <c r="P689" s="46"/>
      <c r="Q689" s="46"/>
      <c r="R689" s="53"/>
      <c r="S689" s="19">
        <v>6.5972222222222224E-2</v>
      </c>
    </row>
    <row r="690" spans="1:19" x14ac:dyDescent="0.2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N690" s="14"/>
      <c r="O690" s="14">
        <v>16.55</v>
      </c>
      <c r="P690" s="14"/>
      <c r="Q690" s="14"/>
      <c r="R690" s="52"/>
      <c r="S690" s="19">
        <v>0.125</v>
      </c>
    </row>
    <row r="691" spans="1:19" x14ac:dyDescent="0.2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N691" s="14"/>
      <c r="O691" s="14">
        <v>4.827</v>
      </c>
      <c r="P691" s="14"/>
      <c r="Q691" s="14"/>
      <c r="R691" s="52"/>
      <c r="S691" s="22">
        <v>0.21527777777777779</v>
      </c>
    </row>
    <row r="692" spans="1:19" x14ac:dyDescent="0.2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N692" s="14"/>
      <c r="O692" s="14">
        <v>2.6560000000000001</v>
      </c>
      <c r="P692" s="14"/>
      <c r="Q692" s="14"/>
      <c r="R692" s="52"/>
      <c r="S692" s="19">
        <v>9.375E-2</v>
      </c>
    </row>
    <row r="693" spans="1:19" x14ac:dyDescent="0.2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N693" s="14"/>
      <c r="O693" s="14">
        <v>1.8029999999999999</v>
      </c>
      <c r="P693" s="14"/>
      <c r="Q693" s="14"/>
      <c r="R693" s="52"/>
      <c r="S693" s="19">
        <v>9.7222222222222224E-2</v>
      </c>
    </row>
    <row r="694" spans="1:19" x14ac:dyDescent="0.2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N694" s="14"/>
      <c r="O694" s="14">
        <v>3.855</v>
      </c>
      <c r="P694" s="14"/>
      <c r="Q694" s="14"/>
      <c r="R694" s="52"/>
      <c r="S694" s="19">
        <v>0.26458333333333334</v>
      </c>
    </row>
    <row r="695" spans="1:19" x14ac:dyDescent="0.2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N695" s="14"/>
      <c r="O695" s="14">
        <v>51.9</v>
      </c>
      <c r="P695" s="14"/>
      <c r="Q695" s="14"/>
      <c r="R695" s="52"/>
      <c r="S695" s="19">
        <v>0.38125000000000003</v>
      </c>
    </row>
    <row r="696" spans="1:19" x14ac:dyDescent="0.2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N696" s="14"/>
      <c r="O696" s="14">
        <v>15.51</v>
      </c>
      <c r="P696" s="14"/>
      <c r="Q696" s="14"/>
      <c r="R696" s="52"/>
      <c r="S696" s="22">
        <v>0.10555555555555556</v>
      </c>
    </row>
    <row r="697" spans="1:19" x14ac:dyDescent="0.2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N697" s="14"/>
      <c r="O697" s="14">
        <v>34.51</v>
      </c>
      <c r="P697" s="14"/>
      <c r="Q697" s="14"/>
      <c r="R697" s="52"/>
      <c r="S697" s="19">
        <v>0.18124999999999999</v>
      </c>
    </row>
    <row r="698" spans="1:19" x14ac:dyDescent="0.2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N698" s="14"/>
      <c r="O698" s="14">
        <v>7.726</v>
      </c>
      <c r="P698" s="14"/>
      <c r="Q698" s="14"/>
      <c r="R698" s="52"/>
      <c r="S698" s="19">
        <v>0.1451388888888889</v>
      </c>
    </row>
    <row r="699" spans="1:19" x14ac:dyDescent="0.2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N699" s="14"/>
      <c r="O699" s="14">
        <v>10.01</v>
      </c>
      <c r="P699" s="14"/>
      <c r="Q699" s="14"/>
      <c r="R699" s="52"/>
      <c r="S699" s="19">
        <v>8.2638888888888887E-2</v>
      </c>
    </row>
    <row r="700" spans="1:19" x14ac:dyDescent="0.2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N700" s="14"/>
      <c r="O700" s="14">
        <v>2.669</v>
      </c>
      <c r="P700" s="14"/>
      <c r="Q700" s="14"/>
      <c r="R700" s="52"/>
      <c r="S700" s="19">
        <v>4.5833333333333337E-2</v>
      </c>
    </row>
    <row r="701" spans="1:19" x14ac:dyDescent="0.2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N701" s="14"/>
      <c r="O701" s="14">
        <v>3.1070000000000002</v>
      </c>
      <c r="P701" s="14"/>
      <c r="Q701" s="14"/>
      <c r="R701" s="52"/>
      <c r="S701" s="19">
        <v>0.12986111111111112</v>
      </c>
    </row>
    <row r="702" spans="1:19" x14ac:dyDescent="0.2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N702" s="14"/>
      <c r="O702" s="14">
        <v>2.5379999999999998</v>
      </c>
      <c r="P702" s="14"/>
      <c r="Q702" s="14"/>
      <c r="R702" s="52"/>
      <c r="S702" s="19">
        <v>6.1805555555555558E-2</v>
      </c>
    </row>
    <row r="703" spans="1:19" x14ac:dyDescent="0.2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N703" s="14"/>
      <c r="O703" s="14">
        <v>6.0330000000000004</v>
      </c>
      <c r="P703" s="14"/>
      <c r="Q703" s="14"/>
      <c r="R703" s="52"/>
      <c r="S703" s="19">
        <v>0.1111111111111111</v>
      </c>
    </row>
    <row r="704" spans="1:19" x14ac:dyDescent="0.2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N704" s="14"/>
      <c r="O704" s="14">
        <v>12</v>
      </c>
      <c r="P704" s="14"/>
      <c r="Q704" s="14"/>
      <c r="R704" s="52"/>
      <c r="S704" s="22">
        <v>0.13263888888888889</v>
      </c>
    </row>
    <row r="705" spans="1:27" x14ac:dyDescent="0.2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N705" s="14"/>
      <c r="O705" s="14">
        <v>7.4489999999999998</v>
      </c>
      <c r="P705" s="14"/>
      <c r="Q705" s="14"/>
      <c r="R705" s="52"/>
      <c r="S705" s="19">
        <v>0.3527777777777778</v>
      </c>
    </row>
    <row r="706" spans="1:27" x14ac:dyDescent="0.2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N706" s="14"/>
      <c r="O706" s="14">
        <v>3.7810000000000001</v>
      </c>
      <c r="P706" s="14"/>
      <c r="Q706" s="14"/>
      <c r="R706" s="52"/>
      <c r="S706" s="19">
        <v>0.10416666666666667</v>
      </c>
    </row>
    <row r="707" spans="1:27" x14ac:dyDescent="0.2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N707" s="14"/>
      <c r="O707" s="14">
        <v>1.0660000000000001</v>
      </c>
      <c r="P707" s="14"/>
      <c r="Q707" s="14"/>
      <c r="R707" s="52"/>
      <c r="S707" s="19">
        <v>0.26527777777777778</v>
      </c>
    </row>
    <row r="708" spans="1:27" x14ac:dyDescent="0.2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N708" s="14"/>
      <c r="O708" s="14">
        <v>10.65</v>
      </c>
      <c r="P708" s="14"/>
      <c r="Q708" s="14"/>
      <c r="R708" s="52"/>
      <c r="S708" s="23">
        <v>0.11666666666666665</v>
      </c>
    </row>
    <row r="709" spans="1:27" x14ac:dyDescent="0.2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4"/>
      <c r="O709" s="14">
        <v>8.8940000000000001</v>
      </c>
      <c r="P709" s="14"/>
      <c r="Q709" s="14"/>
      <c r="R709" s="52"/>
      <c r="S709" s="19">
        <v>0.3</v>
      </c>
    </row>
    <row r="710" spans="1:27" x14ac:dyDescent="0.2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N710" s="14"/>
      <c r="O710" s="14">
        <v>7.0739999999999998</v>
      </c>
      <c r="P710" s="14"/>
      <c r="Q710" s="14"/>
      <c r="R710" s="52"/>
      <c r="S710" s="19">
        <v>8.0555555555555561E-2</v>
      </c>
    </row>
    <row r="711" spans="1:27" x14ac:dyDescent="0.2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N711" s="14"/>
      <c r="O711" s="14">
        <v>1.605</v>
      </c>
      <c r="P711" s="14"/>
      <c r="Q711" s="14"/>
      <c r="R711" s="52"/>
      <c r="S711" s="19">
        <v>6.25E-2</v>
      </c>
    </row>
    <row r="712" spans="1:27" x14ac:dyDescent="0.2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N712" s="14"/>
      <c r="O712" s="14">
        <v>23.6</v>
      </c>
      <c r="P712" s="14"/>
      <c r="Q712" s="14"/>
      <c r="R712" s="52"/>
      <c r="S712" s="19">
        <v>0.15347222222222223</v>
      </c>
    </row>
    <row r="713" spans="1:27" s="3" customFormat="1" x14ac:dyDescent="0.2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4"/>
      <c r="O713" s="14">
        <v>2.766</v>
      </c>
      <c r="P713" s="14"/>
      <c r="Q713" s="14"/>
      <c r="R713" s="52"/>
      <c r="S713" s="19">
        <v>9.3055555555555558E-2</v>
      </c>
      <c r="Y713"/>
      <c r="Z713"/>
      <c r="AA713"/>
    </row>
    <row r="714" spans="1:27" x14ac:dyDescent="0.2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N714" s="14"/>
      <c r="O714" s="14">
        <v>2.3490000000000002</v>
      </c>
      <c r="P714" s="14"/>
      <c r="Q714" s="14"/>
      <c r="R714" s="52"/>
      <c r="S714" s="20" t="s">
        <v>749</v>
      </c>
      <c r="Y714" s="3"/>
      <c r="Z714" s="3"/>
      <c r="AA714" s="3"/>
    </row>
    <row r="715" spans="1:27" x14ac:dyDescent="0.2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N715" s="14"/>
      <c r="O715" s="14">
        <v>1.966</v>
      </c>
      <c r="P715" s="14"/>
      <c r="Q715" s="14"/>
      <c r="R715" s="52"/>
      <c r="S715" s="19">
        <v>5.4166666666666669E-2</v>
      </c>
    </row>
    <row r="716" spans="1:27" x14ac:dyDescent="0.2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N716" s="14"/>
      <c r="O716" s="14">
        <v>2.246</v>
      </c>
      <c r="P716" s="14"/>
      <c r="Q716" s="14"/>
      <c r="R716" s="52"/>
      <c r="S716" s="19">
        <v>7.2222222222222229E-2</v>
      </c>
    </row>
    <row r="717" spans="1:27" x14ac:dyDescent="0.2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N717" s="14"/>
      <c r="O717" s="14">
        <v>3.3119999999999998</v>
      </c>
      <c r="P717" s="14"/>
      <c r="Q717" s="14"/>
      <c r="R717" s="52"/>
      <c r="S717" s="19">
        <v>0.22291666666666665</v>
      </c>
    </row>
    <row r="718" spans="1:27" x14ac:dyDescent="0.2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N718" s="14"/>
      <c r="O718" s="14">
        <v>17.809999999999999</v>
      </c>
      <c r="P718" s="14"/>
      <c r="Q718" s="14"/>
      <c r="R718" s="52"/>
      <c r="S718" s="19">
        <v>0.23819444444444446</v>
      </c>
    </row>
    <row r="719" spans="1:27" x14ac:dyDescent="0.2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N719" s="14"/>
      <c r="O719" s="14">
        <v>5.3419999999999996</v>
      </c>
      <c r="P719" s="14"/>
      <c r="Q719" s="14"/>
      <c r="R719" s="52"/>
      <c r="S719" s="19">
        <v>0.10833333333333334</v>
      </c>
    </row>
    <row r="720" spans="1:27" x14ac:dyDescent="0.2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N720" s="14"/>
      <c r="O720" s="14">
        <v>3.51</v>
      </c>
      <c r="P720" s="14"/>
      <c r="Q720" s="14"/>
      <c r="R720" s="52"/>
      <c r="S720" s="19">
        <v>8.3333333333333329E-2</v>
      </c>
    </row>
    <row r="721" spans="1:19" x14ac:dyDescent="0.2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N721" s="14"/>
      <c r="O721" s="14">
        <v>9.0410000000000004</v>
      </c>
      <c r="P721" s="14"/>
      <c r="Q721" s="14"/>
      <c r="R721" s="52"/>
      <c r="S721" s="22">
        <v>0.13749999999999998</v>
      </c>
    </row>
    <row r="722" spans="1:19" x14ac:dyDescent="0.2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N722" s="14"/>
      <c r="O722" s="14">
        <v>1.841</v>
      </c>
      <c r="P722" s="14"/>
      <c r="Q722" s="14"/>
      <c r="R722" s="52"/>
      <c r="S722" s="19">
        <v>5.9722222222222225E-2</v>
      </c>
    </row>
    <row r="723" spans="1:19" x14ac:dyDescent="0.2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N723" s="14"/>
      <c r="O723" s="14">
        <v>4.4560000000000004</v>
      </c>
      <c r="P723" s="14"/>
      <c r="Q723" s="14"/>
      <c r="R723" s="52"/>
      <c r="S723" s="22">
        <v>0.3527777777777778</v>
      </c>
    </row>
    <row r="724" spans="1:19" x14ac:dyDescent="0.2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N724" s="14"/>
      <c r="O724" s="14">
        <v>3.206</v>
      </c>
      <c r="P724" s="14"/>
      <c r="Q724" s="14"/>
      <c r="R724" s="52"/>
      <c r="S724" s="19">
        <v>3.1944444444444449E-2</v>
      </c>
    </row>
    <row r="725" spans="1:19" x14ac:dyDescent="0.2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N725" s="14"/>
      <c r="O725" s="14">
        <v>6.2169999999999996</v>
      </c>
      <c r="P725" s="14"/>
      <c r="Q725" s="14"/>
      <c r="R725" s="52"/>
      <c r="S725" s="19">
        <v>0.18333333333333335</v>
      </c>
    </row>
    <row r="726" spans="1:19" x14ac:dyDescent="0.2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N726" s="14"/>
      <c r="O726" s="14">
        <v>2.5070000000000001</v>
      </c>
      <c r="P726" s="14"/>
      <c r="Q726" s="14"/>
      <c r="R726" s="52"/>
      <c r="S726" s="19">
        <v>0.27291666666666664</v>
      </c>
    </row>
    <row r="727" spans="1:19" x14ac:dyDescent="0.2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N727" s="14"/>
      <c r="O727" s="14">
        <v>12.01</v>
      </c>
      <c r="P727" s="14"/>
      <c r="Q727" s="14"/>
      <c r="R727" s="52"/>
      <c r="S727" s="19">
        <v>0.23819444444444446</v>
      </c>
    </row>
    <row r="728" spans="1:19" x14ac:dyDescent="0.2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N728" s="14"/>
      <c r="O728" s="14">
        <v>3.9180000000000001</v>
      </c>
      <c r="P728" s="14"/>
      <c r="Q728" s="14"/>
      <c r="R728" s="52"/>
      <c r="S728" s="22">
        <v>0.1673611111111111</v>
      </c>
    </row>
    <row r="729" spans="1:19" x14ac:dyDescent="0.2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N729" s="14"/>
      <c r="O729" s="14">
        <v>2.8220000000000001</v>
      </c>
      <c r="P729" s="14"/>
      <c r="Q729" s="14"/>
      <c r="R729" s="52"/>
      <c r="S729" s="22">
        <v>9.2361111111111116E-2</v>
      </c>
    </row>
    <row r="730" spans="1:19" x14ac:dyDescent="0.2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4"/>
      <c r="O730" s="14">
        <v>13.41</v>
      </c>
      <c r="P730" s="14"/>
      <c r="Q730" s="14"/>
      <c r="R730" s="52"/>
      <c r="S730" s="22">
        <v>0.16458333333333333</v>
      </c>
    </row>
    <row r="731" spans="1:19" x14ac:dyDescent="0.2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N731" s="14"/>
      <c r="O731" s="14">
        <v>8.2750000000000004</v>
      </c>
      <c r="P731" s="14"/>
      <c r="Q731" s="14"/>
      <c r="R731" s="52"/>
      <c r="S731" s="22">
        <v>0.11666666666666665</v>
      </c>
    </row>
    <row r="732" spans="1:19" x14ac:dyDescent="0.2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4"/>
      <c r="O732" s="14">
        <v>1.4730000000000001</v>
      </c>
      <c r="P732" s="14"/>
      <c r="Q732" s="14"/>
      <c r="R732" s="52"/>
      <c r="S732" s="19">
        <v>4.4444444444444446E-2</v>
      </c>
    </row>
    <row r="733" spans="1:19" x14ac:dyDescent="0.2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4"/>
      <c r="O733" s="14">
        <v>7.6769999999999996</v>
      </c>
      <c r="P733" s="14"/>
      <c r="Q733" s="14"/>
      <c r="R733" s="52"/>
      <c r="S733" s="19">
        <v>0.14791666666666667</v>
      </c>
    </row>
    <row r="734" spans="1:19" x14ac:dyDescent="0.2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N734" s="14"/>
      <c r="O734" s="14">
        <v>3.1259999999999999</v>
      </c>
      <c r="P734" s="14"/>
      <c r="Q734" s="14"/>
      <c r="R734" s="52"/>
      <c r="S734" s="22">
        <v>0.18819444444444444</v>
      </c>
    </row>
    <row r="735" spans="1:19" x14ac:dyDescent="0.2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4"/>
      <c r="O735" s="14">
        <v>1.1080000000000001</v>
      </c>
      <c r="P735" s="14"/>
      <c r="Q735" s="14"/>
      <c r="R735" s="52"/>
      <c r="S735" s="19">
        <v>9.3055555555555558E-2</v>
      </c>
    </row>
    <row r="736" spans="1:19" x14ac:dyDescent="0.2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4"/>
      <c r="O736" s="14">
        <v>4.7699999999999996</v>
      </c>
      <c r="P736" s="14"/>
      <c r="Q736" s="14"/>
      <c r="R736" s="52"/>
      <c r="S736" s="19">
        <v>5.6944444444444443E-2</v>
      </c>
    </row>
    <row r="737" spans="1:27" x14ac:dyDescent="0.2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4"/>
      <c r="O737" s="14">
        <v>5.29</v>
      </c>
      <c r="P737" s="14"/>
      <c r="Q737" s="14"/>
      <c r="R737" s="52"/>
      <c r="S737" s="19">
        <v>0.30486111111111108</v>
      </c>
    </row>
    <row r="738" spans="1:27" x14ac:dyDescent="0.2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4"/>
      <c r="O738" s="14">
        <v>5.157</v>
      </c>
      <c r="P738" s="14"/>
      <c r="Q738" s="14"/>
      <c r="R738" s="52"/>
      <c r="S738" s="19">
        <v>0.10833333333333334</v>
      </c>
    </row>
    <row r="739" spans="1:27" x14ac:dyDescent="0.2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4"/>
      <c r="O739" s="14">
        <v>0.980263</v>
      </c>
      <c r="P739" s="14"/>
      <c r="Q739" s="14"/>
      <c r="R739" s="52"/>
      <c r="S739" s="19">
        <v>9.5833333333333326E-2</v>
      </c>
    </row>
    <row r="740" spans="1:27" x14ac:dyDescent="0.2">
      <c r="A740" s="2">
        <v>12579</v>
      </c>
      <c r="B740" s="2">
        <v>12579</v>
      </c>
      <c r="C740" s="2">
        <v>9719</v>
      </c>
      <c r="D740" t="s">
        <v>1134</v>
      </c>
      <c r="G740" s="15">
        <v>4.9779999999999998</v>
      </c>
      <c r="J740" s="15"/>
      <c r="N740" s="14"/>
      <c r="O740" s="14">
        <v>4.9779999999999998</v>
      </c>
      <c r="P740" s="14"/>
      <c r="Q740" s="14"/>
      <c r="R740" s="52"/>
      <c r="S740" s="19">
        <v>0.17222222222222225</v>
      </c>
    </row>
    <row r="741" spans="1:27" x14ac:dyDescent="0.2">
      <c r="A741" s="2">
        <v>12657</v>
      </c>
      <c r="B741" s="2">
        <v>12657</v>
      </c>
      <c r="C741" s="2">
        <v>26060</v>
      </c>
      <c r="D741" t="s">
        <v>1125</v>
      </c>
      <c r="G741" s="15">
        <v>2.524</v>
      </c>
      <c r="J741" s="15"/>
      <c r="N741" s="14"/>
      <c r="O741" s="14">
        <v>2.524</v>
      </c>
      <c r="P741" s="14"/>
      <c r="Q741" s="14"/>
      <c r="R741" s="52"/>
      <c r="S741" s="22">
        <v>8.5416666666666655E-2</v>
      </c>
    </row>
    <row r="742" spans="1:27" x14ac:dyDescent="0.2">
      <c r="A742" s="2">
        <v>12766</v>
      </c>
      <c r="B742" s="2">
        <v>12766</v>
      </c>
      <c r="C742" s="2">
        <v>11058</v>
      </c>
      <c r="D742" t="s">
        <v>1197</v>
      </c>
      <c r="G742" s="15">
        <v>7.9269999999999996</v>
      </c>
      <c r="J742" s="15"/>
      <c r="N742" s="14"/>
      <c r="O742" s="14">
        <v>7.9269999999999996</v>
      </c>
      <c r="P742" s="14"/>
      <c r="Q742" s="14"/>
      <c r="R742" s="52"/>
      <c r="S742" s="22">
        <v>0.11319444444444444</v>
      </c>
    </row>
    <row r="743" spans="1:27" x14ac:dyDescent="0.2">
      <c r="A743" s="2">
        <v>12774</v>
      </c>
      <c r="B743" s="2">
        <v>12774</v>
      </c>
      <c r="C743" s="2">
        <v>64372</v>
      </c>
      <c r="D743" t="s">
        <v>1061</v>
      </c>
      <c r="G743" s="15">
        <v>0.67284100000000002</v>
      </c>
      <c r="J743" s="15"/>
      <c r="K743" s="15"/>
      <c r="L743" s="15"/>
      <c r="M743" s="15"/>
      <c r="N743" s="14"/>
      <c r="O743" s="14">
        <v>0.67284100000000002</v>
      </c>
      <c r="P743" s="14"/>
      <c r="Q743" s="14"/>
      <c r="R743" s="52"/>
      <c r="S743" s="19">
        <v>0.20138888888888887</v>
      </c>
    </row>
    <row r="744" spans="1:27" x14ac:dyDescent="0.2">
      <c r="A744" s="2">
        <v>12812</v>
      </c>
      <c r="B744" s="2">
        <v>12812</v>
      </c>
      <c r="C744" s="2">
        <v>10412</v>
      </c>
      <c r="D744" t="s">
        <v>906</v>
      </c>
      <c r="G744" s="15">
        <v>7.125</v>
      </c>
      <c r="J744" s="15"/>
      <c r="N744" s="14"/>
      <c r="O744" s="14">
        <v>7.125</v>
      </c>
      <c r="P744" s="14"/>
      <c r="Q744" s="14"/>
      <c r="R744" s="52"/>
      <c r="S744" s="19">
        <v>0.1125</v>
      </c>
    </row>
    <row r="745" spans="1:27" x14ac:dyDescent="0.2">
      <c r="A745" s="2">
        <v>12841</v>
      </c>
      <c r="B745" s="2">
        <v>9655</v>
      </c>
      <c r="C745" s="2">
        <v>20256</v>
      </c>
      <c r="D745" t="s">
        <v>642</v>
      </c>
      <c r="G745" s="15">
        <v>5.694</v>
      </c>
      <c r="J745" s="15"/>
      <c r="N745" s="14"/>
      <c r="O745" s="14">
        <v>3.956</v>
      </c>
      <c r="P745" s="14"/>
      <c r="Q745" s="14"/>
      <c r="R745" s="52"/>
      <c r="S745" s="19">
        <v>8.0555555555555561E-2</v>
      </c>
    </row>
    <row r="746" spans="1:27" x14ac:dyDescent="0.2">
      <c r="A746" s="2">
        <v>12847</v>
      </c>
      <c r="B746" s="2">
        <v>12847</v>
      </c>
      <c r="C746" s="2">
        <v>8078</v>
      </c>
      <c r="D746" t="s">
        <v>832</v>
      </c>
      <c r="G746" s="15">
        <v>5.6790000000000003</v>
      </c>
      <c r="J746" s="15"/>
      <c r="N746" s="14"/>
      <c r="O746" s="14">
        <v>5.6790000000000003</v>
      </c>
      <c r="P746" s="14"/>
      <c r="Q746" s="14"/>
      <c r="R746" s="52"/>
      <c r="S746" s="19">
        <v>0.16666666666666666</v>
      </c>
    </row>
    <row r="747" spans="1:27" x14ac:dyDescent="0.2">
      <c r="A747" s="2">
        <v>13113</v>
      </c>
      <c r="B747" s="2">
        <v>13113</v>
      </c>
      <c r="C747" s="2">
        <v>31790</v>
      </c>
      <c r="D747" t="s">
        <v>1003</v>
      </c>
      <c r="G747" s="15">
        <v>1.8819999999999999</v>
      </c>
      <c r="I747" s="15"/>
      <c r="J747" s="15"/>
      <c r="N747" s="14"/>
      <c r="O747" s="14">
        <v>1.8819999999999999</v>
      </c>
      <c r="P747" s="14"/>
      <c r="Q747" s="14"/>
      <c r="R747" s="52"/>
      <c r="S747" s="23">
        <v>6.458333333333334E-2</v>
      </c>
    </row>
    <row r="748" spans="1:27" s="3" customFormat="1" x14ac:dyDescent="0.2">
      <c r="A748" s="4">
        <v>13139</v>
      </c>
      <c r="B748" s="4">
        <v>13139</v>
      </c>
      <c r="C748" s="4">
        <v>20953</v>
      </c>
      <c r="D748" s="3" t="s">
        <v>1025</v>
      </c>
      <c r="F748" s="4"/>
      <c r="G748" s="16">
        <v>3.5779999999999998</v>
      </c>
      <c r="H748" s="16"/>
      <c r="I748" s="16"/>
      <c r="J748" s="16"/>
      <c r="K748" s="9"/>
      <c r="L748" s="9"/>
      <c r="M748" s="9"/>
      <c r="N748" s="46"/>
      <c r="O748" s="46">
        <v>3.5779999999999998</v>
      </c>
      <c r="P748" s="46"/>
      <c r="Q748" s="46"/>
      <c r="R748" s="53"/>
      <c r="S748" s="23">
        <v>8.5416666666666655E-2</v>
      </c>
      <c r="Y748"/>
      <c r="Z748"/>
      <c r="AA748"/>
    </row>
    <row r="749" spans="1:27" x14ac:dyDescent="0.2">
      <c r="A749" s="2">
        <v>13198</v>
      </c>
      <c r="B749" s="2">
        <v>14684</v>
      </c>
      <c r="C749" s="2">
        <v>37641</v>
      </c>
      <c r="D749" t="s">
        <v>583</v>
      </c>
      <c r="G749" s="15">
        <v>1.506</v>
      </c>
      <c r="J749" s="15"/>
      <c r="N749" s="14"/>
      <c r="O749" s="14">
        <v>1.5669999999999999</v>
      </c>
      <c r="P749" s="14"/>
      <c r="Q749" s="14"/>
      <c r="R749" s="52"/>
      <c r="S749" s="19">
        <v>0.15208333333333332</v>
      </c>
      <c r="Y749" s="3"/>
      <c r="Z749" s="3"/>
      <c r="AA749" s="3"/>
    </row>
    <row r="750" spans="1:27" x14ac:dyDescent="0.2">
      <c r="A750" s="2">
        <v>13684</v>
      </c>
      <c r="B750" s="2">
        <v>15418</v>
      </c>
      <c r="C750" s="2">
        <v>70506</v>
      </c>
      <c r="D750" t="s">
        <v>615</v>
      </c>
      <c r="G750" s="15">
        <v>0.91088999999999998</v>
      </c>
      <c r="J750" s="15"/>
      <c r="N750" s="14"/>
      <c r="O750" s="14">
        <v>0.85121400000000003</v>
      </c>
      <c r="P750" s="14"/>
      <c r="Q750" s="14"/>
      <c r="R750" s="52"/>
      <c r="S750" s="19">
        <v>5.6944444444444443E-2</v>
      </c>
    </row>
    <row r="751" spans="1:27" x14ac:dyDescent="0.2">
      <c r="A751" s="2">
        <v>13982</v>
      </c>
      <c r="B751" s="2">
        <v>13982</v>
      </c>
      <c r="C751" s="2">
        <v>42731</v>
      </c>
      <c r="D751" t="s">
        <v>884</v>
      </c>
      <c r="G751" s="15">
        <v>1.8180000000000001</v>
      </c>
      <c r="J751" s="15"/>
      <c r="N751" s="14"/>
      <c r="O751" s="14">
        <v>1.8180000000000001</v>
      </c>
      <c r="P751" s="14"/>
      <c r="Q751" s="14"/>
      <c r="R751" s="52"/>
      <c r="S751" s="19">
        <v>3.4722222222222224E-2</v>
      </c>
    </row>
    <row r="752" spans="1:27" x14ac:dyDescent="0.2">
      <c r="A752" s="2">
        <v>14138</v>
      </c>
      <c r="B752" s="2">
        <v>14138</v>
      </c>
      <c r="C752" s="2">
        <v>21731</v>
      </c>
      <c r="D752" t="s">
        <v>1164</v>
      </c>
      <c r="G752" s="15">
        <v>3.4180000000000001</v>
      </c>
      <c r="J752" s="15"/>
      <c r="N752" s="14"/>
      <c r="O752" s="14">
        <v>3.4180000000000001</v>
      </c>
      <c r="P752" s="14"/>
      <c r="Q752" s="14"/>
      <c r="R752" s="52"/>
      <c r="S752" s="19">
        <v>9.2361111111111116E-2</v>
      </c>
    </row>
    <row r="753" spans="1:19" x14ac:dyDescent="0.2">
      <c r="A753" s="2">
        <v>14198</v>
      </c>
      <c r="B753" s="2">
        <v>14198</v>
      </c>
      <c r="C753" s="2">
        <v>79439</v>
      </c>
      <c r="D753" t="s">
        <v>1049</v>
      </c>
      <c r="G753" s="15">
        <v>0.71810799999999997</v>
      </c>
      <c r="J753" s="15"/>
      <c r="N753" s="14"/>
      <c r="O753" s="14">
        <v>0.71810799999999997</v>
      </c>
      <c r="P753" s="14"/>
      <c r="Q753" s="14"/>
      <c r="R753" s="52"/>
      <c r="S753" s="19">
        <v>9.8611111111111108E-2</v>
      </c>
    </row>
    <row r="754" spans="1:19" x14ac:dyDescent="0.2">
      <c r="A754" s="2">
        <v>14201</v>
      </c>
      <c r="B754" s="2">
        <v>14201</v>
      </c>
      <c r="C754" s="2">
        <v>29468</v>
      </c>
      <c r="D754" t="s">
        <v>875</v>
      </c>
      <c r="G754" s="15">
        <v>2.0150000000000001</v>
      </c>
      <c r="J754" s="15"/>
      <c r="N754" s="14"/>
      <c r="O754" s="14">
        <v>2.0150000000000001</v>
      </c>
      <c r="P754" s="14"/>
      <c r="Q754" s="14"/>
      <c r="R754" s="52"/>
      <c r="S754" s="19">
        <v>0.22638888888888889</v>
      </c>
    </row>
    <row r="755" spans="1:19" x14ac:dyDescent="0.2">
      <c r="A755" s="2">
        <v>14530</v>
      </c>
      <c r="B755" s="2">
        <v>14530</v>
      </c>
      <c r="C755" s="2">
        <v>63885</v>
      </c>
      <c r="D755" t="s">
        <v>1082</v>
      </c>
      <c r="G755" s="15">
        <v>1.224</v>
      </c>
      <c r="J755" s="15"/>
      <c r="N755" s="14"/>
      <c r="O755" s="14">
        <v>1.224</v>
      </c>
      <c r="P755" s="14"/>
      <c r="Q755" s="14"/>
      <c r="R755" s="52"/>
      <c r="S755" s="19">
        <v>3.6111111111111115E-2</v>
      </c>
    </row>
    <row r="756" spans="1:19" x14ac:dyDescent="0.2">
      <c r="A756" s="4">
        <v>14907</v>
      </c>
      <c r="B756" s="4">
        <v>14907</v>
      </c>
      <c r="C756" s="4">
        <v>21829</v>
      </c>
      <c r="D756" s="3" t="s">
        <v>1176</v>
      </c>
      <c r="F756" s="4"/>
      <c r="G756" s="16">
        <v>3.41</v>
      </c>
      <c r="H756" s="16"/>
      <c r="J756" s="16"/>
      <c r="K756" s="9"/>
      <c r="L756" s="9"/>
      <c r="M756" s="9"/>
      <c r="N756" s="46"/>
      <c r="O756" s="46">
        <v>3.41</v>
      </c>
      <c r="P756" s="46"/>
      <c r="Q756" s="46"/>
      <c r="R756" s="53"/>
      <c r="S756" s="19">
        <v>8.1250000000000003E-2</v>
      </c>
    </row>
    <row r="757" spans="1:19" x14ac:dyDescent="0.2">
      <c r="A757" s="2">
        <v>14939</v>
      </c>
      <c r="B757" s="2">
        <v>14219</v>
      </c>
      <c r="C757" s="2">
        <v>40041</v>
      </c>
      <c r="D757" t="s">
        <v>636</v>
      </c>
      <c r="G757" s="15">
        <v>2.0870000000000002</v>
      </c>
      <c r="J757" s="15"/>
      <c r="N757" s="14"/>
      <c r="O757" s="14">
        <v>1.7450000000000001</v>
      </c>
      <c r="P757" s="14"/>
      <c r="Q757" s="14"/>
      <c r="R757" s="52"/>
      <c r="S757" s="19">
        <v>4.7222222222222221E-2</v>
      </c>
    </row>
    <row r="758" spans="1:19" x14ac:dyDescent="0.2">
      <c r="A758" s="2">
        <v>15187</v>
      </c>
      <c r="B758" s="2">
        <v>15187</v>
      </c>
      <c r="C758" s="2">
        <v>12075</v>
      </c>
      <c r="D758" t="s">
        <v>1180</v>
      </c>
      <c r="G758" s="15">
        <v>4.9370000000000003</v>
      </c>
      <c r="I758" s="15"/>
      <c r="J758" s="15"/>
      <c r="N758" s="14"/>
      <c r="O758" s="14">
        <v>4.9370000000000003</v>
      </c>
      <c r="P758" s="14"/>
      <c r="Q758" s="14"/>
      <c r="R758" s="52"/>
      <c r="S758" s="19">
        <v>0.12222222222222223</v>
      </c>
    </row>
    <row r="759" spans="1:19" x14ac:dyDescent="0.2">
      <c r="A759" s="2">
        <v>15239</v>
      </c>
      <c r="B759" s="2">
        <v>15739</v>
      </c>
      <c r="C759" s="2">
        <v>25278</v>
      </c>
      <c r="D759" t="s">
        <v>607</v>
      </c>
      <c r="G759" s="15">
        <v>1.871</v>
      </c>
      <c r="J759" s="15"/>
      <c r="N759" s="14"/>
      <c r="O759" s="14">
        <v>2.0150000000000001</v>
      </c>
      <c r="P759" s="14"/>
      <c r="Q759" s="14"/>
      <c r="R759" s="52"/>
      <c r="S759" s="19">
        <v>0.28958333333333336</v>
      </c>
    </row>
    <row r="760" spans="1:19" x14ac:dyDescent="0.2">
      <c r="A760" s="2">
        <v>15288</v>
      </c>
      <c r="B760" s="2">
        <v>15288</v>
      </c>
      <c r="C760" s="2">
        <v>20138</v>
      </c>
      <c r="D760" t="s">
        <v>938</v>
      </c>
      <c r="G760" s="15">
        <v>3.7130000000000001</v>
      </c>
      <c r="J760" s="15"/>
      <c r="N760" s="14"/>
      <c r="O760" s="14">
        <v>3.7130000000000001</v>
      </c>
      <c r="P760" s="14"/>
      <c r="Q760" s="14"/>
      <c r="R760" s="52"/>
      <c r="S760" s="19">
        <v>0.12569444444444444</v>
      </c>
    </row>
    <row r="761" spans="1:19" x14ac:dyDescent="0.2">
      <c r="A761" s="2">
        <v>15361</v>
      </c>
      <c r="B761" s="2">
        <v>15361</v>
      </c>
      <c r="C761" s="2">
        <v>11953</v>
      </c>
      <c r="D761" t="s">
        <v>1020</v>
      </c>
      <c r="G761" s="15">
        <v>4.7859999999999996</v>
      </c>
      <c r="J761" s="15"/>
      <c r="N761" s="14"/>
      <c r="O761" s="14">
        <v>4.7859999999999996</v>
      </c>
      <c r="P761" s="14"/>
      <c r="Q761" s="14"/>
      <c r="R761" s="52"/>
      <c r="S761" s="19">
        <v>0.10208333333333335</v>
      </c>
    </row>
    <row r="762" spans="1:19" x14ac:dyDescent="0.2">
      <c r="A762" s="2">
        <v>15371</v>
      </c>
      <c r="B762" s="2">
        <v>15371</v>
      </c>
      <c r="C762" s="2">
        <v>17066</v>
      </c>
      <c r="D762" t="s">
        <v>1068</v>
      </c>
      <c r="G762" s="15">
        <v>3.165</v>
      </c>
      <c r="J762" s="15"/>
      <c r="N762" s="14"/>
      <c r="O762" s="14">
        <v>3.165</v>
      </c>
      <c r="P762" s="14"/>
      <c r="Q762" s="14"/>
      <c r="R762" s="52"/>
      <c r="S762" s="19">
        <v>0.1173611111111111</v>
      </c>
    </row>
    <row r="763" spans="1:19" x14ac:dyDescent="0.2">
      <c r="A763" s="2">
        <v>15418</v>
      </c>
      <c r="B763" s="2">
        <v>15418</v>
      </c>
      <c r="C763" s="2">
        <v>17250</v>
      </c>
      <c r="D763" t="s">
        <v>1116</v>
      </c>
      <c r="G763" s="15">
        <v>3.47</v>
      </c>
      <c r="J763" s="15"/>
      <c r="N763" s="14"/>
      <c r="O763" s="14">
        <v>3.47</v>
      </c>
      <c r="P763" s="14"/>
      <c r="Q763" s="14"/>
      <c r="R763" s="52"/>
      <c r="S763" s="22">
        <v>6.1111111111111116E-2</v>
      </c>
    </row>
    <row r="764" spans="1:19" x14ac:dyDescent="0.2">
      <c r="A764" s="2">
        <v>15745</v>
      </c>
      <c r="B764" s="2">
        <v>15745</v>
      </c>
      <c r="C764" s="2">
        <v>27362</v>
      </c>
      <c r="D764" t="s">
        <v>1152</v>
      </c>
      <c r="G764" s="15">
        <v>2.831</v>
      </c>
      <c r="J764" s="15"/>
      <c r="N764" s="14"/>
      <c r="O764" s="14">
        <v>2.831</v>
      </c>
      <c r="P764" s="14"/>
      <c r="Q764" s="14"/>
      <c r="R764" s="52"/>
      <c r="S764" s="19">
        <v>7.1527777777777787E-2</v>
      </c>
    </row>
    <row r="765" spans="1:19" x14ac:dyDescent="0.2">
      <c r="A765" s="2">
        <v>15849</v>
      </c>
      <c r="B765" s="2">
        <v>15849</v>
      </c>
      <c r="C765" s="2">
        <v>26671</v>
      </c>
      <c r="D765" t="s">
        <v>1085</v>
      </c>
      <c r="G765" s="15">
        <v>2.2999999999999998</v>
      </c>
      <c r="J765" s="15"/>
      <c r="N765" s="14"/>
      <c r="O765" s="14">
        <v>2.2999999999999998</v>
      </c>
      <c r="P765" s="14"/>
      <c r="Q765" s="14"/>
      <c r="R765" s="52"/>
      <c r="S765" s="19">
        <v>0.18194444444444444</v>
      </c>
    </row>
    <row r="766" spans="1:19" x14ac:dyDescent="0.2">
      <c r="A766" s="2">
        <v>16208</v>
      </c>
      <c r="B766" s="2">
        <v>16208</v>
      </c>
      <c r="C766" s="2">
        <v>4400</v>
      </c>
      <c r="D766" t="s">
        <v>1103</v>
      </c>
      <c r="G766" s="15">
        <v>11.2</v>
      </c>
      <c r="J766" s="15"/>
      <c r="N766" s="14"/>
      <c r="O766" s="14">
        <v>11.2</v>
      </c>
      <c r="P766" s="14"/>
      <c r="Q766" s="14"/>
      <c r="R766" s="52"/>
      <c r="S766" s="19">
        <v>0.22569444444444445</v>
      </c>
    </row>
    <row r="767" spans="1:19" x14ac:dyDescent="0.2">
      <c r="A767" s="2">
        <v>16543</v>
      </c>
      <c r="B767" s="2">
        <v>16543</v>
      </c>
      <c r="C767" s="2">
        <v>18573</v>
      </c>
      <c r="D767" t="s">
        <v>796</v>
      </c>
      <c r="G767" s="15">
        <v>3.4249999999999998</v>
      </c>
      <c r="J767" s="15"/>
      <c r="N767" s="14"/>
      <c r="O767" s="14">
        <v>3.4249999999999998</v>
      </c>
      <c r="P767" s="14"/>
      <c r="Q767" s="14"/>
      <c r="R767" s="52"/>
      <c r="S767" s="19">
        <v>0.1173611111111111</v>
      </c>
    </row>
    <row r="768" spans="1:19" x14ac:dyDescent="0.2">
      <c r="A768" s="2">
        <v>17112</v>
      </c>
      <c r="B768" s="2">
        <v>17112</v>
      </c>
      <c r="C768" s="2">
        <v>79637</v>
      </c>
      <c r="D768" t="s">
        <v>1147</v>
      </c>
      <c r="G768" s="15">
        <v>0.89338300000000004</v>
      </c>
      <c r="J768" s="15"/>
      <c r="N768" s="14"/>
      <c r="O768" s="14">
        <v>0.89338300000000004</v>
      </c>
      <c r="P768" s="14"/>
      <c r="Q768" s="14"/>
      <c r="R768" s="52"/>
      <c r="S768" s="19">
        <v>6.7361111111111108E-2</v>
      </c>
    </row>
    <row r="769" spans="1:19" x14ac:dyDescent="0.2">
      <c r="A769" s="2">
        <v>17197</v>
      </c>
      <c r="B769" s="2">
        <v>20744</v>
      </c>
      <c r="C769" s="2">
        <v>26621</v>
      </c>
      <c r="D769" t="s">
        <v>591</v>
      </c>
      <c r="G769" s="15">
        <v>1.9430000000000001</v>
      </c>
      <c r="J769" s="15"/>
      <c r="N769" s="14"/>
      <c r="O769" s="14">
        <v>1.905</v>
      </c>
      <c r="P769" s="14"/>
      <c r="Q769" s="14"/>
      <c r="R769" s="52"/>
      <c r="S769" s="19">
        <v>0.18541666666666667</v>
      </c>
    </row>
    <row r="770" spans="1:19" x14ac:dyDescent="0.2">
      <c r="A770" s="2">
        <v>17228</v>
      </c>
      <c r="B770" s="2">
        <v>17228</v>
      </c>
      <c r="C770" s="2">
        <v>35100</v>
      </c>
      <c r="D770" t="s">
        <v>1166</v>
      </c>
      <c r="G770" s="15">
        <v>2.1269999999999998</v>
      </c>
      <c r="J770" s="15"/>
      <c r="N770" s="14"/>
      <c r="O770" s="14">
        <v>2.1269999999999998</v>
      </c>
      <c r="P770" s="14"/>
      <c r="Q770" s="14"/>
      <c r="R770" s="52"/>
      <c r="S770" s="19">
        <v>8.3333333333333329E-2</v>
      </c>
    </row>
    <row r="771" spans="1:19" x14ac:dyDescent="0.2">
      <c r="A771" s="2">
        <v>17442</v>
      </c>
      <c r="B771" s="2">
        <v>17442</v>
      </c>
      <c r="C771" s="2">
        <v>3366</v>
      </c>
      <c r="D771" t="s">
        <v>1179</v>
      </c>
      <c r="G771" s="2">
        <v>14.31</v>
      </c>
      <c r="N771" s="14"/>
      <c r="O771" s="14">
        <v>14.31</v>
      </c>
      <c r="P771" s="14"/>
      <c r="Q771" s="14"/>
      <c r="R771" s="52"/>
      <c r="S771" s="19">
        <v>8.9583333333333334E-2</v>
      </c>
    </row>
    <row r="772" spans="1:19" x14ac:dyDescent="0.2">
      <c r="A772" s="2">
        <v>17510</v>
      </c>
      <c r="B772" s="2">
        <v>17510</v>
      </c>
      <c r="C772" s="2">
        <v>48500</v>
      </c>
      <c r="D772" t="s">
        <v>1058</v>
      </c>
      <c r="G772" s="15">
        <v>1.2809999999999999</v>
      </c>
      <c r="J772" s="15"/>
      <c r="N772" s="14"/>
      <c r="O772" s="14">
        <v>1.2809999999999999</v>
      </c>
      <c r="P772" s="14"/>
      <c r="Q772" s="14"/>
      <c r="R772" s="52"/>
      <c r="S772" s="19">
        <v>9.4444444444444442E-2</v>
      </c>
    </row>
    <row r="773" spans="1:19" x14ac:dyDescent="0.2">
      <c r="A773" s="2">
        <v>17525</v>
      </c>
      <c r="B773" s="2">
        <v>17525</v>
      </c>
      <c r="C773" s="2">
        <v>13661</v>
      </c>
      <c r="D773" t="s">
        <v>1193</v>
      </c>
      <c r="G773" s="15">
        <v>3.9020000000000001</v>
      </c>
      <c r="J773" s="15"/>
      <c r="N773" s="14"/>
      <c r="O773" s="14">
        <v>3.9020000000000001</v>
      </c>
      <c r="P773" s="14"/>
      <c r="Q773" s="14"/>
      <c r="R773" s="52"/>
      <c r="S773" s="22">
        <v>0.29166666666666669</v>
      </c>
    </row>
    <row r="774" spans="1:19" x14ac:dyDescent="0.2">
      <c r="A774" s="2">
        <v>17706</v>
      </c>
      <c r="B774" s="2">
        <v>17706</v>
      </c>
      <c r="C774" s="2">
        <v>8009</v>
      </c>
      <c r="D774" t="s">
        <v>1101</v>
      </c>
      <c r="G774" s="15">
        <v>9.6489999999999991</v>
      </c>
      <c r="J774" s="15"/>
      <c r="N774" s="14"/>
      <c r="O774" s="14">
        <v>9.6489999999999991</v>
      </c>
      <c r="P774" s="14"/>
      <c r="Q774" s="14"/>
      <c r="R774" s="52"/>
      <c r="S774" s="19">
        <v>0.16319444444444445</v>
      </c>
    </row>
    <row r="775" spans="1:19" x14ac:dyDescent="0.2">
      <c r="A775" s="2">
        <v>17944</v>
      </c>
      <c r="B775" s="2">
        <v>17944</v>
      </c>
      <c r="C775" s="2">
        <v>5893</v>
      </c>
      <c r="D775" t="s">
        <v>900</v>
      </c>
      <c r="G775" s="15">
        <v>7.0490000000000004</v>
      </c>
      <c r="J775" s="15"/>
      <c r="N775" s="14"/>
      <c r="O775" s="14">
        <v>7.0490000000000004</v>
      </c>
      <c r="P775" s="14"/>
      <c r="Q775" s="14"/>
      <c r="R775" s="52"/>
      <c r="S775" s="19">
        <v>0.36944444444444446</v>
      </c>
    </row>
    <row r="776" spans="1:19" x14ac:dyDescent="0.2">
      <c r="A776" s="2">
        <v>17953</v>
      </c>
      <c r="B776" s="2">
        <v>17953</v>
      </c>
      <c r="C776" s="2">
        <v>35787</v>
      </c>
      <c r="D776" t="s">
        <v>1139</v>
      </c>
      <c r="G776" s="2">
        <v>1.84</v>
      </c>
      <c r="N776" s="14"/>
      <c r="O776" s="14">
        <v>1.84</v>
      </c>
      <c r="P776" s="14"/>
      <c r="Q776" s="14"/>
      <c r="R776" s="52"/>
      <c r="S776" s="19">
        <v>5.2777777777777778E-2</v>
      </c>
    </row>
    <row r="777" spans="1:19" x14ac:dyDescent="0.2">
      <c r="A777" s="2">
        <v>18053</v>
      </c>
      <c r="B777" s="2">
        <v>18053</v>
      </c>
      <c r="C777" s="2">
        <v>46525</v>
      </c>
      <c r="D777" t="s">
        <v>995</v>
      </c>
      <c r="G777" s="15">
        <v>1.73</v>
      </c>
      <c r="J777" s="15"/>
      <c r="N777" s="14"/>
      <c r="O777" s="14">
        <v>1.73</v>
      </c>
      <c r="P777" s="14"/>
      <c r="Q777" s="14"/>
      <c r="R777" s="52"/>
      <c r="S777" s="22">
        <v>3.2638888888888891E-2</v>
      </c>
    </row>
    <row r="778" spans="1:19" x14ac:dyDescent="0.2">
      <c r="A778" s="2">
        <v>18064</v>
      </c>
      <c r="B778" s="2">
        <v>18064</v>
      </c>
      <c r="C778" s="2">
        <v>25782</v>
      </c>
      <c r="D778" t="s">
        <v>838</v>
      </c>
      <c r="G778" s="15">
        <v>1.5369999999999999</v>
      </c>
      <c r="J778" s="15"/>
      <c r="N778" s="14"/>
      <c r="O778" s="14">
        <v>1.5369999999999999</v>
      </c>
      <c r="P778" s="14"/>
      <c r="Q778" s="14"/>
      <c r="R778" s="52"/>
      <c r="S778" s="19">
        <v>0.31875000000000003</v>
      </c>
    </row>
    <row r="779" spans="1:19" x14ac:dyDescent="0.2">
      <c r="A779" s="2">
        <v>18312</v>
      </c>
      <c r="B779" s="2">
        <v>18312</v>
      </c>
      <c r="C779" s="2">
        <v>50775</v>
      </c>
      <c r="D779" t="s">
        <v>792</v>
      </c>
      <c r="G779" s="15">
        <v>1.0680000000000001</v>
      </c>
      <c r="J779" s="15"/>
      <c r="N779" s="14"/>
      <c r="O779" s="14">
        <v>1.0680000000000001</v>
      </c>
      <c r="P779" s="14"/>
      <c r="Q779" s="14"/>
      <c r="R779" s="52"/>
      <c r="S779" s="19">
        <v>0.16180555555555556</v>
      </c>
    </row>
    <row r="780" spans="1:19" x14ac:dyDescent="0.2">
      <c r="A780" s="2">
        <v>18346</v>
      </c>
      <c r="B780" s="2">
        <v>17811</v>
      </c>
      <c r="C780" s="2">
        <v>71011</v>
      </c>
      <c r="D780" t="s">
        <v>633</v>
      </c>
      <c r="G780" s="15">
        <v>1.2130000000000001</v>
      </c>
      <c r="J780" s="15"/>
      <c r="N780" s="14"/>
      <c r="O780" s="14">
        <v>1.02</v>
      </c>
      <c r="P780" s="14"/>
      <c r="Q780" s="14"/>
      <c r="R780" s="52"/>
      <c r="S780" s="19">
        <v>3.4722222222222224E-2</v>
      </c>
    </row>
    <row r="781" spans="1:19" x14ac:dyDescent="0.2">
      <c r="A781" s="2">
        <v>18479</v>
      </c>
      <c r="B781" s="2">
        <v>18479</v>
      </c>
      <c r="C781" s="2">
        <v>25113</v>
      </c>
      <c r="D781" t="s">
        <v>986</v>
      </c>
      <c r="G781" s="15">
        <v>1.302</v>
      </c>
      <c r="J781" s="15"/>
      <c r="N781" s="14"/>
      <c r="O781" s="14">
        <v>1.302</v>
      </c>
      <c r="P781" s="14"/>
      <c r="Q781" s="14"/>
      <c r="R781" s="52"/>
      <c r="S781" s="22">
        <v>0.30486111111111108</v>
      </c>
    </row>
    <row r="782" spans="1:19" x14ac:dyDescent="0.2">
      <c r="A782" s="2">
        <v>18792</v>
      </c>
      <c r="B782" s="2">
        <v>18792</v>
      </c>
      <c r="C782" s="2">
        <v>18921</v>
      </c>
      <c r="D782" t="s">
        <v>973</v>
      </c>
      <c r="G782" s="15">
        <v>4.8689999999999998</v>
      </c>
      <c r="J782" s="15"/>
      <c r="N782" s="14"/>
      <c r="O782" s="14">
        <v>4.8689999999999998</v>
      </c>
      <c r="P782" s="14"/>
      <c r="Q782" s="14"/>
      <c r="R782" s="52"/>
      <c r="S782" s="22">
        <v>7.5694444444444439E-2</v>
      </c>
    </row>
    <row r="783" spans="1:19" x14ac:dyDescent="0.2">
      <c r="A783" s="2">
        <v>18873</v>
      </c>
      <c r="B783" s="2">
        <v>18873</v>
      </c>
      <c r="C783" s="2">
        <v>27066</v>
      </c>
      <c r="D783" t="s">
        <v>871</v>
      </c>
      <c r="G783" s="15">
        <v>1.9610000000000001</v>
      </c>
      <c r="J783" s="15"/>
      <c r="N783" s="14"/>
      <c r="O783" s="14">
        <v>1.9610000000000001</v>
      </c>
      <c r="P783" s="14"/>
      <c r="Q783" s="14"/>
      <c r="R783" s="52"/>
      <c r="S783" s="19">
        <v>0.1013888888888889</v>
      </c>
    </row>
    <row r="784" spans="1:19" x14ac:dyDescent="0.2">
      <c r="A784" s="2">
        <v>18930</v>
      </c>
      <c r="B784" s="2">
        <v>18930</v>
      </c>
      <c r="C784" s="2">
        <v>78052</v>
      </c>
      <c r="D784" t="s">
        <v>830</v>
      </c>
      <c r="G784" s="15">
        <v>0.46637099999999998</v>
      </c>
      <c r="J784" s="15"/>
      <c r="N784" s="14"/>
      <c r="O784" s="14">
        <v>0.46637099999999998</v>
      </c>
      <c r="P784" s="14"/>
      <c r="Q784" s="14"/>
      <c r="R784" s="52"/>
      <c r="S784" s="19">
        <v>0.54583333333333328</v>
      </c>
    </row>
    <row r="785" spans="1:19" x14ac:dyDescent="0.2">
      <c r="A785" s="2">
        <v>19800</v>
      </c>
      <c r="B785" s="2">
        <v>19800</v>
      </c>
      <c r="C785" s="2">
        <v>94773</v>
      </c>
      <c r="D785" t="s">
        <v>1081</v>
      </c>
      <c r="G785" s="15">
        <v>0.80048799999999998</v>
      </c>
      <c r="J785" s="15"/>
      <c r="N785" s="14"/>
      <c r="O785" s="14">
        <v>0.80048799999999998</v>
      </c>
      <c r="P785" s="14"/>
      <c r="Q785" s="14"/>
      <c r="R785" s="52"/>
      <c r="S785" s="19">
        <v>3.0555555555555555E-2</v>
      </c>
    </row>
    <row r="786" spans="1:19" x14ac:dyDescent="0.2">
      <c r="A786" s="2">
        <v>20062</v>
      </c>
      <c r="B786" s="2">
        <v>20062</v>
      </c>
      <c r="C786" s="2">
        <v>14069</v>
      </c>
      <c r="D786" t="s">
        <v>989</v>
      </c>
      <c r="G786" s="2">
        <v>4.4260000000000002</v>
      </c>
      <c r="N786" s="14"/>
      <c r="O786" s="14">
        <v>4.4260000000000002</v>
      </c>
      <c r="P786" s="14"/>
      <c r="Q786" s="14"/>
      <c r="R786" s="52"/>
      <c r="S786" s="19">
        <v>0.24305555555555555</v>
      </c>
    </row>
    <row r="787" spans="1:19" x14ac:dyDescent="0.2">
      <c r="A787" s="2">
        <v>20211</v>
      </c>
      <c r="B787" s="2">
        <v>20211</v>
      </c>
      <c r="C787" s="2">
        <v>19626</v>
      </c>
      <c r="D787" t="s">
        <v>1032</v>
      </c>
      <c r="G787" s="15">
        <v>2.5649999999999999</v>
      </c>
      <c r="J787" s="15"/>
      <c r="N787" s="14"/>
      <c r="O787" s="14">
        <v>2.5649999999999999</v>
      </c>
      <c r="P787" s="14"/>
      <c r="Q787" s="14"/>
      <c r="R787" s="52"/>
      <c r="S787" s="19">
        <v>0.12361111111111112</v>
      </c>
    </row>
    <row r="788" spans="1:19" x14ac:dyDescent="0.2">
      <c r="A788" s="2">
        <v>20271</v>
      </c>
      <c r="B788" s="2">
        <v>20331</v>
      </c>
      <c r="C788" s="2">
        <v>2052</v>
      </c>
      <c r="D788" t="s">
        <v>671</v>
      </c>
      <c r="G788" s="15">
        <v>30.34</v>
      </c>
      <c r="J788" s="15"/>
      <c r="N788" s="14"/>
      <c r="O788" s="14">
        <v>30.34</v>
      </c>
      <c r="P788" s="14"/>
      <c r="Q788" s="14"/>
      <c r="R788" s="52"/>
      <c r="S788" s="19">
        <v>0.17708333333333334</v>
      </c>
    </row>
    <row r="789" spans="1:19" x14ac:dyDescent="0.2">
      <c r="A789" s="2">
        <v>20397</v>
      </c>
      <c r="B789" s="2">
        <v>20397</v>
      </c>
      <c r="C789" s="2">
        <v>71452</v>
      </c>
      <c r="D789" t="s">
        <v>1078</v>
      </c>
      <c r="G789" s="15">
        <v>0.74738400000000005</v>
      </c>
      <c r="J789" s="15"/>
      <c r="N789" s="14"/>
      <c r="O789" s="14">
        <v>0.74738400000000005</v>
      </c>
      <c r="P789" s="14"/>
      <c r="Q789" s="14"/>
      <c r="R789" s="52"/>
      <c r="S789" s="22">
        <v>0.12986111111111112</v>
      </c>
    </row>
    <row r="790" spans="1:19" x14ac:dyDescent="0.2">
      <c r="A790" s="2">
        <v>20901</v>
      </c>
      <c r="B790" s="2">
        <v>20901</v>
      </c>
      <c r="C790" s="2">
        <v>15616</v>
      </c>
      <c r="D790" t="s">
        <v>950</v>
      </c>
      <c r="E790" t="s">
        <v>6</v>
      </c>
      <c r="F790" s="2">
        <v>50</v>
      </c>
      <c r="G790" s="15">
        <v>2.7959999999999998</v>
      </c>
      <c r="J790" s="15"/>
      <c r="N790" s="14"/>
      <c r="O790" s="14">
        <v>2.7959999999999998</v>
      </c>
      <c r="P790" s="14"/>
      <c r="Q790" s="14"/>
      <c r="R790" s="52"/>
      <c r="S790" s="19">
        <v>0.20208333333333331</v>
      </c>
    </row>
    <row r="791" spans="1:19" x14ac:dyDescent="0.2">
      <c r="A791" s="2">
        <v>21251</v>
      </c>
      <c r="B791" s="2">
        <v>21251</v>
      </c>
      <c r="C791" s="2">
        <v>69212</v>
      </c>
      <c r="D791" t="s">
        <v>1011</v>
      </c>
      <c r="G791" s="15">
        <v>0.64367399999999997</v>
      </c>
      <c r="J791" s="15"/>
      <c r="N791" s="14"/>
      <c r="O791" s="14">
        <v>0.64367399999999997</v>
      </c>
      <c r="P791" s="14"/>
      <c r="Q791" s="14"/>
      <c r="R791" s="52"/>
      <c r="S791" s="19">
        <v>0.21666666666666667</v>
      </c>
    </row>
    <row r="792" spans="1:19" x14ac:dyDescent="0.2">
      <c r="A792" s="2">
        <v>21998</v>
      </c>
      <c r="B792" s="2">
        <v>21998</v>
      </c>
      <c r="C792" s="2">
        <v>75891</v>
      </c>
      <c r="D792" t="s">
        <v>1144</v>
      </c>
      <c r="G792" s="15">
        <v>1.0049999999999999</v>
      </c>
      <c r="J792" s="15"/>
      <c r="N792" s="14"/>
      <c r="O792" s="14">
        <v>1.0049999999999999</v>
      </c>
      <c r="P792" s="14"/>
      <c r="Q792" s="14"/>
      <c r="R792" s="52"/>
      <c r="S792" s="19">
        <v>3.7499999999999999E-2</v>
      </c>
    </row>
    <row r="793" spans="1:19" x14ac:dyDescent="0.2">
      <c r="A793" s="2">
        <v>22356</v>
      </c>
      <c r="B793" s="2">
        <v>26530</v>
      </c>
      <c r="C793" s="2">
        <v>60220</v>
      </c>
      <c r="D793" t="s">
        <v>616</v>
      </c>
      <c r="G793" s="15">
        <v>0.76245099999999999</v>
      </c>
      <c r="J793" s="15"/>
      <c r="N793" s="14"/>
      <c r="O793" s="14">
        <v>0.83454300000000003</v>
      </c>
      <c r="P793" s="14"/>
      <c r="Q793" s="14"/>
      <c r="R793" s="52"/>
      <c r="S793" s="19">
        <v>0.17916666666666667</v>
      </c>
    </row>
    <row r="794" spans="1:19" x14ac:dyDescent="0.2">
      <c r="A794" s="2">
        <v>22376</v>
      </c>
      <c r="B794" s="2">
        <v>22376</v>
      </c>
      <c r="C794" s="2">
        <v>14353</v>
      </c>
      <c r="D794" t="s">
        <v>1127</v>
      </c>
      <c r="G794" s="15">
        <v>3.3420000000000001</v>
      </c>
      <c r="J794" s="15"/>
      <c r="N794" s="14"/>
      <c r="O794" s="14">
        <v>3.3420000000000001</v>
      </c>
      <c r="P794" s="14"/>
      <c r="Q794" s="14"/>
      <c r="R794" s="52"/>
      <c r="S794" s="22">
        <v>0.1423611111111111</v>
      </c>
    </row>
    <row r="795" spans="1:19" x14ac:dyDescent="0.2">
      <c r="A795" s="2">
        <v>22891</v>
      </c>
      <c r="B795" s="2">
        <v>22891</v>
      </c>
      <c r="C795" s="2">
        <v>15316</v>
      </c>
      <c r="D795" t="s">
        <v>853</v>
      </c>
      <c r="G795" s="15">
        <v>3.3330000000000002</v>
      </c>
      <c r="J795" s="15"/>
      <c r="N795" s="14"/>
      <c r="O795" s="14">
        <v>3.3330000000000002</v>
      </c>
      <c r="P795" s="14"/>
      <c r="Q795" s="14"/>
      <c r="R795" s="52"/>
      <c r="S795" s="19">
        <v>0.1361111111111111</v>
      </c>
    </row>
    <row r="796" spans="1:19" x14ac:dyDescent="0.2">
      <c r="A796" s="2">
        <v>23363</v>
      </c>
      <c r="B796" s="2">
        <v>23363</v>
      </c>
      <c r="C796" s="2">
        <v>72901</v>
      </c>
      <c r="D796" t="s">
        <v>1013</v>
      </c>
      <c r="G796" s="15">
        <v>0.82244600000000001</v>
      </c>
      <c r="J796" s="15"/>
      <c r="N796" s="14"/>
      <c r="O796" s="14">
        <v>0.82244600000000001</v>
      </c>
      <c r="P796" s="14"/>
      <c r="Q796" s="14"/>
      <c r="R796" s="52"/>
      <c r="S796" s="19">
        <v>8.1250000000000003E-2</v>
      </c>
    </row>
    <row r="797" spans="1:19" x14ac:dyDescent="0.2">
      <c r="A797" s="2">
        <v>23812</v>
      </c>
      <c r="B797" s="2">
        <v>21671</v>
      </c>
      <c r="C797" s="2">
        <v>52889</v>
      </c>
      <c r="D797" t="s">
        <v>584</v>
      </c>
      <c r="G797" s="15">
        <v>1.143</v>
      </c>
      <c r="J797" s="15"/>
      <c r="N797" s="14"/>
      <c r="O797" s="14">
        <v>0.83321299999999998</v>
      </c>
      <c r="P797" s="14"/>
      <c r="Q797" s="14"/>
      <c r="R797" s="52"/>
      <c r="S797" s="19">
        <v>0.33749999999999997</v>
      </c>
    </row>
    <row r="798" spans="1:19" x14ac:dyDescent="0.2">
      <c r="A798" s="2">
        <v>24398</v>
      </c>
      <c r="B798" s="2">
        <v>24398</v>
      </c>
      <c r="C798" s="2">
        <v>12636</v>
      </c>
      <c r="D798" t="s">
        <v>1098</v>
      </c>
      <c r="G798" s="15">
        <v>4.9509999999999996</v>
      </c>
      <c r="I798" s="15"/>
      <c r="J798" s="15"/>
      <c r="N798" s="14"/>
      <c r="O798" s="14">
        <v>4.9509999999999996</v>
      </c>
      <c r="P798" s="14"/>
      <c r="Q798" s="14"/>
      <c r="R798" s="52"/>
      <c r="S798" s="19">
        <v>0.17569444444444446</v>
      </c>
    </row>
    <row r="799" spans="1:19" x14ac:dyDescent="0.2">
      <c r="A799" s="2">
        <v>25334</v>
      </c>
      <c r="B799" s="2">
        <v>25457</v>
      </c>
      <c r="C799" s="2">
        <v>45197</v>
      </c>
      <c r="D799" t="s">
        <v>612</v>
      </c>
      <c r="G799" s="15">
        <v>1.218</v>
      </c>
      <c r="J799" s="15"/>
      <c r="N799" s="14"/>
      <c r="O799" s="14">
        <v>1.23</v>
      </c>
      <c r="P799" s="14"/>
      <c r="Q799" s="14"/>
      <c r="R799" s="52"/>
      <c r="S799" s="19">
        <v>0.47638888888888892</v>
      </c>
    </row>
    <row r="800" spans="1:19" x14ac:dyDescent="0.2">
      <c r="A800" s="2">
        <v>25984</v>
      </c>
      <c r="B800" s="2">
        <v>25984</v>
      </c>
      <c r="C800" s="2">
        <v>24090</v>
      </c>
      <c r="D800" t="s">
        <v>810</v>
      </c>
      <c r="G800" s="15">
        <v>2.9129999999999998</v>
      </c>
      <c r="J800" s="15"/>
      <c r="N800" s="14"/>
      <c r="O800" s="14">
        <v>2.9129999999999998</v>
      </c>
      <c r="P800" s="14"/>
      <c r="Q800" s="14"/>
      <c r="R800" s="52"/>
      <c r="S800" s="19">
        <v>8.1944444444444445E-2</v>
      </c>
    </row>
    <row r="801" spans="1:19" x14ac:dyDescent="0.2">
      <c r="A801" s="2">
        <v>26083</v>
      </c>
      <c r="B801" s="2">
        <v>26083</v>
      </c>
      <c r="C801" s="2">
        <v>19557</v>
      </c>
      <c r="D801" t="s">
        <v>1118</v>
      </c>
      <c r="G801" s="15">
        <v>3.0289999999999999</v>
      </c>
      <c r="J801" s="15"/>
      <c r="N801" s="14"/>
      <c r="O801" s="14">
        <v>3.0289999999999999</v>
      </c>
      <c r="P801" s="14"/>
      <c r="Q801" s="14"/>
      <c r="R801" s="52"/>
      <c r="S801" s="22">
        <v>0.11458333333333333</v>
      </c>
    </row>
    <row r="802" spans="1:19" x14ac:dyDescent="0.2">
      <c r="A802" s="2">
        <v>26211</v>
      </c>
      <c r="B802" s="2">
        <v>26211</v>
      </c>
      <c r="C802" s="2">
        <v>47275</v>
      </c>
      <c r="D802" t="s">
        <v>1214</v>
      </c>
      <c r="G802" s="14">
        <v>1.371</v>
      </c>
      <c r="N802" s="14"/>
      <c r="O802" s="14">
        <v>1.371</v>
      </c>
      <c r="P802" s="14"/>
      <c r="Q802" s="14"/>
      <c r="R802" s="52"/>
      <c r="S802" s="19">
        <v>0.12361111111111112</v>
      </c>
    </row>
    <row r="803" spans="1:19" x14ac:dyDescent="0.2">
      <c r="A803" s="2">
        <v>26323</v>
      </c>
      <c r="B803" s="2">
        <v>26323</v>
      </c>
      <c r="C803" s="2">
        <v>46851</v>
      </c>
      <c r="D803" t="s">
        <v>997</v>
      </c>
      <c r="G803" s="15">
        <v>0.93803700000000001</v>
      </c>
      <c r="J803" s="15"/>
      <c r="N803" s="14"/>
      <c r="O803" s="14">
        <v>0.93803700000000001</v>
      </c>
      <c r="P803" s="14"/>
      <c r="Q803" s="14"/>
      <c r="R803" s="52"/>
      <c r="S803" s="19">
        <v>0.23333333333333331</v>
      </c>
    </row>
    <row r="804" spans="1:19" x14ac:dyDescent="0.2">
      <c r="A804" s="2">
        <v>26693</v>
      </c>
      <c r="B804" s="2">
        <v>26693</v>
      </c>
      <c r="C804" s="2">
        <v>24558</v>
      </c>
      <c r="D804" t="s">
        <v>1130</v>
      </c>
      <c r="G804" s="15">
        <v>2.6469999999999998</v>
      </c>
      <c r="J804" s="15"/>
      <c r="N804" s="14"/>
      <c r="O804" s="14">
        <v>2.6469999999999998</v>
      </c>
      <c r="P804" s="14"/>
      <c r="Q804" s="14"/>
      <c r="R804" s="52"/>
      <c r="S804" s="22">
        <v>0.15763888888888888</v>
      </c>
    </row>
    <row r="805" spans="1:19" x14ac:dyDescent="0.2">
      <c r="A805" s="2">
        <v>26826</v>
      </c>
      <c r="B805" s="2">
        <v>26826</v>
      </c>
      <c r="C805" s="2">
        <v>42719</v>
      </c>
      <c r="D805" t="s">
        <v>829</v>
      </c>
      <c r="G805" s="15">
        <v>1.3540000000000001</v>
      </c>
      <c r="J805" s="15"/>
      <c r="N805" s="14"/>
      <c r="O805" s="14">
        <v>1.3540000000000001</v>
      </c>
      <c r="P805" s="14"/>
      <c r="Q805" s="14"/>
      <c r="R805" s="52"/>
      <c r="S805" s="19">
        <v>0.1277777777777778</v>
      </c>
    </row>
    <row r="806" spans="1:19" x14ac:dyDescent="0.2">
      <c r="A806" s="2">
        <v>27230</v>
      </c>
      <c r="B806" s="2">
        <v>27230</v>
      </c>
      <c r="C806" s="2">
        <v>22448</v>
      </c>
      <c r="D806" t="s">
        <v>1119</v>
      </c>
      <c r="G806" s="15">
        <v>2.8860000000000001</v>
      </c>
      <c r="J806" s="15"/>
      <c r="N806" s="14"/>
      <c r="O806" s="14">
        <v>2.8860000000000001</v>
      </c>
      <c r="P806" s="14"/>
      <c r="Q806" s="14"/>
      <c r="R806" s="52"/>
      <c r="S806" s="22">
        <v>0.2076388888888889</v>
      </c>
    </row>
    <row r="807" spans="1:19" x14ac:dyDescent="0.2">
      <c r="A807" s="2">
        <v>27488</v>
      </c>
      <c r="B807" s="2">
        <v>27488</v>
      </c>
      <c r="C807" s="2">
        <v>64015</v>
      </c>
      <c r="D807" t="s">
        <v>1041</v>
      </c>
      <c r="G807" s="15">
        <v>0.93698099999999995</v>
      </c>
      <c r="J807" s="15"/>
      <c r="N807" s="14"/>
      <c r="O807" s="14">
        <v>0.93698099999999995</v>
      </c>
      <c r="P807" s="14"/>
      <c r="Q807" s="14"/>
      <c r="R807" s="52"/>
      <c r="S807" s="19">
        <v>6.458333333333334E-2</v>
      </c>
    </row>
    <row r="808" spans="1:19" x14ac:dyDescent="0.2">
      <c r="A808" s="2">
        <v>27798</v>
      </c>
      <c r="B808" s="2">
        <v>27798</v>
      </c>
      <c r="C808" s="2">
        <v>58522</v>
      </c>
      <c r="D808" t="s">
        <v>1162</v>
      </c>
      <c r="G808" s="15">
        <v>0.62439100000000003</v>
      </c>
      <c r="J808" s="15"/>
      <c r="N808" s="14"/>
      <c r="O808" s="14">
        <v>0.62439100000000003</v>
      </c>
      <c r="P808" s="14"/>
      <c r="Q808" s="14"/>
      <c r="R808" s="52"/>
      <c r="S808" s="19">
        <v>0.27013888888888887</v>
      </c>
    </row>
    <row r="809" spans="1:19" x14ac:dyDescent="0.2">
      <c r="A809" s="2">
        <v>27944</v>
      </c>
      <c r="B809" s="2">
        <v>27944</v>
      </c>
      <c r="C809" s="2">
        <v>33877</v>
      </c>
      <c r="D809" t="s">
        <v>799</v>
      </c>
      <c r="E809" t="s">
        <v>800</v>
      </c>
      <c r="F809" s="2">
        <v>4000</v>
      </c>
      <c r="G809" s="15">
        <v>1.9219999999999999</v>
      </c>
      <c r="J809" s="15"/>
      <c r="N809" s="14"/>
      <c r="O809" s="14">
        <v>1.9219999999999999</v>
      </c>
      <c r="P809" s="14"/>
      <c r="Q809" s="14"/>
      <c r="R809" s="52"/>
      <c r="S809" s="19">
        <v>0.27152777777777776</v>
      </c>
    </row>
    <row r="810" spans="1:19" x14ac:dyDescent="0.2">
      <c r="A810" s="2">
        <v>28125</v>
      </c>
      <c r="B810" s="2">
        <v>28125</v>
      </c>
      <c r="C810" s="2">
        <v>43863</v>
      </c>
      <c r="D810" t="s">
        <v>967</v>
      </c>
      <c r="G810" s="15">
        <v>1.8029999999999999</v>
      </c>
      <c r="J810" s="15"/>
      <c r="N810" s="14"/>
      <c r="O810" s="14">
        <v>1.8029999999999999</v>
      </c>
      <c r="P810" s="14"/>
      <c r="Q810" s="14"/>
      <c r="R810" s="52"/>
      <c r="S810" s="19">
        <v>0.13958333333333334</v>
      </c>
    </row>
    <row r="811" spans="1:19" x14ac:dyDescent="0.2">
      <c r="A811" s="2">
        <v>28394</v>
      </c>
      <c r="B811" s="2">
        <v>28394</v>
      </c>
      <c r="C811" s="2">
        <v>51991</v>
      </c>
      <c r="D811" t="s">
        <v>1183</v>
      </c>
      <c r="G811" s="15">
        <v>1.3440000000000001</v>
      </c>
      <c r="J811" s="15"/>
      <c r="N811" s="14"/>
      <c r="O811" s="14">
        <v>1.3440000000000001</v>
      </c>
      <c r="P811" s="14"/>
      <c r="Q811" s="14"/>
      <c r="R811" s="52"/>
      <c r="S811" s="22">
        <v>7.9861111111111105E-2</v>
      </c>
    </row>
    <row r="812" spans="1:19" x14ac:dyDescent="0.2">
      <c r="A812" s="2">
        <v>28538</v>
      </c>
      <c r="B812" s="2">
        <v>28538</v>
      </c>
      <c r="C812" s="2">
        <v>25651</v>
      </c>
      <c r="D812" t="s">
        <v>1105</v>
      </c>
      <c r="G812" s="15">
        <v>2.145</v>
      </c>
      <c r="J812" s="15"/>
      <c r="N812" s="14"/>
      <c r="O812" s="14">
        <v>2.145</v>
      </c>
      <c r="P812" s="14"/>
      <c r="Q812" s="14"/>
      <c r="R812" s="52"/>
      <c r="S812" s="19">
        <v>0.17083333333333331</v>
      </c>
    </row>
    <row r="813" spans="1:19" x14ac:dyDescent="0.2">
      <c r="A813" s="2">
        <v>28879</v>
      </c>
      <c r="B813" s="2">
        <v>28879</v>
      </c>
      <c r="C813" s="2">
        <v>28464</v>
      </c>
      <c r="D813" t="s">
        <v>873</v>
      </c>
      <c r="G813" s="15">
        <v>1.9510000000000001</v>
      </c>
      <c r="J813" s="15"/>
      <c r="N813" s="14"/>
      <c r="O813" s="14">
        <v>1.9510000000000001</v>
      </c>
      <c r="P813" s="14"/>
      <c r="Q813" s="14"/>
      <c r="R813" s="52"/>
      <c r="S813" s="19">
        <v>0.14652777777777778</v>
      </c>
    </row>
    <row r="814" spans="1:19" x14ac:dyDescent="0.2">
      <c r="A814" s="2">
        <v>29115</v>
      </c>
      <c r="B814" s="2">
        <v>29115</v>
      </c>
      <c r="C814" s="2">
        <v>125709</v>
      </c>
      <c r="D814" t="s">
        <v>1145</v>
      </c>
      <c r="G814" s="15">
        <v>0.58443599999999996</v>
      </c>
      <c r="J814" s="15"/>
      <c r="N814" s="14"/>
      <c r="O814" s="14">
        <v>0.58443599999999996</v>
      </c>
      <c r="P814" s="14"/>
      <c r="Q814" s="14"/>
      <c r="R814" s="52"/>
      <c r="S814" s="19">
        <v>2.9166666666666664E-2</v>
      </c>
    </row>
    <row r="815" spans="1:19" x14ac:dyDescent="0.2">
      <c r="A815" s="2">
        <v>29148</v>
      </c>
      <c r="B815" s="2">
        <v>29148</v>
      </c>
      <c r="C815" s="2">
        <v>53655</v>
      </c>
      <c r="D815" t="s">
        <v>864</v>
      </c>
      <c r="G815" s="15">
        <v>1.0249999999999999</v>
      </c>
      <c r="J815" s="15"/>
      <c r="N815" s="14"/>
      <c r="O815" s="14">
        <v>1.0249999999999999</v>
      </c>
      <c r="P815" s="14"/>
      <c r="Q815" s="14"/>
      <c r="R815" s="52"/>
      <c r="S815" s="22">
        <v>0.11805555555555557</v>
      </c>
    </row>
    <row r="816" spans="1:19" x14ac:dyDescent="0.2">
      <c r="A816" s="2">
        <v>30286</v>
      </c>
      <c r="B816" s="2">
        <v>30286</v>
      </c>
      <c r="C816" s="2">
        <v>42126</v>
      </c>
      <c r="D816" t="s">
        <v>1012</v>
      </c>
      <c r="G816" s="15">
        <v>1.387</v>
      </c>
      <c r="J816" s="15"/>
      <c r="N816" s="14"/>
      <c r="O816" s="14">
        <v>1.387</v>
      </c>
      <c r="P816" s="14"/>
      <c r="Q816" s="14"/>
      <c r="R816" s="52"/>
      <c r="S816" s="19">
        <v>0.1173611111111111</v>
      </c>
    </row>
    <row r="817" spans="1:19" x14ac:dyDescent="0.2">
      <c r="A817" s="2">
        <v>30929</v>
      </c>
      <c r="B817" s="2">
        <v>33173</v>
      </c>
      <c r="C817" s="2">
        <v>71965</v>
      </c>
      <c r="D817" t="s">
        <v>574</v>
      </c>
      <c r="G817" s="15">
        <v>0.75358099999999995</v>
      </c>
      <c r="J817" s="15"/>
      <c r="N817" s="14"/>
      <c r="O817" s="14">
        <v>0.75358099999999995</v>
      </c>
      <c r="P817" s="14"/>
      <c r="Q817" s="14"/>
      <c r="R817" s="52"/>
      <c r="S817" s="19">
        <v>5.4166666666666669E-2</v>
      </c>
    </row>
    <row r="818" spans="1:19" x14ac:dyDescent="0.2">
      <c r="A818" s="2">
        <v>32082</v>
      </c>
      <c r="B818" s="2">
        <v>32082</v>
      </c>
      <c r="C818" s="2">
        <v>81464</v>
      </c>
      <c r="D818" t="s">
        <v>1014</v>
      </c>
      <c r="G818" s="15">
        <v>0.72070299999999998</v>
      </c>
      <c r="J818" s="15"/>
      <c r="N818" s="14"/>
      <c r="O818" s="14">
        <v>0.72070299999999998</v>
      </c>
      <c r="P818" s="14"/>
      <c r="Q818" s="14"/>
      <c r="R818" s="52"/>
      <c r="S818" s="19">
        <v>0.11041666666666666</v>
      </c>
    </row>
    <row r="819" spans="1:19" x14ac:dyDescent="0.2">
      <c r="A819" s="2">
        <v>32200</v>
      </c>
      <c r="B819" s="2">
        <v>32200</v>
      </c>
      <c r="C819" s="2">
        <v>32089</v>
      </c>
      <c r="D819" t="s">
        <v>974</v>
      </c>
      <c r="G819" s="15">
        <v>2.7610000000000001</v>
      </c>
      <c r="J819" s="15"/>
      <c r="N819" s="14"/>
      <c r="O819" s="14">
        <v>2.7610000000000001</v>
      </c>
      <c r="P819" s="14"/>
      <c r="Q819" s="14"/>
      <c r="R819" s="52"/>
      <c r="S819" s="22">
        <v>5.6250000000000001E-2</v>
      </c>
    </row>
    <row r="820" spans="1:19" x14ac:dyDescent="0.2">
      <c r="A820" s="2">
        <v>32363</v>
      </c>
      <c r="B820" s="2">
        <v>32363</v>
      </c>
      <c r="C820" s="2">
        <v>60520</v>
      </c>
      <c r="D820" t="s">
        <v>1047</v>
      </c>
      <c r="G820" s="15">
        <v>0.98753800000000003</v>
      </c>
      <c r="J820" s="15"/>
      <c r="N820" s="14"/>
      <c r="O820" s="14">
        <v>0.98753800000000003</v>
      </c>
      <c r="P820" s="14"/>
      <c r="Q820" s="14"/>
      <c r="R820" s="52"/>
      <c r="S820" s="19">
        <v>6.9444444444444434E-2</v>
      </c>
    </row>
    <row r="821" spans="1:19" x14ac:dyDescent="0.2">
      <c r="A821" s="2">
        <v>32417</v>
      </c>
      <c r="B821" s="2">
        <v>26164</v>
      </c>
      <c r="C821" s="2">
        <v>74686</v>
      </c>
      <c r="D821" t="s">
        <v>569</v>
      </c>
      <c r="G821" s="15">
        <v>0.789879</v>
      </c>
      <c r="H821" s="15">
        <v>2.7129E-2</v>
      </c>
      <c r="I821" s="16">
        <v>1.7961999999999999E-2</v>
      </c>
      <c r="J821" s="15">
        <v>0.16023499999999999</v>
      </c>
      <c r="N821" s="14"/>
      <c r="O821" s="14">
        <v>0.74199700000000002</v>
      </c>
      <c r="P821" s="14"/>
      <c r="Q821" s="14"/>
      <c r="R821" s="52"/>
      <c r="S821" s="19">
        <v>0.1763888888888889</v>
      </c>
    </row>
    <row r="822" spans="1:19" x14ac:dyDescent="0.2">
      <c r="A822" s="2">
        <v>34025</v>
      </c>
      <c r="B822" s="2">
        <v>34025</v>
      </c>
      <c r="C822" s="2">
        <v>44526</v>
      </c>
      <c r="D822" t="s">
        <v>1092</v>
      </c>
      <c r="G822" s="15">
        <v>1.7010000000000001</v>
      </c>
      <c r="J822" s="15"/>
      <c r="N822" s="14"/>
      <c r="O822" s="14">
        <v>1.7010000000000001</v>
      </c>
      <c r="P822" s="14"/>
      <c r="Q822" s="14"/>
      <c r="R822" s="52"/>
      <c r="S822" s="22">
        <v>4.5833333333333337E-2</v>
      </c>
    </row>
    <row r="823" spans="1:19" x14ac:dyDescent="0.2">
      <c r="A823" s="2">
        <v>34307</v>
      </c>
      <c r="B823" s="2">
        <v>34307</v>
      </c>
      <c r="C823" s="2">
        <v>96734</v>
      </c>
      <c r="D823" t="s">
        <v>993</v>
      </c>
      <c r="G823" s="15">
        <v>0.46610499999999999</v>
      </c>
      <c r="J823" s="15"/>
      <c r="N823" s="14"/>
      <c r="O823" s="14">
        <v>0.46610499999999999</v>
      </c>
      <c r="P823" s="14"/>
      <c r="Q823" s="14"/>
      <c r="R823" s="52"/>
      <c r="S823" s="22">
        <v>0.16041666666666668</v>
      </c>
    </row>
    <row r="824" spans="1:19" x14ac:dyDescent="0.2">
      <c r="A824" s="2">
        <v>34646</v>
      </c>
      <c r="B824" s="2">
        <v>34646</v>
      </c>
      <c r="C824" s="2">
        <v>20101</v>
      </c>
      <c r="D824" t="s">
        <v>1021</v>
      </c>
      <c r="G824" s="15">
        <v>2.1360000000000001</v>
      </c>
      <c r="J824" s="15"/>
      <c r="N824" s="14"/>
      <c r="O824" s="14">
        <v>2.1360000000000001</v>
      </c>
      <c r="P824" s="14"/>
      <c r="Q824" s="14"/>
      <c r="R824" s="52"/>
      <c r="S824" s="19">
        <v>0.20069444444444443</v>
      </c>
    </row>
    <row r="825" spans="1:19" x14ac:dyDescent="0.2">
      <c r="A825" s="2">
        <v>35088</v>
      </c>
      <c r="B825" s="2">
        <v>35088</v>
      </c>
      <c r="C825" s="2">
        <v>50232</v>
      </c>
      <c r="D825" t="s">
        <v>840</v>
      </c>
      <c r="G825" s="15">
        <v>1.163</v>
      </c>
      <c r="J825" s="15"/>
      <c r="N825" s="14"/>
      <c r="O825" s="14">
        <v>1.163</v>
      </c>
      <c r="P825" s="14"/>
      <c r="Q825" s="14"/>
      <c r="R825" s="52"/>
      <c r="S825" s="19">
        <v>0.1388888888888889</v>
      </c>
    </row>
    <row r="826" spans="1:19" x14ac:dyDescent="0.2">
      <c r="A826" s="2">
        <v>35137</v>
      </c>
      <c r="B826" s="2">
        <v>35137</v>
      </c>
      <c r="C826" s="2">
        <v>71605</v>
      </c>
      <c r="D826" t="s">
        <v>939</v>
      </c>
      <c r="G826" s="15">
        <v>0.80907300000000004</v>
      </c>
      <c r="J826" s="15"/>
      <c r="N826" s="14"/>
      <c r="O826" s="14">
        <v>0.80907300000000004</v>
      </c>
      <c r="P826" s="14"/>
      <c r="Q826" s="14"/>
      <c r="R826" s="52"/>
      <c r="S826" s="19">
        <v>0.12291666666666667</v>
      </c>
    </row>
    <row r="827" spans="1:19" x14ac:dyDescent="0.2">
      <c r="A827" s="2">
        <v>35336</v>
      </c>
      <c r="B827" s="2">
        <v>35336</v>
      </c>
      <c r="C827" s="2">
        <v>84797</v>
      </c>
      <c r="D827" t="s">
        <v>819</v>
      </c>
      <c r="G827" s="15">
        <v>0.75510100000000002</v>
      </c>
      <c r="J827" s="15"/>
      <c r="N827" s="14"/>
      <c r="O827" s="14">
        <v>0.75510100000000002</v>
      </c>
      <c r="P827" s="14"/>
      <c r="Q827" s="14"/>
      <c r="R827" s="52"/>
      <c r="S827" s="19">
        <v>7.3611111111111113E-2</v>
      </c>
    </row>
    <row r="828" spans="1:19" x14ac:dyDescent="0.2">
      <c r="A828" s="2">
        <v>36761</v>
      </c>
      <c r="B828" s="2">
        <v>36761</v>
      </c>
      <c r="C828" s="2">
        <v>24646</v>
      </c>
      <c r="D828" t="s">
        <v>1148</v>
      </c>
      <c r="G828" s="15">
        <v>3.6629999999999998</v>
      </c>
      <c r="J828" s="15"/>
      <c r="N828" s="14"/>
      <c r="O828" s="14">
        <v>3.6629999999999998</v>
      </c>
      <c r="P828" s="14"/>
      <c r="Q828" s="14"/>
      <c r="R828" s="52"/>
      <c r="S828" s="19">
        <v>0.15</v>
      </c>
    </row>
    <row r="829" spans="1:19" x14ac:dyDescent="0.2">
      <c r="A829" s="2">
        <v>36807</v>
      </c>
      <c r="B829" s="2">
        <v>36807</v>
      </c>
      <c r="C829" s="2">
        <v>91588</v>
      </c>
      <c r="D829" t="s">
        <v>1104</v>
      </c>
      <c r="G829" s="15">
        <v>0.813168</v>
      </c>
      <c r="J829" s="15"/>
      <c r="N829" s="14"/>
      <c r="O829" s="14">
        <v>0.813168</v>
      </c>
      <c r="P829" s="14"/>
      <c r="Q829" s="14"/>
      <c r="R829" s="52"/>
      <c r="S829" s="19">
        <v>9.7222222222222224E-2</v>
      </c>
    </row>
    <row r="830" spans="1:19" x14ac:dyDescent="0.2">
      <c r="A830" s="2">
        <v>37029</v>
      </c>
      <c r="B830" s="2">
        <v>37029</v>
      </c>
      <c r="C830" s="2">
        <v>109343</v>
      </c>
      <c r="D830" t="s">
        <v>787</v>
      </c>
      <c r="G830" s="15">
        <v>0.49878899999999998</v>
      </c>
      <c r="J830" s="15"/>
      <c r="N830" s="14"/>
      <c r="O830" s="14">
        <v>0.49878899999999998</v>
      </c>
      <c r="P830" s="14"/>
      <c r="Q830" s="14"/>
      <c r="R830" s="52"/>
      <c r="S830" s="19">
        <v>7.0833333333333331E-2</v>
      </c>
    </row>
    <row r="831" spans="1:19" x14ac:dyDescent="0.2">
      <c r="A831" s="2">
        <v>37666</v>
      </c>
      <c r="B831" s="2">
        <v>37666</v>
      </c>
      <c r="C831" s="2">
        <v>61277</v>
      </c>
      <c r="D831" t="s">
        <v>861</v>
      </c>
      <c r="G831" s="15">
        <v>0.80319799999999997</v>
      </c>
      <c r="J831" s="15"/>
      <c r="N831" s="14"/>
      <c r="O831" s="14">
        <v>0.80319799999999997</v>
      </c>
      <c r="P831" s="14"/>
      <c r="Q831" s="14"/>
      <c r="R831" s="52"/>
      <c r="S831" s="19">
        <v>0.17986111111111111</v>
      </c>
    </row>
    <row r="832" spans="1:19" x14ac:dyDescent="0.2">
      <c r="A832" s="2">
        <v>38293</v>
      </c>
      <c r="B832" s="2">
        <v>38293</v>
      </c>
      <c r="C832" s="2">
        <v>17261</v>
      </c>
      <c r="D832" t="s">
        <v>1027</v>
      </c>
      <c r="G832" s="15">
        <v>2.7839999999999998</v>
      </c>
      <c r="J832" s="15"/>
      <c r="N832" s="14"/>
      <c r="O832" s="14">
        <v>2.7839999999999998</v>
      </c>
      <c r="P832" s="14"/>
      <c r="Q832" s="14"/>
      <c r="R832" s="52"/>
      <c r="S832" s="19">
        <v>0.17152777777777775</v>
      </c>
    </row>
    <row r="833" spans="1:19" x14ac:dyDescent="0.2">
      <c r="A833" s="2">
        <v>38983</v>
      </c>
      <c r="B833" s="2">
        <v>38983</v>
      </c>
      <c r="C833" s="2">
        <v>41040</v>
      </c>
      <c r="D833" t="s">
        <v>1109</v>
      </c>
      <c r="G833" s="15">
        <v>0.95647000000000004</v>
      </c>
      <c r="J833" s="15"/>
      <c r="N833" s="14"/>
      <c r="O833" s="14">
        <v>0.95647000000000004</v>
      </c>
      <c r="P833" s="14"/>
      <c r="Q833" s="14"/>
      <c r="R833" s="52"/>
      <c r="S833" s="19">
        <v>0.25</v>
      </c>
    </row>
    <row r="834" spans="1:19" x14ac:dyDescent="0.2">
      <c r="A834" s="2">
        <v>40124</v>
      </c>
      <c r="B834" s="2">
        <v>40124</v>
      </c>
      <c r="C834" s="2">
        <v>37519</v>
      </c>
      <c r="D834" t="s">
        <v>1038</v>
      </c>
      <c r="G834" s="15">
        <v>1.4039999999999999</v>
      </c>
      <c r="J834" s="15"/>
      <c r="N834" s="14"/>
      <c r="O834" s="14">
        <v>1.4039999999999999</v>
      </c>
      <c r="P834" s="14"/>
      <c r="Q834" s="14"/>
      <c r="R834" s="52"/>
      <c r="S834" s="19">
        <v>0.27013888888888887</v>
      </c>
    </row>
    <row r="835" spans="1:19" x14ac:dyDescent="0.2">
      <c r="A835" s="2">
        <v>41697</v>
      </c>
      <c r="B835" s="2">
        <v>41697</v>
      </c>
      <c r="C835" s="2">
        <v>69247</v>
      </c>
      <c r="D835" t="s">
        <v>1039</v>
      </c>
      <c r="G835" s="15">
        <v>0.939438</v>
      </c>
      <c r="J835" s="15"/>
      <c r="N835" s="14"/>
      <c r="O835" s="14">
        <v>0.939438</v>
      </c>
      <c r="P835" s="14"/>
      <c r="Q835" s="14"/>
      <c r="R835" s="52"/>
      <c r="S835" s="19">
        <v>6.0416666666666667E-2</v>
      </c>
    </row>
    <row r="836" spans="1:19" x14ac:dyDescent="0.2">
      <c r="A836" s="2">
        <v>42170</v>
      </c>
      <c r="B836" s="2">
        <v>42170</v>
      </c>
      <c r="C836" s="2">
        <v>43294</v>
      </c>
      <c r="D836" t="s">
        <v>1150</v>
      </c>
      <c r="G836" s="15">
        <v>1.6140000000000001</v>
      </c>
      <c r="J836" s="15"/>
      <c r="N836" s="14"/>
      <c r="O836" s="14">
        <v>1.6140000000000001</v>
      </c>
      <c r="P836" s="14"/>
      <c r="Q836" s="14"/>
      <c r="R836" s="52"/>
      <c r="S836" s="19">
        <v>0.1763888888888889</v>
      </c>
    </row>
    <row r="837" spans="1:19" x14ac:dyDescent="0.2">
      <c r="A837" s="2">
        <v>42270</v>
      </c>
      <c r="B837" s="2">
        <v>42270</v>
      </c>
      <c r="C837" s="2">
        <v>132544</v>
      </c>
      <c r="D837" t="s">
        <v>1028</v>
      </c>
      <c r="G837" s="15">
        <v>0.34871999999999997</v>
      </c>
      <c r="J837" s="15"/>
      <c r="N837" s="14"/>
      <c r="O837" s="14">
        <v>0.34871999999999997</v>
      </c>
      <c r="P837" s="14"/>
      <c r="Q837" s="14"/>
      <c r="R837" s="52"/>
      <c r="S837" s="19">
        <v>0.1277777777777778</v>
      </c>
    </row>
    <row r="838" spans="1:19" x14ac:dyDescent="0.2">
      <c r="A838" s="2">
        <v>46675</v>
      </c>
      <c r="B838" s="2">
        <v>46675</v>
      </c>
      <c r="C838" s="2">
        <v>33418</v>
      </c>
      <c r="D838" t="s">
        <v>839</v>
      </c>
      <c r="G838" s="15">
        <v>1.7669999999999999</v>
      </c>
      <c r="J838" s="15"/>
      <c r="N838" s="14"/>
      <c r="O838" s="14">
        <v>1.7669999999999999</v>
      </c>
      <c r="P838" s="14"/>
      <c r="Q838" s="14"/>
      <c r="R838" s="52"/>
      <c r="S838" s="19">
        <v>0.13194444444444445</v>
      </c>
    </row>
    <row r="839" spans="1:19" x14ac:dyDescent="0.2">
      <c r="A839" s="2">
        <v>47038</v>
      </c>
      <c r="B839" s="2">
        <v>47038</v>
      </c>
      <c r="C839" s="2">
        <v>56427</v>
      </c>
      <c r="D839" t="s">
        <v>1043</v>
      </c>
      <c r="G839" s="15">
        <v>0.88661800000000002</v>
      </c>
      <c r="J839" s="15"/>
      <c r="N839" s="14"/>
      <c r="O839" s="14">
        <v>0.88661800000000002</v>
      </c>
      <c r="P839" s="14"/>
      <c r="Q839" s="14"/>
      <c r="R839" s="52"/>
      <c r="S839" s="19">
        <v>0.11388888888888889</v>
      </c>
    </row>
    <row r="840" spans="1:19" x14ac:dyDescent="0.2">
      <c r="A840" s="2">
        <v>48169</v>
      </c>
      <c r="B840" s="2">
        <v>48169</v>
      </c>
      <c r="C840" s="2">
        <v>150491</v>
      </c>
      <c r="D840" t="s">
        <v>1132</v>
      </c>
      <c r="G840" s="15">
        <v>0.288435</v>
      </c>
      <c r="J840" s="15"/>
      <c r="N840" s="14"/>
      <c r="O840" s="14">
        <v>0.288435</v>
      </c>
      <c r="P840" s="14"/>
      <c r="Q840" s="14"/>
      <c r="R840" s="52"/>
      <c r="S840" s="19">
        <v>0.47569444444444442</v>
      </c>
    </row>
    <row r="841" spans="1:19" x14ac:dyDescent="0.2">
      <c r="A841" s="2">
        <v>48750</v>
      </c>
      <c r="B841" s="2">
        <v>48750</v>
      </c>
      <c r="C841" s="2">
        <v>56854</v>
      </c>
      <c r="D841" t="s">
        <v>1019</v>
      </c>
      <c r="G841" s="15">
        <v>0.75953000000000004</v>
      </c>
      <c r="J841" s="15"/>
      <c r="N841" s="14"/>
      <c r="O841" s="14">
        <v>0.75953000000000004</v>
      </c>
      <c r="P841" s="14"/>
      <c r="Q841" s="14"/>
      <c r="R841" s="52"/>
      <c r="S841" s="19">
        <v>0.14305555555555557</v>
      </c>
    </row>
    <row r="842" spans="1:19" x14ac:dyDescent="0.2">
      <c r="A842" s="2">
        <v>48972</v>
      </c>
      <c r="B842" s="2">
        <v>48972</v>
      </c>
      <c r="C842" s="2">
        <v>108759</v>
      </c>
      <c r="D842" t="s">
        <v>915</v>
      </c>
      <c r="G842" s="15">
        <v>0.522698</v>
      </c>
      <c r="J842" s="15"/>
      <c r="N842" s="14"/>
      <c r="O842" s="14">
        <v>0.522698</v>
      </c>
      <c r="P842" s="14"/>
      <c r="Q842" s="14"/>
      <c r="R842" s="52"/>
      <c r="S842" s="19">
        <v>0.17500000000000002</v>
      </c>
    </row>
    <row r="843" spans="1:19" x14ac:dyDescent="0.2">
      <c r="A843" s="2">
        <v>52176</v>
      </c>
      <c r="B843" s="2">
        <v>52176</v>
      </c>
      <c r="C843" s="2">
        <v>127697</v>
      </c>
      <c r="D843" t="s">
        <v>791</v>
      </c>
      <c r="G843" s="15">
        <v>0.38327699999999998</v>
      </c>
      <c r="J843" s="15"/>
      <c r="N843" s="14"/>
      <c r="O843" s="14">
        <v>0.38327699999999998</v>
      </c>
      <c r="P843" s="14"/>
      <c r="Q843" s="14"/>
      <c r="R843" s="52"/>
      <c r="S843" s="19">
        <v>0.11875000000000001</v>
      </c>
    </row>
    <row r="844" spans="1:19" x14ac:dyDescent="0.2">
      <c r="A844" s="2">
        <v>53051</v>
      </c>
      <c r="B844" s="2">
        <v>53051</v>
      </c>
      <c r="C844" s="2">
        <v>237636</v>
      </c>
      <c r="D844" t="s">
        <v>1091</v>
      </c>
      <c r="G844" s="15">
        <v>0.270791</v>
      </c>
      <c r="J844" s="15"/>
      <c r="N844" s="14"/>
      <c r="O844" s="14">
        <v>0.270791</v>
      </c>
      <c r="P844" s="14"/>
      <c r="Q844" s="14"/>
      <c r="R844" s="52"/>
      <c r="S844" s="19">
        <v>3.888888888888889E-2</v>
      </c>
    </row>
    <row r="845" spans="1:19" x14ac:dyDescent="0.2">
      <c r="A845" s="2">
        <v>55354</v>
      </c>
      <c r="B845" s="2">
        <v>55354</v>
      </c>
      <c r="C845" s="2">
        <v>70450</v>
      </c>
      <c r="D845" t="s">
        <v>942</v>
      </c>
      <c r="G845" s="15">
        <v>0.63859900000000003</v>
      </c>
      <c r="J845" s="15"/>
      <c r="N845" s="14"/>
      <c r="O845" s="14">
        <v>0.63859900000000003</v>
      </c>
      <c r="P845" s="14"/>
      <c r="Q845" s="14"/>
      <c r="R845" s="52"/>
      <c r="S845" s="19">
        <v>0.18611111111111112</v>
      </c>
    </row>
    <row r="846" spans="1:19" x14ac:dyDescent="0.2">
      <c r="A846" s="2">
        <v>55724</v>
      </c>
      <c r="B846" s="2">
        <v>55724</v>
      </c>
      <c r="C846" s="2">
        <v>209170</v>
      </c>
      <c r="D846" t="s">
        <v>1040</v>
      </c>
      <c r="G846" s="15">
        <v>0.298043</v>
      </c>
      <c r="J846" s="15"/>
      <c r="N846" s="14"/>
      <c r="O846" s="14">
        <v>0.298043</v>
      </c>
      <c r="P846" s="14"/>
      <c r="Q846" s="14"/>
      <c r="R846" s="52"/>
      <c r="S846" s="19">
        <v>2.2916666666666669E-2</v>
      </c>
    </row>
    <row r="847" spans="1:19" x14ac:dyDescent="0.2">
      <c r="A847" s="2">
        <v>56210</v>
      </c>
      <c r="B847" s="2">
        <v>56210</v>
      </c>
      <c r="C847" s="2">
        <v>77864</v>
      </c>
      <c r="D847" t="s">
        <v>935</v>
      </c>
      <c r="G847" s="15">
        <v>0.77962500000000001</v>
      </c>
      <c r="J847" s="15"/>
      <c r="N847" s="14"/>
      <c r="O847" s="14">
        <v>0.77962500000000001</v>
      </c>
      <c r="P847" s="14"/>
      <c r="Q847" s="14"/>
      <c r="R847" s="52"/>
      <c r="S847" s="19">
        <v>0.12708333333333333</v>
      </c>
    </row>
    <row r="848" spans="1:19" x14ac:dyDescent="0.2">
      <c r="A848" s="2">
        <v>56722</v>
      </c>
      <c r="B848" s="2">
        <v>56722</v>
      </c>
      <c r="C848" s="2">
        <v>179853</v>
      </c>
      <c r="D848" t="s">
        <v>859</v>
      </c>
      <c r="G848" s="15">
        <v>0.18307699999999999</v>
      </c>
      <c r="J848" s="15"/>
      <c r="N848" s="14"/>
      <c r="O848" s="14">
        <v>0.18307699999999999</v>
      </c>
      <c r="P848" s="14"/>
      <c r="Q848" s="14"/>
      <c r="R848" s="52"/>
      <c r="S848" s="19">
        <v>0.33124999999999999</v>
      </c>
    </row>
    <row r="849" spans="1:19" x14ac:dyDescent="0.2">
      <c r="A849" s="2">
        <v>57277</v>
      </c>
      <c r="B849" s="2">
        <v>57277</v>
      </c>
      <c r="C849" s="2">
        <v>40671</v>
      </c>
      <c r="D849" t="s">
        <v>963</v>
      </c>
      <c r="G849" s="15">
        <v>0.88869299999999996</v>
      </c>
      <c r="J849" s="15"/>
      <c r="N849" s="14"/>
      <c r="O849" s="14">
        <v>0.88869299999999996</v>
      </c>
      <c r="P849" s="14"/>
      <c r="Q849" s="14"/>
      <c r="R849" s="52"/>
      <c r="S849" s="19">
        <v>0.19930555555555554</v>
      </c>
    </row>
    <row r="850" spans="1:19" x14ac:dyDescent="0.2">
      <c r="A850" s="2">
        <v>58426</v>
      </c>
      <c r="B850" s="2">
        <v>58426</v>
      </c>
      <c r="C850" s="2">
        <v>107141</v>
      </c>
      <c r="D850" t="s">
        <v>999</v>
      </c>
      <c r="G850" s="15">
        <v>0.72270199999999996</v>
      </c>
      <c r="J850" s="15"/>
      <c r="N850" s="14"/>
      <c r="O850" s="14">
        <v>0.72270199999999996</v>
      </c>
      <c r="P850" s="14"/>
      <c r="Q850" s="14"/>
      <c r="R850" s="52"/>
      <c r="S850" s="19">
        <v>6.6666666666666666E-2</v>
      </c>
    </row>
    <row r="851" spans="1:19" x14ac:dyDescent="0.2">
      <c r="A851" s="2">
        <v>59465</v>
      </c>
      <c r="B851" s="2">
        <v>59465</v>
      </c>
      <c r="C851" s="2">
        <v>106245</v>
      </c>
      <c r="D851" t="s">
        <v>965</v>
      </c>
      <c r="G851" s="15">
        <v>0.57583700000000004</v>
      </c>
      <c r="J851" s="15"/>
      <c r="N851" s="14"/>
      <c r="O851" s="14">
        <v>0.57583700000000004</v>
      </c>
      <c r="P851" s="14"/>
      <c r="Q851" s="14"/>
      <c r="R851" s="52"/>
      <c r="S851" s="19">
        <v>0.12430555555555556</v>
      </c>
    </row>
    <row r="852" spans="1:19" x14ac:dyDescent="0.2">
      <c r="A852" s="2">
        <v>60053</v>
      </c>
      <c r="B852" s="2">
        <v>60053</v>
      </c>
      <c r="C852" s="2">
        <v>56764</v>
      </c>
      <c r="D852" t="s">
        <v>1106</v>
      </c>
      <c r="G852" s="15">
        <v>1.431</v>
      </c>
      <c r="J852" s="15"/>
      <c r="N852" s="14"/>
      <c r="O852" s="14">
        <v>1.431</v>
      </c>
      <c r="P852" s="14"/>
      <c r="Q852" s="14"/>
      <c r="R852" s="52"/>
      <c r="S852" s="19">
        <v>5.9722222222222225E-2</v>
      </c>
    </row>
    <row r="853" spans="1:19" x14ac:dyDescent="0.2">
      <c r="A853" s="2">
        <v>60214</v>
      </c>
      <c r="B853" s="2">
        <v>60214</v>
      </c>
      <c r="C853" s="2">
        <v>64874</v>
      </c>
      <c r="D853" t="s">
        <v>1075</v>
      </c>
      <c r="G853" s="15">
        <v>0.71190200000000003</v>
      </c>
      <c r="J853" s="15"/>
      <c r="N853" s="14"/>
      <c r="O853" s="14">
        <v>0.71190200000000003</v>
      </c>
      <c r="P853" s="14"/>
      <c r="Q853" s="14"/>
      <c r="R853" s="52"/>
      <c r="S853" s="19">
        <v>9.8611111111111108E-2</v>
      </c>
    </row>
    <row r="854" spans="1:19" x14ac:dyDescent="0.2">
      <c r="A854" s="2">
        <v>60917</v>
      </c>
      <c r="B854" s="2">
        <v>60917</v>
      </c>
      <c r="C854" s="2">
        <v>326034</v>
      </c>
      <c r="D854" t="s">
        <v>784</v>
      </c>
      <c r="G854" s="15">
        <v>0.137154</v>
      </c>
      <c r="J854" s="15"/>
      <c r="N854" s="14"/>
      <c r="O854" s="14">
        <v>0.137154</v>
      </c>
      <c r="P854" s="14"/>
      <c r="Q854" s="14"/>
      <c r="R854" s="52"/>
      <c r="S854" s="19">
        <v>6.0416666666666667E-2</v>
      </c>
    </row>
    <row r="855" spans="1:19" x14ac:dyDescent="0.2">
      <c r="A855" s="2">
        <v>61697</v>
      </c>
      <c r="B855" s="2">
        <v>61697</v>
      </c>
      <c r="C855" s="2">
        <v>121842</v>
      </c>
      <c r="D855" t="s">
        <v>782</v>
      </c>
      <c r="G855" s="15">
        <v>0.39068900000000001</v>
      </c>
      <c r="J855" s="15"/>
      <c r="N855" s="14"/>
      <c r="O855" s="14">
        <v>0.39068900000000001</v>
      </c>
      <c r="P855" s="14"/>
      <c r="Q855" s="14"/>
      <c r="R855" s="52"/>
      <c r="S855" s="19">
        <v>0.1173611111111111</v>
      </c>
    </row>
    <row r="856" spans="1:19" x14ac:dyDescent="0.2">
      <c r="A856" s="2">
        <v>62871</v>
      </c>
      <c r="B856" s="2">
        <v>62871</v>
      </c>
      <c r="C856" s="2">
        <v>81867</v>
      </c>
      <c r="D856" t="s">
        <v>1016</v>
      </c>
      <c r="G856" s="15">
        <v>0.55604799999999999</v>
      </c>
      <c r="J856" s="15"/>
      <c r="N856" s="14"/>
      <c r="O856" s="14">
        <v>0.55604799999999999</v>
      </c>
      <c r="P856" s="14"/>
      <c r="Q856" s="14"/>
      <c r="R856" s="52"/>
      <c r="S856" s="19">
        <v>0.11527777777777777</v>
      </c>
    </row>
    <row r="857" spans="1:19" x14ac:dyDescent="0.2">
      <c r="A857" s="2">
        <v>63237</v>
      </c>
      <c r="B857" s="2">
        <v>63237</v>
      </c>
      <c r="C857" s="2">
        <v>94603</v>
      </c>
      <c r="D857" t="s">
        <v>926</v>
      </c>
      <c r="G857" s="15">
        <v>0.36492400000000003</v>
      </c>
      <c r="J857" s="15"/>
      <c r="N857" s="14"/>
      <c r="O857" s="14">
        <v>0.36492400000000003</v>
      </c>
      <c r="P857" s="14"/>
      <c r="Q857" s="14"/>
      <c r="R857" s="52"/>
      <c r="S857" s="19">
        <v>0.48680555555555555</v>
      </c>
    </row>
    <row r="858" spans="1:19" x14ac:dyDescent="0.2">
      <c r="A858" s="2">
        <v>63508</v>
      </c>
      <c r="B858" s="2">
        <v>63508</v>
      </c>
      <c r="C858" s="2">
        <v>91364</v>
      </c>
      <c r="D858" t="s">
        <v>1036</v>
      </c>
      <c r="G858" s="15">
        <v>0.54338699999999995</v>
      </c>
      <c r="J858" s="15"/>
      <c r="N858" s="14"/>
      <c r="O858" s="14">
        <v>0.54338699999999995</v>
      </c>
      <c r="P858" s="14"/>
      <c r="Q858" s="14"/>
      <c r="R858" s="52"/>
      <c r="S858" s="19">
        <v>0.1388888888888889</v>
      </c>
    </row>
    <row r="859" spans="1:19" x14ac:dyDescent="0.2">
      <c r="A859" s="2">
        <v>64252</v>
      </c>
      <c r="B859" s="2">
        <v>64252</v>
      </c>
      <c r="C859" s="2">
        <v>106624</v>
      </c>
      <c r="D859" t="s">
        <v>940</v>
      </c>
      <c r="G859" s="15">
        <v>0.54640999999999995</v>
      </c>
      <c r="J859" s="15"/>
      <c r="N859" s="14"/>
      <c r="O859" s="14">
        <v>0.54640999999999995</v>
      </c>
      <c r="P859" s="14"/>
      <c r="Q859" s="14"/>
      <c r="R859" s="52"/>
      <c r="S859" s="19">
        <v>5.5555555555555552E-2</v>
      </c>
    </row>
    <row r="860" spans="1:19" x14ac:dyDescent="0.2">
      <c r="A860" s="2">
        <v>65401</v>
      </c>
      <c r="B860" s="2">
        <v>65401</v>
      </c>
      <c r="C860" s="2">
        <v>320264</v>
      </c>
      <c r="D860" t="s">
        <v>1045</v>
      </c>
      <c r="G860" s="15">
        <v>0.166854</v>
      </c>
      <c r="J860" s="15"/>
      <c r="N860" s="14"/>
      <c r="O860" s="14">
        <v>0.166854</v>
      </c>
      <c r="P860" s="14"/>
      <c r="Q860" s="14"/>
      <c r="R860" s="52"/>
      <c r="S860" s="19">
        <v>2.361111111111111E-2</v>
      </c>
    </row>
    <row r="861" spans="1:19" x14ac:dyDescent="0.2">
      <c r="A861" s="2">
        <v>70448</v>
      </c>
      <c r="B861" s="2">
        <v>70448</v>
      </c>
      <c r="C861" s="2">
        <v>332914</v>
      </c>
      <c r="D861" t="s">
        <v>1044</v>
      </c>
      <c r="G861" s="15">
        <v>0.123067</v>
      </c>
      <c r="J861" s="15"/>
      <c r="N861" s="14"/>
      <c r="O861" s="14">
        <v>0.123067</v>
      </c>
      <c r="P861" s="14"/>
      <c r="Q861" s="14"/>
      <c r="R861" s="52"/>
      <c r="S861" s="19">
        <v>7.8472222222222221E-2</v>
      </c>
    </row>
    <row r="862" spans="1:19" x14ac:dyDescent="0.2">
      <c r="A862" s="2">
        <v>72506</v>
      </c>
      <c r="B862" s="2">
        <v>72506</v>
      </c>
      <c r="C862" s="2">
        <v>80107</v>
      </c>
      <c r="D862" t="s">
        <v>914</v>
      </c>
      <c r="G862" s="15">
        <v>8.0106999999999998E-2</v>
      </c>
      <c r="J862" s="15"/>
      <c r="N862" s="14"/>
      <c r="O862" s="14">
        <v>8.0106999999999998E-2</v>
      </c>
      <c r="P862" s="14"/>
      <c r="Q862" s="14"/>
      <c r="R862" s="52"/>
      <c r="S862" s="19">
        <v>0.14722222222222223</v>
      </c>
    </row>
    <row r="863" spans="1:19" x14ac:dyDescent="0.2">
      <c r="A863" s="2">
        <v>72645</v>
      </c>
      <c r="B863" s="2">
        <v>72645</v>
      </c>
      <c r="C863" s="2">
        <v>338552</v>
      </c>
      <c r="D863" t="s">
        <v>994</v>
      </c>
      <c r="G863" s="15">
        <v>7.8987000000000002E-2</v>
      </c>
      <c r="J863" s="15"/>
      <c r="N863" s="14"/>
      <c r="O863" s="14">
        <v>7.8987000000000002E-2</v>
      </c>
      <c r="P863" s="14"/>
      <c r="Q863" s="14"/>
      <c r="R863" s="52"/>
      <c r="S863" s="19">
        <v>0.19583333333333333</v>
      </c>
    </row>
    <row r="864" spans="1:19" x14ac:dyDescent="0.2">
      <c r="A864" s="2">
        <v>73683</v>
      </c>
      <c r="B864" s="2">
        <v>73683</v>
      </c>
      <c r="C864" s="2">
        <v>82269</v>
      </c>
      <c r="D864" t="s">
        <v>1083</v>
      </c>
      <c r="G864" s="15">
        <v>0.64739599999999997</v>
      </c>
      <c r="J864" s="15"/>
      <c r="N864" s="14"/>
      <c r="O864" s="14">
        <v>0.64739599999999997</v>
      </c>
      <c r="P864" s="14"/>
      <c r="Q864" s="14"/>
      <c r="R864" s="52"/>
      <c r="S864" s="19">
        <v>0.19305555555555554</v>
      </c>
    </row>
    <row r="865" spans="1:19" x14ac:dyDescent="0.2">
      <c r="A865" s="2">
        <v>73876</v>
      </c>
      <c r="B865" s="2">
        <v>73876</v>
      </c>
      <c r="C865" s="2">
        <v>76451</v>
      </c>
      <c r="D865" t="s">
        <v>805</v>
      </c>
      <c r="G865" s="15">
        <v>0.65510400000000002</v>
      </c>
      <c r="J865" s="15"/>
      <c r="N865" s="14"/>
      <c r="O865" s="14">
        <v>0.65510400000000002</v>
      </c>
      <c r="P865" s="14"/>
      <c r="Q865" s="14"/>
      <c r="R865" s="52"/>
      <c r="S865" s="19">
        <v>6.1111111111111116E-2</v>
      </c>
    </row>
    <row r="866" spans="1:19" x14ac:dyDescent="0.2">
      <c r="A866" s="2">
        <v>73985</v>
      </c>
      <c r="B866" s="2">
        <v>73985</v>
      </c>
      <c r="C866" s="2">
        <v>61616</v>
      </c>
      <c r="D866" t="s">
        <v>1087</v>
      </c>
      <c r="G866" s="15">
        <v>1.0389999999999999</v>
      </c>
      <c r="J866" s="15"/>
      <c r="N866" s="14"/>
      <c r="O866" s="14">
        <v>1.0389999999999999</v>
      </c>
      <c r="P866" s="14"/>
      <c r="Q866" s="14"/>
      <c r="R866" s="52"/>
      <c r="S866" s="19">
        <v>0.13125000000000001</v>
      </c>
    </row>
    <row r="867" spans="1:19" x14ac:dyDescent="0.2">
      <c r="A867" s="2">
        <v>76768</v>
      </c>
      <c r="B867" s="2">
        <v>76768</v>
      </c>
      <c r="C867" s="2">
        <v>53218</v>
      </c>
      <c r="D867" t="s">
        <v>1035</v>
      </c>
      <c r="G867" s="15">
        <v>0.80736399999999997</v>
      </c>
      <c r="J867" s="15"/>
      <c r="N867" s="14"/>
      <c r="O867" s="14">
        <v>0.80736399999999997</v>
      </c>
      <c r="P867" s="14"/>
      <c r="Q867" s="14"/>
      <c r="R867" s="52"/>
      <c r="S867" s="19">
        <v>0.17777777777777778</v>
      </c>
    </row>
    <row r="868" spans="1:19" x14ac:dyDescent="0.2">
      <c r="A868" s="2">
        <v>77760</v>
      </c>
      <c r="B868" s="2">
        <v>77760</v>
      </c>
      <c r="C868" s="2">
        <v>9193</v>
      </c>
      <c r="D868" t="s">
        <v>969</v>
      </c>
      <c r="G868" s="15">
        <v>5.883</v>
      </c>
      <c r="J868" s="15"/>
      <c r="N868" s="14"/>
      <c r="O868" s="14">
        <v>5.883</v>
      </c>
      <c r="P868" s="14"/>
      <c r="Q868" s="14"/>
      <c r="R868" s="52"/>
      <c r="S868" s="19">
        <v>0.31319444444444444</v>
      </c>
    </row>
    <row r="869" spans="1:19" x14ac:dyDescent="0.2">
      <c r="A869" s="2">
        <v>78266</v>
      </c>
      <c r="B869" s="2">
        <v>78266</v>
      </c>
      <c r="C869" s="2">
        <v>108303</v>
      </c>
      <c r="D869" t="s">
        <v>1001</v>
      </c>
      <c r="G869" s="15">
        <v>0.54505300000000001</v>
      </c>
      <c r="J869" s="15"/>
      <c r="N869" s="14"/>
      <c r="O869" s="14">
        <v>0.54505300000000001</v>
      </c>
      <c r="P869" s="14"/>
      <c r="Q869" s="14"/>
      <c r="R869" s="52"/>
      <c r="S869" s="19">
        <v>0.12013888888888889</v>
      </c>
    </row>
    <row r="870" spans="1:19" x14ac:dyDescent="0.2">
      <c r="A870" s="2">
        <v>80167</v>
      </c>
      <c r="B870" s="2">
        <v>80167</v>
      </c>
      <c r="C870" s="2">
        <v>85799</v>
      </c>
      <c r="D870" t="s">
        <v>1000</v>
      </c>
      <c r="G870" s="15">
        <v>0.83872800000000003</v>
      </c>
      <c r="J870" s="15"/>
      <c r="N870" s="14"/>
      <c r="O870" s="14">
        <v>0.83872800000000003</v>
      </c>
      <c r="P870" s="14"/>
      <c r="Q870" s="14"/>
      <c r="R870" s="52"/>
      <c r="S870" s="19">
        <v>5.2083333333333336E-2</v>
      </c>
    </row>
    <row r="871" spans="1:19" x14ac:dyDescent="0.2">
      <c r="A871" s="2">
        <v>80600</v>
      </c>
      <c r="B871" s="2">
        <v>80600</v>
      </c>
      <c r="C871" s="2">
        <v>57632</v>
      </c>
      <c r="D871" t="s">
        <v>1114</v>
      </c>
      <c r="G871" s="15">
        <v>0.75457799999999997</v>
      </c>
      <c r="J871" s="15"/>
      <c r="N871" s="14"/>
      <c r="O871" s="14">
        <v>0.75457799999999997</v>
      </c>
      <c r="P871" s="14"/>
      <c r="Q871" s="14"/>
      <c r="R871" s="52"/>
      <c r="S871" s="22">
        <v>0.1763888888888889</v>
      </c>
    </row>
    <row r="872" spans="1:19" x14ac:dyDescent="0.2">
      <c r="A872" s="2">
        <v>82222</v>
      </c>
      <c r="B872" s="2">
        <v>82222</v>
      </c>
      <c r="C872" s="2">
        <v>96800</v>
      </c>
      <c r="D872" t="s">
        <v>798</v>
      </c>
      <c r="G872" s="15">
        <v>0.65190700000000001</v>
      </c>
      <c r="J872" s="15"/>
      <c r="N872" s="14"/>
      <c r="O872" s="14">
        <v>0.65190700000000001</v>
      </c>
      <c r="P872" s="14"/>
      <c r="Q872" s="14"/>
      <c r="R872" s="52"/>
      <c r="S872" s="19">
        <v>9.8611111111111108E-2</v>
      </c>
    </row>
    <row r="873" spans="1:19" x14ac:dyDescent="0.2">
      <c r="A873" s="2">
        <v>82940</v>
      </c>
      <c r="B873" s="2">
        <v>82940</v>
      </c>
      <c r="C873" s="2">
        <v>173729</v>
      </c>
      <c r="D873" t="s">
        <v>968</v>
      </c>
      <c r="G873" s="15">
        <v>0.38967299999999999</v>
      </c>
      <c r="J873" s="15"/>
      <c r="N873" s="14"/>
      <c r="O873" s="14">
        <v>0.38967299999999999</v>
      </c>
      <c r="P873" s="14"/>
      <c r="Q873" s="14"/>
      <c r="R873" s="52"/>
      <c r="S873" s="19">
        <v>0.1451388888888889</v>
      </c>
    </row>
    <row r="874" spans="1:19" x14ac:dyDescent="0.2">
      <c r="A874" s="2">
        <v>83377</v>
      </c>
      <c r="B874" s="2">
        <v>83377</v>
      </c>
      <c r="C874" s="2">
        <v>127653</v>
      </c>
      <c r="D874" t="s">
        <v>1015</v>
      </c>
      <c r="G874" s="15">
        <v>0.36705199999999999</v>
      </c>
      <c r="J874" s="15"/>
      <c r="N874" s="14"/>
      <c r="O874" s="14">
        <v>0.36705199999999999</v>
      </c>
      <c r="P874" s="14"/>
      <c r="Q874" s="14"/>
      <c r="R874" s="52"/>
      <c r="S874" s="19">
        <v>0.1173611111111111</v>
      </c>
    </row>
    <row r="875" spans="1:19" x14ac:dyDescent="0.2">
      <c r="A875" s="2">
        <v>83458</v>
      </c>
      <c r="B875" s="2">
        <v>83458</v>
      </c>
      <c r="C875" s="2">
        <v>245028</v>
      </c>
      <c r="D875" t="s">
        <v>785</v>
      </c>
      <c r="G875" s="15">
        <v>0.19157099999999999</v>
      </c>
      <c r="J875" s="15"/>
      <c r="N875" s="14"/>
      <c r="O875" s="14">
        <v>0.19157099999999999</v>
      </c>
      <c r="P875" s="14"/>
      <c r="Q875" s="14"/>
      <c r="R875" s="52"/>
      <c r="S875" s="19">
        <v>4.1666666666666664E-2</v>
      </c>
    </row>
    <row r="876" spans="1:19" x14ac:dyDescent="0.2">
      <c r="A876" s="2">
        <v>84038</v>
      </c>
      <c r="B876" s="2">
        <v>84038</v>
      </c>
      <c r="C876" s="2">
        <v>142930</v>
      </c>
      <c r="D876" t="s">
        <v>1095</v>
      </c>
      <c r="G876" s="15">
        <v>0.28136499999999998</v>
      </c>
      <c r="J876" s="15"/>
      <c r="N876" s="14"/>
      <c r="O876" s="14">
        <v>0.28136499999999998</v>
      </c>
      <c r="P876" s="14"/>
      <c r="Q876" s="14"/>
      <c r="R876" s="52"/>
      <c r="S876" s="19">
        <v>0.11527777777777777</v>
      </c>
    </row>
    <row r="877" spans="1:19" x14ac:dyDescent="0.2">
      <c r="A877" s="2">
        <v>87014</v>
      </c>
      <c r="B877" s="2">
        <v>87014</v>
      </c>
      <c r="C877" s="2">
        <v>69720</v>
      </c>
      <c r="D877" t="s">
        <v>1059</v>
      </c>
      <c r="G877" s="15">
        <v>0.87467099999999998</v>
      </c>
      <c r="I877" s="15"/>
      <c r="J877" s="15"/>
      <c r="N877" s="14"/>
      <c r="O877" s="14">
        <v>0.87467099999999998</v>
      </c>
      <c r="P877" s="14"/>
      <c r="Q877" s="14"/>
      <c r="R877" s="52"/>
      <c r="S877" s="19">
        <v>6.6666666666666666E-2</v>
      </c>
    </row>
    <row r="878" spans="1:19" x14ac:dyDescent="0.2">
      <c r="A878" s="2">
        <v>87024</v>
      </c>
      <c r="B878" s="2">
        <v>87024</v>
      </c>
      <c r="C878" s="2">
        <v>79737</v>
      </c>
      <c r="D878" t="s">
        <v>932</v>
      </c>
      <c r="G878" s="15">
        <v>0.32195000000000001</v>
      </c>
      <c r="J878" s="15"/>
      <c r="N878" s="14"/>
      <c r="O878" s="14">
        <v>0.32195000000000001</v>
      </c>
      <c r="P878" s="14"/>
      <c r="Q878" s="14"/>
      <c r="R878" s="52"/>
      <c r="S878" s="19">
        <v>0.26874999999999999</v>
      </c>
    </row>
    <row r="879" spans="1:19" x14ac:dyDescent="0.2">
      <c r="A879" s="2">
        <v>87349</v>
      </c>
      <c r="B879" s="2">
        <v>87349</v>
      </c>
      <c r="C879" s="2">
        <v>67096</v>
      </c>
      <c r="D879" t="s">
        <v>1057</v>
      </c>
      <c r="G879" s="15">
        <v>0.86591899999999999</v>
      </c>
      <c r="J879" s="15"/>
      <c r="N879" s="14"/>
      <c r="O879" s="14">
        <v>0.86591899999999999</v>
      </c>
      <c r="P879" s="14"/>
      <c r="Q879" s="14"/>
      <c r="R879" s="52"/>
      <c r="S879" s="19">
        <v>0.10416666666666667</v>
      </c>
    </row>
    <row r="880" spans="1:19" x14ac:dyDescent="0.2">
      <c r="A880" s="2">
        <v>92899</v>
      </c>
      <c r="B880" s="2">
        <v>92899</v>
      </c>
      <c r="C880" s="2">
        <v>340633</v>
      </c>
      <c r="D880" t="s">
        <v>1046</v>
      </c>
      <c r="G880" s="15">
        <v>0.16528000000000001</v>
      </c>
      <c r="J880" s="15"/>
      <c r="N880" s="14"/>
      <c r="O880" s="14">
        <v>0.16528000000000001</v>
      </c>
      <c r="P880" s="14"/>
      <c r="Q880" s="14"/>
      <c r="R880" s="52"/>
      <c r="S880" s="19">
        <v>3.5416666666666666E-2</v>
      </c>
    </row>
    <row r="881" spans="1:19" x14ac:dyDescent="0.2">
      <c r="A881" s="2">
        <v>94046</v>
      </c>
      <c r="B881" s="2">
        <v>94046</v>
      </c>
      <c r="C881" s="2">
        <v>187478</v>
      </c>
      <c r="D881" t="s">
        <v>837</v>
      </c>
      <c r="G881" s="15">
        <v>0.26639200000000002</v>
      </c>
      <c r="J881" s="15"/>
      <c r="N881" s="14"/>
      <c r="O881" s="14">
        <v>0.26639200000000002</v>
      </c>
      <c r="P881" s="14"/>
      <c r="Q881" s="14"/>
      <c r="R881" s="52"/>
      <c r="S881" s="19">
        <v>7.9166666666666663E-2</v>
      </c>
    </row>
    <row r="882" spans="1:19" x14ac:dyDescent="0.2">
      <c r="A882" s="2">
        <v>95981</v>
      </c>
      <c r="B882" s="2">
        <v>95981</v>
      </c>
      <c r="C882" s="2">
        <v>245260</v>
      </c>
      <c r="D882" t="s">
        <v>984</v>
      </c>
      <c r="G882" s="15">
        <v>0.277696</v>
      </c>
      <c r="J882" s="15"/>
      <c r="N882" s="14"/>
      <c r="O882" s="14">
        <v>0.277696</v>
      </c>
      <c r="P882" s="14"/>
      <c r="Q882" s="14"/>
      <c r="R882" s="52"/>
      <c r="S882" s="22">
        <v>3.0555555555555555E-2</v>
      </c>
    </row>
    <row r="883" spans="1:19" x14ac:dyDescent="0.2">
      <c r="A883" s="2">
        <v>98542</v>
      </c>
      <c r="B883" s="2">
        <v>98542</v>
      </c>
      <c r="C883" s="2">
        <v>116137</v>
      </c>
      <c r="D883" t="s">
        <v>824</v>
      </c>
      <c r="G883" s="15">
        <v>0.50777300000000003</v>
      </c>
      <c r="J883" s="15"/>
      <c r="N883" s="14"/>
      <c r="O883" s="14">
        <v>0.50777300000000003</v>
      </c>
      <c r="P883" s="14"/>
      <c r="Q883" s="14"/>
      <c r="R883" s="52"/>
      <c r="S883" s="19">
        <v>0.13333333333333333</v>
      </c>
    </row>
    <row r="884" spans="1:19" x14ac:dyDescent="0.2">
      <c r="A884" s="2">
        <v>98570</v>
      </c>
      <c r="B884" s="2">
        <v>98570</v>
      </c>
      <c r="C884" s="2">
        <v>315147</v>
      </c>
      <c r="D884" t="s">
        <v>918</v>
      </c>
      <c r="G884" s="15">
        <v>0.121147</v>
      </c>
      <c r="J884" s="15"/>
      <c r="N884" s="14"/>
      <c r="O884" s="14">
        <v>0.121147</v>
      </c>
      <c r="P884" s="14"/>
      <c r="Q884" s="14"/>
      <c r="R884" s="52"/>
      <c r="S884" s="19">
        <v>0.34652777777777777</v>
      </c>
    </row>
    <row r="885" spans="1:19" x14ac:dyDescent="0.2">
      <c r="A885" s="2">
        <v>100195</v>
      </c>
      <c r="B885" s="2">
        <v>100195</v>
      </c>
      <c r="C885" s="2">
        <v>79530</v>
      </c>
      <c r="D885" t="s">
        <v>1017</v>
      </c>
      <c r="G885" s="15">
        <v>0.54786999999999997</v>
      </c>
      <c r="J885" s="15"/>
      <c r="N885" s="14"/>
      <c r="O885" s="14">
        <v>0.54786999999999997</v>
      </c>
      <c r="P885" s="14"/>
      <c r="Q885" s="14"/>
      <c r="R885" s="52"/>
      <c r="S885" s="22">
        <v>0.19444444444444445</v>
      </c>
    </row>
    <row r="886" spans="1:19" x14ac:dyDescent="0.2">
      <c r="A886" s="2">
        <v>100959</v>
      </c>
      <c r="B886" s="2">
        <v>100959</v>
      </c>
      <c r="C886" s="2">
        <v>450951</v>
      </c>
      <c r="D886" t="s">
        <v>868</v>
      </c>
      <c r="G886" s="15">
        <v>5.9858000000000001E-2</v>
      </c>
      <c r="J886" s="15"/>
      <c r="N886" s="14"/>
      <c r="O886" s="14">
        <v>5.9858000000000001E-2</v>
      </c>
      <c r="P886" s="14"/>
      <c r="Q886" s="14"/>
      <c r="R886" s="52"/>
      <c r="S886" s="22">
        <v>0.43194444444444446</v>
      </c>
    </row>
    <row r="887" spans="1:19" x14ac:dyDescent="0.2">
      <c r="A887" s="2">
        <v>104851</v>
      </c>
      <c r="B887" s="2">
        <v>104851</v>
      </c>
      <c r="C887" s="2">
        <v>191322</v>
      </c>
      <c r="D887" t="s">
        <v>937</v>
      </c>
      <c r="G887" s="15">
        <v>0.27698</v>
      </c>
      <c r="J887" s="15"/>
      <c r="N887" s="14"/>
      <c r="O887" s="14">
        <v>0.27698</v>
      </c>
      <c r="P887" s="14"/>
      <c r="Q887" s="14"/>
      <c r="R887" s="52"/>
      <c r="S887" s="19">
        <v>9.375E-2</v>
      </c>
    </row>
    <row r="888" spans="1:19" x14ac:dyDescent="0.2">
      <c r="A888" s="2">
        <v>109230</v>
      </c>
      <c r="B888" s="2">
        <v>109230</v>
      </c>
      <c r="C888" s="2">
        <v>448033</v>
      </c>
      <c r="D888" t="s">
        <v>850</v>
      </c>
      <c r="G888" s="15">
        <v>8.3721000000000004E-2</v>
      </c>
      <c r="J888" s="15"/>
      <c r="N888" s="14"/>
      <c r="O888" s="14">
        <v>8.3721000000000004E-2</v>
      </c>
      <c r="P888" s="14"/>
      <c r="Q888" s="14"/>
      <c r="R888" s="52"/>
      <c r="S888" s="19">
        <v>0.17083333333333331</v>
      </c>
    </row>
    <row r="889" spans="1:19" x14ac:dyDescent="0.2">
      <c r="A889" s="2">
        <v>110954</v>
      </c>
      <c r="B889" s="2">
        <v>110954</v>
      </c>
      <c r="C889" s="2">
        <v>161346</v>
      </c>
      <c r="D889" t="s">
        <v>870</v>
      </c>
      <c r="G889" s="15">
        <v>0.25052099999999999</v>
      </c>
      <c r="J889" s="15"/>
      <c r="N889" s="14"/>
      <c r="O889" s="14">
        <v>0.25052099999999999</v>
      </c>
      <c r="P889" s="14"/>
      <c r="Q889" s="14"/>
      <c r="R889" s="52"/>
      <c r="S889" s="22">
        <v>0.23055555555555554</v>
      </c>
    </row>
    <row r="890" spans="1:19" x14ac:dyDescent="0.2">
      <c r="A890" s="2">
        <v>112151</v>
      </c>
      <c r="B890" s="2">
        <v>112151</v>
      </c>
      <c r="C890" s="2">
        <v>171189</v>
      </c>
      <c r="D890" t="s">
        <v>985</v>
      </c>
      <c r="G890" s="15">
        <v>0.357184</v>
      </c>
      <c r="J890" s="15"/>
      <c r="N890" s="14"/>
      <c r="O890" s="14">
        <v>0.357184</v>
      </c>
      <c r="P890" s="14"/>
      <c r="Q890" s="14"/>
      <c r="R890" s="52"/>
      <c r="S890" s="22">
        <v>4.3055555555555562E-2</v>
      </c>
    </row>
    <row r="891" spans="1:19" x14ac:dyDescent="0.2">
      <c r="A891" s="2">
        <v>112417</v>
      </c>
      <c r="B891" s="2">
        <v>112417</v>
      </c>
      <c r="C891" s="2">
        <v>139460</v>
      </c>
      <c r="D891" t="s">
        <v>1037</v>
      </c>
      <c r="G891" s="15">
        <v>0.29633799999999999</v>
      </c>
      <c r="J891" s="15"/>
      <c r="N891" s="14"/>
      <c r="O891" s="14">
        <v>0.29633799999999999</v>
      </c>
      <c r="P891" s="14"/>
      <c r="Q891" s="14"/>
      <c r="R891" s="52"/>
      <c r="S891" s="19">
        <v>0.23194444444444443</v>
      </c>
    </row>
    <row r="892" spans="1:19" x14ac:dyDescent="0.2">
      <c r="A892" s="2">
        <v>114126</v>
      </c>
      <c r="B892" s="2">
        <v>114126</v>
      </c>
      <c r="C892" s="2">
        <v>669602</v>
      </c>
      <c r="D892" t="s">
        <v>955</v>
      </c>
      <c r="G892" s="15">
        <v>3.7558000000000001E-2</v>
      </c>
      <c r="J892" s="15"/>
      <c r="N892" s="14"/>
      <c r="O892" s="14">
        <v>3.7558000000000001E-2</v>
      </c>
      <c r="P892" s="14"/>
      <c r="Q892" s="14"/>
      <c r="R892" s="52"/>
      <c r="S892" s="19">
        <v>6.9444444444444434E-2</v>
      </c>
    </row>
    <row r="893" spans="1:19" x14ac:dyDescent="0.2">
      <c r="A893" s="2">
        <v>115744</v>
      </c>
      <c r="B893" s="2">
        <v>115744</v>
      </c>
      <c r="C893" s="2">
        <v>289102</v>
      </c>
      <c r="D893" t="s">
        <v>806</v>
      </c>
      <c r="G893" s="15">
        <v>0.17391100000000001</v>
      </c>
      <c r="J893" s="15"/>
      <c r="N893" s="14"/>
      <c r="O893" s="14">
        <v>0.17391100000000001</v>
      </c>
      <c r="P893" s="14"/>
      <c r="Q893" s="14"/>
      <c r="R893" s="52"/>
      <c r="S893" s="22">
        <v>6.458333333333334E-2</v>
      </c>
    </row>
    <row r="894" spans="1:19" x14ac:dyDescent="0.2">
      <c r="A894" s="2">
        <v>120338</v>
      </c>
      <c r="B894" s="2">
        <v>120338</v>
      </c>
      <c r="C894" s="2">
        <v>155266</v>
      </c>
      <c r="D894" t="s">
        <v>797</v>
      </c>
      <c r="G894" s="15">
        <v>0.24010600000000001</v>
      </c>
      <c r="J894" s="15"/>
      <c r="N894" s="14"/>
      <c r="O894" s="14">
        <v>0.24010600000000001</v>
      </c>
      <c r="P894" s="14"/>
      <c r="Q894" s="14"/>
      <c r="R894" s="52"/>
      <c r="S894" s="19">
        <v>0.30833333333333335</v>
      </c>
    </row>
    <row r="895" spans="1:19" x14ac:dyDescent="0.2">
      <c r="A895" s="2">
        <v>125085</v>
      </c>
      <c r="B895" s="2">
        <v>125085</v>
      </c>
      <c r="C895" s="2">
        <v>284365</v>
      </c>
      <c r="D895" t="s">
        <v>981</v>
      </c>
      <c r="G895" s="15">
        <v>0.23280300000000001</v>
      </c>
      <c r="J895" s="15"/>
      <c r="N895" s="14"/>
      <c r="O895" s="14">
        <v>0.23280300000000001</v>
      </c>
      <c r="P895" s="14"/>
      <c r="Q895" s="14"/>
      <c r="R895" s="52"/>
      <c r="S895" s="22">
        <v>1.6666666666666666E-2</v>
      </c>
    </row>
    <row r="896" spans="1:19" x14ac:dyDescent="0.2">
      <c r="A896" s="2">
        <v>128783</v>
      </c>
      <c r="B896" s="2">
        <v>210686</v>
      </c>
      <c r="C896" s="2">
        <v>210686</v>
      </c>
      <c r="D896" t="s">
        <v>1071</v>
      </c>
      <c r="G896" s="15">
        <v>0.21390899999999999</v>
      </c>
      <c r="J896" s="15"/>
      <c r="N896" s="14"/>
      <c r="O896" s="14">
        <v>0.21390899999999999</v>
      </c>
      <c r="P896" s="14"/>
      <c r="Q896" s="14"/>
      <c r="R896" s="52"/>
      <c r="S896" s="22">
        <v>9.3055555555555558E-2</v>
      </c>
    </row>
    <row r="897" spans="1:19" x14ac:dyDescent="0.2">
      <c r="A897" s="2">
        <v>131042</v>
      </c>
      <c r="B897" s="2">
        <v>131042</v>
      </c>
      <c r="C897" s="2">
        <v>531260</v>
      </c>
      <c r="D897" t="s">
        <v>1048</v>
      </c>
      <c r="G897" s="15">
        <v>7.1768999999999999E-2</v>
      </c>
      <c r="J897" s="15"/>
      <c r="N897" s="14"/>
      <c r="O897" s="14">
        <v>7.1768999999999999E-2</v>
      </c>
      <c r="P897" s="14"/>
      <c r="Q897" s="14"/>
      <c r="R897" s="52"/>
      <c r="S897" s="19">
        <v>8.4722222222222213E-2</v>
      </c>
    </row>
    <row r="898" spans="1:19" x14ac:dyDescent="0.2">
      <c r="A898" s="2">
        <v>135127</v>
      </c>
      <c r="B898" s="2">
        <v>135127</v>
      </c>
      <c r="C898" s="2">
        <v>625610</v>
      </c>
      <c r="D898" t="s">
        <v>801</v>
      </c>
      <c r="G898" s="15">
        <v>6.4711000000000005E-2</v>
      </c>
      <c r="J898" s="15"/>
      <c r="N898" s="14"/>
      <c r="O898" s="14">
        <v>6.4711000000000005E-2</v>
      </c>
      <c r="P898" s="14"/>
      <c r="Q898" s="14"/>
      <c r="R898" s="52"/>
      <c r="S898" s="19">
        <v>5.0694444444444452E-2</v>
      </c>
    </row>
    <row r="899" spans="1:19" x14ac:dyDescent="0.2">
      <c r="A899" s="2">
        <v>138955</v>
      </c>
      <c r="B899" s="2">
        <v>138955</v>
      </c>
      <c r="C899" s="2">
        <v>414216</v>
      </c>
      <c r="D899" t="s">
        <v>821</v>
      </c>
      <c r="G899" s="15">
        <v>9.7415000000000002E-2</v>
      </c>
      <c r="J899" s="15"/>
      <c r="N899" s="14"/>
      <c r="O899" s="14">
        <v>9.7415000000000002E-2</v>
      </c>
      <c r="P899" s="14"/>
      <c r="Q899" s="14"/>
      <c r="R899" s="52"/>
      <c r="S899" s="19">
        <v>0.1111111111111111</v>
      </c>
    </row>
    <row r="900" spans="1:19" x14ac:dyDescent="0.2">
      <c r="A900" s="2">
        <v>144189</v>
      </c>
      <c r="B900" s="2">
        <v>144189</v>
      </c>
      <c r="C900" s="2">
        <v>448435</v>
      </c>
      <c r="D900" t="s">
        <v>931</v>
      </c>
      <c r="G900" s="15">
        <v>7.8155000000000002E-2</v>
      </c>
      <c r="J900" s="15"/>
      <c r="N900" s="14"/>
      <c r="O900" s="14">
        <v>7.8155000000000002E-2</v>
      </c>
      <c r="P900" s="14"/>
      <c r="Q900" s="14"/>
      <c r="R900" s="52"/>
      <c r="S900" s="19">
        <v>0.47152777777777777</v>
      </c>
    </row>
    <row r="901" spans="1:19" x14ac:dyDescent="0.2">
      <c r="A901" s="2">
        <v>145685</v>
      </c>
      <c r="B901" s="2">
        <v>145685</v>
      </c>
      <c r="C901" s="2">
        <v>61350</v>
      </c>
      <c r="D901" t="s">
        <v>1184</v>
      </c>
      <c r="G901" s="15">
        <v>0.93016699999999997</v>
      </c>
      <c r="J901" s="15"/>
      <c r="N901" s="14"/>
      <c r="O901" s="14">
        <v>0.93016699999999997</v>
      </c>
      <c r="P901" s="14"/>
      <c r="Q901" s="14"/>
      <c r="R901" s="52"/>
      <c r="S901" s="22">
        <v>0.12569444444444444</v>
      </c>
    </row>
    <row r="902" spans="1:19" x14ac:dyDescent="0.2">
      <c r="A902" s="2">
        <v>148264</v>
      </c>
      <c r="B902" s="2">
        <v>148264</v>
      </c>
      <c r="C902" s="2">
        <v>102014</v>
      </c>
      <c r="D902" t="s">
        <v>1117</v>
      </c>
      <c r="G902" s="15">
        <v>0.36461100000000002</v>
      </c>
      <c r="J902" s="15"/>
      <c r="N902" s="14"/>
      <c r="O902" s="14">
        <v>0.36461100000000002</v>
      </c>
      <c r="P902" s="14"/>
      <c r="Q902" s="14"/>
      <c r="R902" s="52"/>
      <c r="S902" s="22">
        <v>0.20486111111111113</v>
      </c>
    </row>
    <row r="903" spans="1:19" x14ac:dyDescent="0.2">
      <c r="A903" s="2">
        <v>148434</v>
      </c>
      <c r="B903" s="2">
        <v>148434</v>
      </c>
      <c r="C903" s="2">
        <v>168328</v>
      </c>
      <c r="D903" t="s">
        <v>869</v>
      </c>
      <c r="G903" s="15">
        <v>0.31137399999999998</v>
      </c>
      <c r="J903" s="15"/>
      <c r="N903" s="14"/>
      <c r="O903" s="14">
        <v>0.31137399999999998</v>
      </c>
      <c r="P903" s="14"/>
      <c r="Q903" s="14"/>
      <c r="R903" s="52"/>
      <c r="S903" s="19">
        <v>5.7638888888888885E-2</v>
      </c>
    </row>
    <row r="904" spans="1:19" x14ac:dyDescent="0.2">
      <c r="A904" s="2">
        <v>156510</v>
      </c>
      <c r="B904" s="2">
        <v>156510</v>
      </c>
      <c r="C904" s="2">
        <v>504707</v>
      </c>
      <c r="D904" t="s">
        <v>855</v>
      </c>
      <c r="G904" s="15">
        <v>9.4228999999999993E-2</v>
      </c>
      <c r="J904" s="15"/>
      <c r="N904" s="14"/>
      <c r="O904" s="14">
        <v>9.4228999999999993E-2</v>
      </c>
      <c r="P904" s="14"/>
      <c r="Q904" s="14"/>
      <c r="R904" s="52"/>
      <c r="S904" s="19">
        <v>0.14305555555555557</v>
      </c>
    </row>
    <row r="905" spans="1:19" x14ac:dyDescent="0.2">
      <c r="A905" s="2">
        <v>158155</v>
      </c>
      <c r="B905" s="2">
        <v>158155</v>
      </c>
      <c r="C905" s="2">
        <v>102471</v>
      </c>
      <c r="D905" t="s">
        <v>1026</v>
      </c>
      <c r="G905" s="15">
        <v>0.54634899999999997</v>
      </c>
      <c r="J905" s="15"/>
      <c r="N905" s="14"/>
      <c r="O905" s="14">
        <v>0.54634899999999997</v>
      </c>
      <c r="P905" s="14"/>
      <c r="Q905" s="14"/>
      <c r="R905" s="52"/>
      <c r="S905" s="19">
        <v>4.1666666666666664E-2</v>
      </c>
    </row>
    <row r="906" spans="1:19" x14ac:dyDescent="0.2">
      <c r="A906" s="2">
        <v>160348</v>
      </c>
      <c r="B906" s="2">
        <v>160348</v>
      </c>
      <c r="C906" s="2">
        <v>107196</v>
      </c>
      <c r="D906" t="s">
        <v>1069</v>
      </c>
      <c r="G906" s="15">
        <v>0.56619299999999995</v>
      </c>
      <c r="J906" s="15"/>
      <c r="N906" s="14"/>
      <c r="O906" s="14">
        <v>0.56619299999999995</v>
      </c>
      <c r="P906" s="14"/>
      <c r="Q906" s="14"/>
      <c r="R906" s="52"/>
      <c r="S906" s="19">
        <v>0.12291666666666667</v>
      </c>
    </row>
    <row r="907" spans="1:19" x14ac:dyDescent="0.2">
      <c r="A907" s="2">
        <v>162240</v>
      </c>
      <c r="B907" s="2">
        <v>162240</v>
      </c>
      <c r="C907" s="2">
        <v>76125</v>
      </c>
      <c r="D907" t="s">
        <v>987</v>
      </c>
      <c r="G907" s="15">
        <v>0.58323100000000005</v>
      </c>
      <c r="J907" s="15"/>
      <c r="N907" s="14"/>
      <c r="O907" s="14">
        <v>0.58323100000000005</v>
      </c>
      <c r="P907" s="14"/>
      <c r="Q907" s="14"/>
      <c r="R907" s="52"/>
      <c r="S907" s="22">
        <v>0.24374999999999999</v>
      </c>
    </row>
    <row r="908" spans="1:19" x14ac:dyDescent="0.2">
      <c r="A908" s="2">
        <v>162630</v>
      </c>
      <c r="B908" s="2">
        <v>29678</v>
      </c>
      <c r="C908" s="2">
        <v>643051</v>
      </c>
      <c r="D908" t="s">
        <v>596</v>
      </c>
      <c r="G908" s="15">
        <v>8.9998999999999996E-2</v>
      </c>
      <c r="J908" s="15"/>
      <c r="N908" s="14"/>
      <c r="O908" s="14">
        <v>8.9998999999999996E-2</v>
      </c>
      <c r="P908" s="14"/>
      <c r="Q908" s="14"/>
      <c r="R908" s="52"/>
      <c r="S908" s="19">
        <v>5.1388888888888894E-2</v>
      </c>
    </row>
    <row r="909" spans="1:19" x14ac:dyDescent="0.2">
      <c r="A909" s="2">
        <v>165077</v>
      </c>
      <c r="B909" s="2">
        <v>165077</v>
      </c>
      <c r="C909" s="2">
        <v>218560</v>
      </c>
      <c r="D909" t="s">
        <v>910</v>
      </c>
      <c r="G909" s="15">
        <v>0.20650399999999999</v>
      </c>
      <c r="J909" s="15"/>
      <c r="N909" s="14"/>
      <c r="O909" s="14">
        <v>0.20650399999999999</v>
      </c>
      <c r="P909" s="14"/>
      <c r="Q909" s="14"/>
      <c r="R909" s="52"/>
      <c r="S909" s="19">
        <v>0.22708333333333333</v>
      </c>
    </row>
    <row r="910" spans="1:19" x14ac:dyDescent="0.2">
      <c r="A910" s="2">
        <v>165117</v>
      </c>
      <c r="B910" s="2">
        <v>165117</v>
      </c>
      <c r="C910" s="2">
        <v>235799</v>
      </c>
      <c r="D910" t="s">
        <v>1215</v>
      </c>
      <c r="G910" s="2">
        <v>0.204351</v>
      </c>
      <c r="N910" s="14"/>
      <c r="O910" s="14">
        <v>0.204351</v>
      </c>
      <c r="P910" s="14"/>
      <c r="Q910" s="14"/>
      <c r="R910" s="52"/>
      <c r="S910" s="19">
        <v>0.26458333333333334</v>
      </c>
    </row>
    <row r="911" spans="1:19" x14ac:dyDescent="0.2">
      <c r="A911" s="2">
        <v>165214</v>
      </c>
      <c r="B911" s="2">
        <v>165214</v>
      </c>
      <c r="C911" s="2">
        <v>185779</v>
      </c>
      <c r="D911" t="s">
        <v>1034</v>
      </c>
      <c r="G911" s="15">
        <v>0.26993299999999998</v>
      </c>
      <c r="J911" s="15"/>
      <c r="N911" s="14"/>
      <c r="O911" s="14">
        <v>0.26993299999999998</v>
      </c>
      <c r="P911" s="14"/>
      <c r="Q911" s="14"/>
      <c r="R911" s="52"/>
      <c r="S911" s="19">
        <v>6.7361111111111108E-2</v>
      </c>
    </row>
    <row r="912" spans="1:19" x14ac:dyDescent="0.2">
      <c r="A912" s="2">
        <v>175073</v>
      </c>
      <c r="B912" s="2">
        <v>175073</v>
      </c>
      <c r="C912" s="2">
        <v>592763</v>
      </c>
      <c r="D912" t="s">
        <v>808</v>
      </c>
      <c r="G912" s="15">
        <v>6.0814E-2</v>
      </c>
      <c r="J912" s="15"/>
      <c r="N912" s="14"/>
      <c r="O912" s="14">
        <v>6.0814E-2</v>
      </c>
      <c r="P912" s="14"/>
      <c r="Q912" s="14"/>
      <c r="R912" s="52"/>
      <c r="S912" s="19">
        <v>5.6250000000000001E-2</v>
      </c>
    </row>
    <row r="913" spans="1:19" x14ac:dyDescent="0.2">
      <c r="A913" s="2">
        <v>179492</v>
      </c>
      <c r="B913" s="2">
        <v>179492</v>
      </c>
      <c r="C913" s="2">
        <v>300580</v>
      </c>
      <c r="D913" t="s">
        <v>992</v>
      </c>
      <c r="G913" s="15">
        <v>0.13455700000000001</v>
      </c>
      <c r="J913" s="15"/>
      <c r="N913" s="14"/>
      <c r="O913" s="14">
        <v>0.13455700000000001</v>
      </c>
      <c r="P913" s="14"/>
      <c r="Q913" s="14"/>
      <c r="R913" s="52"/>
      <c r="S913" s="22">
        <v>0.1125</v>
      </c>
    </row>
    <row r="914" spans="1:19" x14ac:dyDescent="0.2">
      <c r="A914" s="2">
        <v>180116</v>
      </c>
      <c r="B914" s="2">
        <v>180116</v>
      </c>
      <c r="C914" s="2">
        <v>441256</v>
      </c>
      <c r="D914" t="s">
        <v>857</v>
      </c>
      <c r="G914" s="15">
        <v>9.5690999999999998E-2</v>
      </c>
      <c r="J914" s="15"/>
      <c r="N914" s="14"/>
      <c r="O914" s="14">
        <v>9.5690999999999998E-2</v>
      </c>
      <c r="P914" s="14"/>
      <c r="Q914" s="14"/>
      <c r="R914" s="52"/>
      <c r="S914" s="19">
        <v>8.4722222222222213E-2</v>
      </c>
    </row>
    <row r="915" spans="1:19" x14ac:dyDescent="0.2">
      <c r="A915" s="2">
        <v>183568</v>
      </c>
      <c r="B915" s="2">
        <v>183568</v>
      </c>
      <c r="C915" s="2">
        <v>754802</v>
      </c>
      <c r="D915" t="s">
        <v>817</v>
      </c>
      <c r="G915" s="15">
        <v>5.4674E-2</v>
      </c>
      <c r="J915" s="15"/>
      <c r="N915" s="14"/>
      <c r="O915" s="14">
        <v>5.4670999999999997E-2</v>
      </c>
      <c r="P915" s="14"/>
      <c r="Q915" s="14"/>
      <c r="R915" s="52"/>
      <c r="S915" s="19">
        <v>9.4444444444444442E-2</v>
      </c>
    </row>
    <row r="916" spans="1:19" x14ac:dyDescent="0.2">
      <c r="A916" s="2">
        <v>185850</v>
      </c>
      <c r="B916" s="2">
        <v>185850</v>
      </c>
      <c r="C916" s="2">
        <v>74957</v>
      </c>
      <c r="D916" t="s">
        <v>826</v>
      </c>
      <c r="G916" s="15">
        <v>0.60908600000000002</v>
      </c>
      <c r="J916" s="15"/>
      <c r="N916" s="14"/>
      <c r="O916" s="14">
        <v>0.60908600000000002</v>
      </c>
      <c r="P916" s="14"/>
      <c r="Q916" s="14"/>
      <c r="R916" s="52"/>
      <c r="S916" s="19">
        <v>0.31597222222222221</v>
      </c>
    </row>
    <row r="917" spans="1:19" x14ac:dyDescent="0.2">
      <c r="A917" s="2">
        <v>189602</v>
      </c>
      <c r="B917" s="2">
        <v>189602</v>
      </c>
      <c r="C917" s="2">
        <v>39283</v>
      </c>
      <c r="D917" t="s">
        <v>786</v>
      </c>
      <c r="G917" s="15">
        <v>1.0269999999999999</v>
      </c>
      <c r="J917" s="15"/>
      <c r="N917" s="14"/>
      <c r="O917" s="14">
        <v>1.0269999999999999</v>
      </c>
      <c r="P917" s="14"/>
      <c r="Q917" s="14"/>
      <c r="R917" s="52"/>
      <c r="S917" s="22">
        <v>0.56805555555555554</v>
      </c>
    </row>
    <row r="918" spans="1:19" x14ac:dyDescent="0.2">
      <c r="A918" s="2">
        <v>193626</v>
      </c>
      <c r="B918" s="2">
        <v>193626</v>
      </c>
      <c r="C918" s="2">
        <v>315288</v>
      </c>
      <c r="D918" t="s">
        <v>978</v>
      </c>
      <c r="G918" s="15">
        <v>0.10598</v>
      </c>
      <c r="J918" s="15"/>
      <c r="N918" s="14"/>
      <c r="O918" s="14">
        <v>0.10598</v>
      </c>
      <c r="P918" s="14"/>
      <c r="Q918" s="14"/>
      <c r="R918" s="52"/>
      <c r="S918" s="22">
        <v>0.1673611111111111</v>
      </c>
    </row>
    <row r="919" spans="1:19" x14ac:dyDescent="0.2">
      <c r="A919" s="2">
        <v>194991</v>
      </c>
      <c r="B919" s="2">
        <v>194991</v>
      </c>
      <c r="C919" s="2">
        <v>836526</v>
      </c>
      <c r="D919" t="s">
        <v>818</v>
      </c>
      <c r="G919" s="15">
        <v>5.1083999999999997E-2</v>
      </c>
      <c r="J919" s="15"/>
      <c r="N919" s="14"/>
      <c r="O919" s="14">
        <v>5.1083999999999997E-2</v>
      </c>
      <c r="P919" s="14"/>
      <c r="Q919" s="14"/>
      <c r="R919" s="52"/>
      <c r="S919" s="22">
        <v>5.4166666666666669E-2</v>
      </c>
    </row>
    <row r="920" spans="1:19" x14ac:dyDescent="0.2">
      <c r="A920" s="2">
        <v>196044</v>
      </c>
      <c r="B920" s="2">
        <v>196044</v>
      </c>
      <c r="C920" s="2">
        <v>502782</v>
      </c>
      <c r="D920" t="s">
        <v>802</v>
      </c>
      <c r="G920" s="15">
        <v>8.6777999999999994E-2</v>
      </c>
      <c r="J920" s="15"/>
      <c r="N920" s="14"/>
      <c r="O920" s="14">
        <v>8.6777999999999994E-2</v>
      </c>
      <c r="P920" s="14"/>
      <c r="Q920" s="14"/>
      <c r="R920" s="52"/>
      <c r="S920" s="22">
        <v>0.11666666666666665</v>
      </c>
    </row>
    <row r="921" spans="1:19" x14ac:dyDescent="0.2">
      <c r="A921" s="2">
        <v>198261</v>
      </c>
      <c r="B921" s="2">
        <v>198261</v>
      </c>
      <c r="C921" s="2">
        <v>473156</v>
      </c>
      <c r="D921" t="s">
        <v>841</v>
      </c>
      <c r="G921" s="15">
        <v>0.10972999999999999</v>
      </c>
      <c r="J921" s="15"/>
      <c r="N921" s="14"/>
      <c r="O921" s="14">
        <v>0.10972999999999999</v>
      </c>
      <c r="P921" s="14"/>
      <c r="Q921" s="14"/>
      <c r="R921" s="52"/>
      <c r="S921" s="22">
        <v>4.8611111111111112E-2</v>
      </c>
    </row>
    <row r="922" spans="1:19" x14ac:dyDescent="0.2">
      <c r="A922" s="2">
        <v>206518</v>
      </c>
      <c r="B922" s="2">
        <v>206518</v>
      </c>
      <c r="C922" s="2">
        <v>402841</v>
      </c>
      <c r="D922" t="s">
        <v>865</v>
      </c>
      <c r="G922" s="15">
        <v>0.13608400000000001</v>
      </c>
      <c r="J922" s="15"/>
      <c r="N922" s="14"/>
      <c r="O922" s="14">
        <v>0.13608400000000001</v>
      </c>
      <c r="P922" s="14"/>
      <c r="Q922" s="14"/>
      <c r="R922" s="52"/>
      <c r="S922" s="22">
        <v>3.3333333333333333E-2</v>
      </c>
    </row>
    <row r="923" spans="1:19" x14ac:dyDescent="0.2">
      <c r="A923" s="2">
        <v>215398</v>
      </c>
      <c r="B923" s="2">
        <v>215398</v>
      </c>
      <c r="C923" s="2">
        <v>745454</v>
      </c>
      <c r="D923" t="s">
        <v>816</v>
      </c>
      <c r="G923" s="15">
        <v>6.0047999999999997E-2</v>
      </c>
      <c r="J923" s="15"/>
      <c r="N923" s="14"/>
      <c r="O923" s="14">
        <v>6.0047999999999997E-2</v>
      </c>
      <c r="P923" s="14"/>
      <c r="Q923" s="14"/>
      <c r="R923" s="52"/>
      <c r="S923" s="22">
        <v>6.25E-2</v>
      </c>
    </row>
    <row r="924" spans="1:19" x14ac:dyDescent="0.2">
      <c r="A924" s="2">
        <v>220383</v>
      </c>
      <c r="B924" s="2">
        <v>220383</v>
      </c>
      <c r="C924" s="2">
        <v>5868</v>
      </c>
      <c r="D924" t="s">
        <v>1051</v>
      </c>
      <c r="G924" s="15">
        <v>7.9880000000000004</v>
      </c>
      <c r="J924" s="15"/>
      <c r="N924" s="14"/>
      <c r="O924" s="14">
        <v>7.9880000000000004</v>
      </c>
      <c r="P924" s="14"/>
      <c r="Q924" s="14"/>
      <c r="R924" s="52"/>
      <c r="S924" s="19">
        <v>0.14722222222222223</v>
      </c>
    </row>
    <row r="925" spans="1:19" x14ac:dyDescent="0.2">
      <c r="A925" s="2">
        <v>233390</v>
      </c>
      <c r="B925" s="2">
        <v>233390</v>
      </c>
      <c r="C925" s="2">
        <v>196245</v>
      </c>
      <c r="D925" t="s">
        <v>1113</v>
      </c>
      <c r="G925" s="15">
        <v>0.29372900000000002</v>
      </c>
      <c r="J925" s="15"/>
      <c r="N925" s="14"/>
      <c r="O925" s="14">
        <v>0.29372900000000002</v>
      </c>
      <c r="P925" s="14"/>
      <c r="Q925" s="14"/>
      <c r="R925" s="52"/>
      <c r="S925" s="22">
        <v>5.7638888888888885E-2</v>
      </c>
    </row>
    <row r="926" spans="1:19" x14ac:dyDescent="0.2">
      <c r="A926" s="2">
        <v>239872</v>
      </c>
      <c r="B926" s="2">
        <v>239872</v>
      </c>
      <c r="C926" s="2">
        <v>290877</v>
      </c>
      <c r="D926" t="s">
        <v>886</v>
      </c>
      <c r="G926" s="15">
        <v>0.11515400000000001</v>
      </c>
      <c r="J926" s="15"/>
      <c r="N926" s="14"/>
      <c r="O926" s="14">
        <v>0.11515400000000001</v>
      </c>
      <c r="P926" s="14"/>
      <c r="Q926" s="14"/>
      <c r="R926" s="52"/>
      <c r="S926" s="22">
        <v>0.13263888888888889</v>
      </c>
    </row>
    <row r="927" spans="1:19" x14ac:dyDescent="0.2">
      <c r="A927" s="2">
        <v>249693</v>
      </c>
      <c r="B927" s="2">
        <v>249693</v>
      </c>
      <c r="C927" s="2">
        <v>196407</v>
      </c>
      <c r="D927" t="s">
        <v>893</v>
      </c>
      <c r="G927" s="15">
        <v>0.36059000000000002</v>
      </c>
      <c r="J927" s="15"/>
      <c r="N927" s="14"/>
      <c r="O927" s="14">
        <v>0.36059000000000002</v>
      </c>
      <c r="P927" s="14"/>
      <c r="Q927" s="14"/>
      <c r="R927" s="52"/>
      <c r="S927" s="22">
        <v>7.6388888888888886E-3</v>
      </c>
    </row>
    <row r="928" spans="1:19" x14ac:dyDescent="0.2">
      <c r="A928" s="2">
        <v>251404</v>
      </c>
      <c r="B928" s="2">
        <v>251404</v>
      </c>
      <c r="C928" s="2">
        <v>237449</v>
      </c>
      <c r="D928" t="s">
        <v>1129</v>
      </c>
      <c r="G928" s="15">
        <v>0.149258</v>
      </c>
      <c r="J928" s="15"/>
      <c r="N928" s="14"/>
      <c r="O928" s="14">
        <v>0.149258</v>
      </c>
      <c r="P928" s="14"/>
      <c r="Q928" s="14"/>
      <c r="R928" s="52"/>
      <c r="S928" s="22">
        <v>0.11944444444444445</v>
      </c>
    </row>
    <row r="929" spans="1:19" x14ac:dyDescent="0.2">
      <c r="A929" s="2">
        <v>266787</v>
      </c>
      <c r="B929" s="2">
        <v>266787</v>
      </c>
      <c r="C929" s="2">
        <v>721521</v>
      </c>
      <c r="D929" t="s">
        <v>912</v>
      </c>
      <c r="G929" s="15">
        <v>5.7058999999999999E-2</v>
      </c>
      <c r="J929" s="15"/>
      <c r="N929" s="14"/>
      <c r="O929" s="14">
        <v>5.7058999999999999E-2</v>
      </c>
      <c r="P929" s="14"/>
      <c r="Q929" s="14"/>
      <c r="R929" s="52"/>
      <c r="S929" s="22">
        <v>5.9722222222222225E-2</v>
      </c>
    </row>
    <row r="930" spans="1:19" x14ac:dyDescent="0.2">
      <c r="A930" s="2">
        <v>275806</v>
      </c>
      <c r="B930" s="2">
        <v>275806</v>
      </c>
      <c r="C930" s="2">
        <v>31718</v>
      </c>
      <c r="D930" t="s">
        <v>1135</v>
      </c>
      <c r="G930" s="15">
        <v>1.865</v>
      </c>
      <c r="J930" s="15"/>
      <c r="N930" s="14"/>
      <c r="O930" s="14">
        <v>1.865</v>
      </c>
      <c r="P930" s="14"/>
      <c r="Q930" s="14"/>
      <c r="R930" s="52"/>
      <c r="S930" s="19">
        <v>0.12222222222222223</v>
      </c>
    </row>
    <row r="931" spans="1:19" x14ac:dyDescent="0.2">
      <c r="A931" s="2">
        <v>276728</v>
      </c>
      <c r="B931" s="2">
        <v>276728</v>
      </c>
      <c r="C931" s="2">
        <v>229666</v>
      </c>
      <c r="D931" t="s">
        <v>793</v>
      </c>
      <c r="G931" s="15">
        <v>0.221168</v>
      </c>
      <c r="J931" s="15"/>
      <c r="N931" s="14"/>
      <c r="O931" s="14">
        <v>0.221168</v>
      </c>
      <c r="P931" s="14"/>
      <c r="Q931" s="14"/>
      <c r="R931" s="52"/>
      <c r="S931" s="22">
        <v>0.15</v>
      </c>
    </row>
    <row r="932" spans="1:19" x14ac:dyDescent="0.2">
      <c r="A932" s="2">
        <v>287152</v>
      </c>
      <c r="B932" s="2">
        <v>287152</v>
      </c>
      <c r="C932" s="2">
        <v>1541548</v>
      </c>
      <c r="D932" t="s">
        <v>896</v>
      </c>
      <c r="G932" s="15">
        <v>2.3637999999999999E-2</v>
      </c>
      <c r="J932" s="15"/>
      <c r="N932" s="14"/>
      <c r="O932" s="14">
        <v>2.3637999999999999E-2</v>
      </c>
      <c r="P932" s="14"/>
      <c r="Q932" s="14"/>
      <c r="R932" s="52"/>
      <c r="S932" s="22">
        <v>6.3194444444444442E-2</v>
      </c>
    </row>
    <row r="933" spans="1:19" x14ac:dyDescent="0.2">
      <c r="A933" s="2">
        <v>287556</v>
      </c>
      <c r="B933" s="2">
        <v>287556</v>
      </c>
      <c r="C933" s="2">
        <v>111916</v>
      </c>
      <c r="D933" t="s">
        <v>1112</v>
      </c>
      <c r="G933" s="15">
        <v>0.36848599999999998</v>
      </c>
      <c r="J933" s="15"/>
      <c r="N933" s="14"/>
      <c r="O933" s="14">
        <v>0.36848599999999998</v>
      </c>
      <c r="P933" s="14"/>
      <c r="Q933" s="14"/>
      <c r="R933" s="52"/>
      <c r="S933" s="22">
        <v>6.7361111111111108E-2</v>
      </c>
    </row>
    <row r="934" spans="1:19" x14ac:dyDescent="0.2">
      <c r="A934" s="2">
        <v>281091</v>
      </c>
      <c r="B934" s="2">
        <v>281091</v>
      </c>
      <c r="C934" s="2">
        <v>396061</v>
      </c>
      <c r="D934" t="s">
        <v>996</v>
      </c>
      <c r="G934" s="15">
        <v>0.14083300000000001</v>
      </c>
      <c r="J934" s="15"/>
      <c r="N934" s="14"/>
      <c r="O934" s="14">
        <v>0.14083300000000001</v>
      </c>
      <c r="P934" s="14"/>
      <c r="Q934" s="14"/>
      <c r="R934" s="52"/>
      <c r="S934" s="22">
        <v>2.9861111111111113E-2</v>
      </c>
    </row>
    <row r="935" spans="1:19" x14ac:dyDescent="0.2">
      <c r="A935" s="2">
        <v>288094</v>
      </c>
      <c r="B935" s="2">
        <v>288094</v>
      </c>
      <c r="C935" s="2">
        <v>290348</v>
      </c>
      <c r="D935" t="s">
        <v>980</v>
      </c>
      <c r="G935" s="15">
        <v>0.17930199999999999</v>
      </c>
      <c r="J935" s="15"/>
      <c r="N935" s="14"/>
      <c r="O935" s="14">
        <v>0.17930199999999999</v>
      </c>
      <c r="P935" s="14"/>
      <c r="Q935" s="14"/>
      <c r="R935" s="52"/>
      <c r="S935" s="22">
        <v>4.8611111111111112E-2</v>
      </c>
    </row>
    <row r="936" spans="1:19" x14ac:dyDescent="0.2">
      <c r="A936" s="2">
        <v>299812</v>
      </c>
      <c r="B936" s="2">
        <v>299821</v>
      </c>
      <c r="C936" s="2">
        <v>1073909</v>
      </c>
      <c r="D936" t="s">
        <v>1002</v>
      </c>
      <c r="G936" s="15">
        <v>4.7247999999999998E-2</v>
      </c>
      <c r="J936" s="15"/>
      <c r="N936" s="14"/>
      <c r="O936" s="14">
        <v>4.7247999999999998E-2</v>
      </c>
      <c r="P936" s="14"/>
      <c r="Q936" s="14"/>
      <c r="R936" s="52"/>
      <c r="S936" s="22">
        <v>6.805555555555555E-2</v>
      </c>
    </row>
    <row r="937" spans="1:19" x14ac:dyDescent="0.2">
      <c r="A937" s="2">
        <v>302947</v>
      </c>
      <c r="B937" s="2">
        <v>302947</v>
      </c>
      <c r="C937" s="2">
        <v>1519075</v>
      </c>
      <c r="D937" t="s">
        <v>878</v>
      </c>
      <c r="G937" s="15">
        <v>1.7176E-2</v>
      </c>
      <c r="J937" s="15"/>
      <c r="N937" s="14"/>
      <c r="O937" s="14">
        <v>1.7176E-2</v>
      </c>
      <c r="P937" s="14"/>
      <c r="Q937" s="14"/>
      <c r="R937" s="52"/>
      <c r="S937" s="22">
        <v>0.15833333333333333</v>
      </c>
    </row>
    <row r="938" spans="1:19" x14ac:dyDescent="0.2">
      <c r="A938" s="2">
        <v>310908</v>
      </c>
      <c r="B938" s="2">
        <v>310908</v>
      </c>
      <c r="C938" s="2">
        <v>1110206</v>
      </c>
      <c r="D938" t="s">
        <v>977</v>
      </c>
      <c r="G938" s="15">
        <v>4.1696999999999998E-2</v>
      </c>
      <c r="J938" s="15"/>
      <c r="N938" s="14"/>
      <c r="O938" s="14">
        <v>4.1696999999999998E-2</v>
      </c>
      <c r="P938" s="14"/>
      <c r="Q938" s="14"/>
      <c r="R938" s="52"/>
      <c r="S938" s="22">
        <v>5.4166666666666669E-2</v>
      </c>
    </row>
    <row r="939" spans="1:19" x14ac:dyDescent="0.2">
      <c r="A939" s="2">
        <v>311388</v>
      </c>
      <c r="B939" s="2">
        <v>311388</v>
      </c>
      <c r="C939" s="2">
        <v>1019461</v>
      </c>
      <c r="D939" t="s">
        <v>856</v>
      </c>
      <c r="G939" s="15">
        <v>3.8109999999999998E-2</v>
      </c>
      <c r="J939" s="15"/>
      <c r="N939" s="14"/>
      <c r="O939" s="14">
        <v>3.8109999999999998E-2</v>
      </c>
      <c r="P939" s="14"/>
      <c r="Q939" s="14"/>
      <c r="R939" s="52"/>
      <c r="S939" s="22">
        <v>6.8749999999999992E-2</v>
      </c>
    </row>
    <row r="940" spans="1:19" x14ac:dyDescent="0.2">
      <c r="A940" s="2">
        <v>316010</v>
      </c>
      <c r="B940" s="2">
        <v>316010</v>
      </c>
      <c r="C940" s="2">
        <v>106276</v>
      </c>
      <c r="D940" t="s">
        <v>1199</v>
      </c>
      <c r="G940" s="15">
        <v>0.42126599999999997</v>
      </c>
      <c r="J940" s="15"/>
      <c r="N940" s="14"/>
      <c r="O940" s="14">
        <v>0.42126599999999997</v>
      </c>
      <c r="P940" s="14"/>
      <c r="Q940" s="14"/>
      <c r="R940" s="52"/>
      <c r="S940" s="22">
        <v>8.1250000000000003E-2</v>
      </c>
    </row>
    <row r="941" spans="1:19" x14ac:dyDescent="0.2">
      <c r="A941" s="2">
        <v>322298</v>
      </c>
      <c r="B941" s="2">
        <v>322298</v>
      </c>
      <c r="C941" s="2">
        <v>217314</v>
      </c>
      <c r="D941" t="s">
        <v>954</v>
      </c>
      <c r="G941" s="15">
        <v>0.273484</v>
      </c>
      <c r="J941" s="15"/>
      <c r="N941" s="14"/>
      <c r="O941" s="14">
        <v>0.273484</v>
      </c>
      <c r="P941" s="14"/>
      <c r="Q941" s="14"/>
      <c r="R941" s="52"/>
      <c r="S941" s="22">
        <v>8.5416666666666655E-2</v>
      </c>
    </row>
    <row r="942" spans="1:19" x14ac:dyDescent="0.2">
      <c r="A942" s="2">
        <v>323767</v>
      </c>
      <c r="B942" s="2">
        <v>323767</v>
      </c>
      <c r="C942" s="2">
        <v>1317153</v>
      </c>
      <c r="D942" t="s">
        <v>960</v>
      </c>
      <c r="G942" s="15">
        <v>1.5440000000000001E-2</v>
      </c>
      <c r="J942" s="15"/>
      <c r="N942" s="14"/>
      <c r="O942" s="14">
        <v>1.5440000000000001E-2</v>
      </c>
      <c r="P942" s="14"/>
      <c r="Q942" s="14"/>
      <c r="R942" s="52"/>
      <c r="S942" s="22">
        <v>0.47638888888888892</v>
      </c>
    </row>
    <row r="943" spans="1:19" x14ac:dyDescent="0.2">
      <c r="A943" s="2">
        <v>323843</v>
      </c>
      <c r="B943" s="2">
        <v>323843</v>
      </c>
      <c r="C943" s="2">
        <v>534793</v>
      </c>
      <c r="D943" t="s">
        <v>852</v>
      </c>
      <c r="G943" s="15">
        <v>9.9955000000000002E-2</v>
      </c>
      <c r="J943" s="15"/>
      <c r="N943" s="14"/>
      <c r="O943" s="14">
        <v>9.9955000000000002E-2</v>
      </c>
      <c r="P943" s="14"/>
      <c r="Q943" s="14"/>
      <c r="R943" s="52"/>
      <c r="S943" s="22">
        <v>5.5555555555555552E-2</v>
      </c>
    </row>
    <row r="944" spans="1:19" x14ac:dyDescent="0.2">
      <c r="A944" s="2">
        <v>336588</v>
      </c>
      <c r="B944" s="2">
        <v>336588</v>
      </c>
      <c r="C944" s="2">
        <v>495267</v>
      </c>
      <c r="D944" t="s">
        <v>1070</v>
      </c>
      <c r="G944" s="14">
        <v>8.1984000000000001E-2</v>
      </c>
      <c r="J944" s="15"/>
      <c r="N944" s="14"/>
      <c r="O944" s="14">
        <v>8.1984000000000001E-2</v>
      </c>
      <c r="P944" s="14"/>
      <c r="Q944" s="14"/>
      <c r="R944" s="52"/>
      <c r="S944" s="22">
        <v>6.9444444444444434E-2</v>
      </c>
    </row>
    <row r="945" spans="1:19" x14ac:dyDescent="0.2">
      <c r="A945" s="2">
        <v>338642</v>
      </c>
      <c r="B945" s="2">
        <v>338642</v>
      </c>
      <c r="C945" s="2">
        <v>569527</v>
      </c>
      <c r="D945" t="s">
        <v>1136</v>
      </c>
      <c r="G945" s="14">
        <v>5.8404999999999999E-2</v>
      </c>
      <c r="H945" s="14"/>
      <c r="I945" s="46"/>
      <c r="J945" s="14"/>
      <c r="K945" s="14"/>
      <c r="L945" s="14"/>
      <c r="M945" s="14"/>
      <c r="N945" s="14"/>
      <c r="O945" s="14">
        <v>5.8404999999999999E-2</v>
      </c>
      <c r="P945" s="14"/>
      <c r="Q945" s="14"/>
      <c r="R945" s="52"/>
      <c r="S945" s="22">
        <v>7.4305555555555555E-2</v>
      </c>
    </row>
    <row r="946" spans="1:19" x14ac:dyDescent="0.2">
      <c r="A946" s="2">
        <v>343524</v>
      </c>
      <c r="B946" s="2">
        <v>343524</v>
      </c>
      <c r="C946" s="2">
        <v>554149</v>
      </c>
      <c r="D946" t="s">
        <v>1042</v>
      </c>
      <c r="G946" s="15">
        <v>6.6655000000000006E-2</v>
      </c>
      <c r="J946" s="15"/>
      <c r="N946" s="14"/>
      <c r="O946" s="14">
        <v>6.6655000000000006E-2</v>
      </c>
      <c r="P946" s="14"/>
      <c r="Q946" s="14"/>
      <c r="R946" s="52"/>
      <c r="S946" s="19">
        <v>5.4166666666666669E-2</v>
      </c>
    </row>
    <row r="947" spans="1:19" x14ac:dyDescent="0.2">
      <c r="A947" s="2">
        <v>345178</v>
      </c>
      <c r="B947" s="2">
        <v>345178</v>
      </c>
      <c r="C947" s="2">
        <v>551260</v>
      </c>
      <c r="D947" t="s">
        <v>895</v>
      </c>
      <c r="G947" s="15">
        <v>7.7016000000000001E-2</v>
      </c>
      <c r="J947" s="15"/>
      <c r="N947" s="14"/>
      <c r="O947" s="14">
        <v>7.7016000000000001E-2</v>
      </c>
      <c r="P947" s="14"/>
      <c r="Q947" s="14"/>
      <c r="R947" s="52"/>
      <c r="S947" s="22">
        <v>4.5833333333333337E-2</v>
      </c>
    </row>
    <row r="948" spans="1:19" x14ac:dyDescent="0.2">
      <c r="A948" s="2">
        <v>348235</v>
      </c>
      <c r="B948" s="2">
        <v>348235</v>
      </c>
      <c r="C948" s="2">
        <v>785259</v>
      </c>
      <c r="D948" t="s">
        <v>866</v>
      </c>
      <c r="G948" s="15">
        <v>5.7549999999999997E-2</v>
      </c>
      <c r="J948" s="15"/>
      <c r="N948" s="14"/>
      <c r="O948" s="14">
        <v>5.7549999999999997E-2</v>
      </c>
      <c r="P948" s="14"/>
      <c r="Q948" s="14"/>
      <c r="R948" s="52"/>
      <c r="S948" s="22">
        <v>8.1944444444444445E-2</v>
      </c>
    </row>
    <row r="949" spans="1:19" x14ac:dyDescent="0.2">
      <c r="A949" s="2">
        <v>349464</v>
      </c>
      <c r="B949" s="2">
        <v>349464</v>
      </c>
      <c r="C949" s="2">
        <v>1439813</v>
      </c>
      <c r="D949" t="s">
        <v>790</v>
      </c>
      <c r="G949" s="15">
        <v>2.6478000000000002E-2</v>
      </c>
      <c r="J949" s="15"/>
      <c r="N949" s="14"/>
      <c r="O949" s="14">
        <v>2.6478000000000002E-2</v>
      </c>
      <c r="P949" s="14"/>
      <c r="Q949" s="14"/>
      <c r="R949" s="52"/>
      <c r="S949" s="22">
        <v>5.5555555555555552E-2</v>
      </c>
    </row>
    <row r="950" spans="1:19" x14ac:dyDescent="0.2">
      <c r="A950" s="2">
        <v>360123</v>
      </c>
      <c r="B950" s="2">
        <v>360123</v>
      </c>
      <c r="C950" s="2">
        <v>815969</v>
      </c>
      <c r="D950" t="s">
        <v>851</v>
      </c>
      <c r="G950" s="15">
        <v>2.6478000000000002E-2</v>
      </c>
      <c r="J950" s="15"/>
      <c r="N950" s="14"/>
      <c r="O950" s="14">
        <v>2.9766999999999998E-2</v>
      </c>
      <c r="P950" s="14"/>
      <c r="Q950" s="14"/>
      <c r="R950" s="52"/>
      <c r="S950" s="22">
        <v>0.32569444444444445</v>
      </c>
    </row>
    <row r="951" spans="1:19" x14ac:dyDescent="0.2">
      <c r="A951" s="2">
        <v>360918</v>
      </c>
      <c r="B951" s="2">
        <v>360918</v>
      </c>
      <c r="C951" s="2">
        <v>734063</v>
      </c>
      <c r="D951" t="s">
        <v>923</v>
      </c>
      <c r="G951" s="15">
        <v>6.6060999999999995E-2</v>
      </c>
      <c r="J951" s="15"/>
      <c r="N951" s="14"/>
      <c r="O951" s="14">
        <v>6.6060999999999995E-2</v>
      </c>
      <c r="P951" s="14"/>
      <c r="Q951" s="14"/>
      <c r="R951" s="52"/>
      <c r="S951" s="22">
        <v>0.1125</v>
      </c>
    </row>
    <row r="952" spans="1:19" x14ac:dyDescent="0.2">
      <c r="A952" s="2">
        <v>389962</v>
      </c>
      <c r="B952" s="2">
        <v>389962</v>
      </c>
      <c r="C952" s="2">
        <v>688196</v>
      </c>
      <c r="D952" t="s">
        <v>825</v>
      </c>
      <c r="G952" s="15">
        <v>6.9675000000000001E-2</v>
      </c>
      <c r="J952" s="15"/>
      <c r="N952" s="14"/>
      <c r="O952" s="14">
        <v>6.9675000000000001E-2</v>
      </c>
      <c r="P952" s="14"/>
      <c r="Q952" s="14"/>
      <c r="R952" s="52"/>
      <c r="S952" s="22">
        <v>2.8472222222222222E-2</v>
      </c>
    </row>
    <row r="953" spans="1:19" x14ac:dyDescent="0.2">
      <c r="A953" s="2">
        <v>393631</v>
      </c>
      <c r="B953" s="2">
        <v>393631</v>
      </c>
      <c r="C953" s="2">
        <v>1777874</v>
      </c>
      <c r="D953" t="s">
        <v>924</v>
      </c>
      <c r="G953" s="15">
        <v>1.9050000000000001E-2</v>
      </c>
      <c r="J953" s="15"/>
      <c r="N953" s="14"/>
      <c r="O953" s="14">
        <v>1.9050000000000001E-2</v>
      </c>
      <c r="P953" s="14"/>
      <c r="Q953" s="14"/>
      <c r="R953" s="52"/>
      <c r="S953" s="22">
        <v>0.11319444444444444</v>
      </c>
    </row>
    <row r="954" spans="1:19" x14ac:dyDescent="0.2">
      <c r="A954" s="2">
        <v>397878</v>
      </c>
      <c r="B954" s="2">
        <v>397878</v>
      </c>
      <c r="C954" s="2">
        <v>1070407</v>
      </c>
      <c r="D954" t="s">
        <v>862</v>
      </c>
      <c r="G954" s="15">
        <v>3.8234999999999998E-2</v>
      </c>
      <c r="J954" s="15"/>
      <c r="N954" s="14"/>
      <c r="O954" s="14">
        <v>3.8234999999999998E-2</v>
      </c>
      <c r="P954" s="14"/>
      <c r="Q954" s="14"/>
      <c r="R954" s="52"/>
      <c r="S954" s="22">
        <v>2.4305555555555556E-2</v>
      </c>
    </row>
    <row r="955" spans="1:19" x14ac:dyDescent="0.2">
      <c r="A955" s="2">
        <v>417182</v>
      </c>
      <c r="B955" s="2">
        <v>417182</v>
      </c>
      <c r="C955" s="2">
        <v>1072306</v>
      </c>
      <c r="D955" t="s">
        <v>789</v>
      </c>
      <c r="G955" s="15">
        <v>2.2433000000000002E-2</v>
      </c>
      <c r="J955" s="15"/>
      <c r="N955" s="14"/>
      <c r="O955" s="14">
        <v>2.2433000000000002E-2</v>
      </c>
      <c r="P955" s="14"/>
      <c r="Q955" s="14"/>
      <c r="R955" s="52"/>
      <c r="S955" s="22">
        <v>0.51597222222222217</v>
      </c>
    </row>
    <row r="956" spans="1:19" x14ac:dyDescent="0.2">
      <c r="A956" s="2">
        <v>420515</v>
      </c>
      <c r="B956" s="2">
        <v>420515</v>
      </c>
      <c r="C956" s="2">
        <v>988217</v>
      </c>
      <c r="D956" t="s">
        <v>812</v>
      </c>
      <c r="G956" s="15">
        <v>3.8457999999999999E-2</v>
      </c>
      <c r="J956" s="15"/>
      <c r="N956" s="14"/>
      <c r="O956" s="14">
        <v>3.8457999999999999E-2</v>
      </c>
      <c r="P956" s="14"/>
      <c r="Q956" s="14"/>
      <c r="R956" s="52"/>
      <c r="S956" s="22">
        <v>0.11388888888888889</v>
      </c>
    </row>
    <row r="957" spans="1:19" x14ac:dyDescent="0.2">
      <c r="A957" s="2">
        <v>421512</v>
      </c>
      <c r="B957" s="2">
        <v>421512</v>
      </c>
      <c r="C957" s="2">
        <v>1298181</v>
      </c>
      <c r="D957" t="s">
        <v>922</v>
      </c>
      <c r="G957" s="15">
        <v>2.4740999999999999E-2</v>
      </c>
      <c r="J957" s="15"/>
      <c r="N957" s="14"/>
      <c r="O957" s="14">
        <v>2.4740999999999999E-2</v>
      </c>
      <c r="P957" s="14"/>
      <c r="Q957" s="14"/>
      <c r="R957" s="52"/>
      <c r="S957" s="22">
        <v>0.14444444444444446</v>
      </c>
    </row>
    <row r="958" spans="1:19" x14ac:dyDescent="0.2">
      <c r="A958" s="2">
        <v>421859</v>
      </c>
      <c r="B958" s="2">
        <v>421859</v>
      </c>
      <c r="C958" s="2">
        <v>874137</v>
      </c>
      <c r="D958" t="s">
        <v>879</v>
      </c>
      <c r="G958" s="15">
        <v>4.3948000000000001E-2</v>
      </c>
      <c r="J958" s="15"/>
      <c r="N958" s="14"/>
      <c r="O958" s="14">
        <v>4.3948000000000001E-2</v>
      </c>
      <c r="P958" s="14"/>
      <c r="Q958" s="14"/>
      <c r="R958" s="52"/>
      <c r="S958" s="22">
        <v>0.23333333333333331</v>
      </c>
    </row>
    <row r="959" spans="1:19" x14ac:dyDescent="0.2">
      <c r="A959" s="2">
        <v>433666</v>
      </c>
      <c r="B959" s="2">
        <v>433666</v>
      </c>
      <c r="C959" s="2">
        <v>609532</v>
      </c>
      <c r="D959" t="s">
        <v>933</v>
      </c>
      <c r="G959" s="15">
        <v>7.2140999999999997E-2</v>
      </c>
      <c r="J959" s="15"/>
      <c r="N959" s="14"/>
      <c r="O959" s="14">
        <v>7.2140999999999997E-2</v>
      </c>
      <c r="P959" s="14"/>
      <c r="Q959" s="14"/>
      <c r="R959" s="52"/>
      <c r="S959" s="22">
        <v>3.5416666666666666E-2</v>
      </c>
    </row>
    <row r="960" spans="1:19" x14ac:dyDescent="0.2">
      <c r="A960" s="2">
        <v>444554</v>
      </c>
      <c r="B960" s="2">
        <v>444554</v>
      </c>
      <c r="C960" s="2">
        <v>1471268</v>
      </c>
      <c r="D960" t="s">
        <v>854</v>
      </c>
      <c r="G960" s="15">
        <v>2.9928E-2</v>
      </c>
      <c r="J960" s="15"/>
      <c r="N960" s="14"/>
      <c r="O960" s="14">
        <v>2.9928E-2</v>
      </c>
      <c r="P960" s="14"/>
      <c r="Q960" s="14"/>
      <c r="R960" s="52"/>
      <c r="S960" s="22">
        <v>9.5833333333333326E-2</v>
      </c>
    </row>
    <row r="961" spans="1:19" x14ac:dyDescent="0.2">
      <c r="A961" s="2">
        <v>444657</v>
      </c>
      <c r="B961" s="2">
        <v>444657</v>
      </c>
      <c r="C961" s="2">
        <v>527587</v>
      </c>
      <c r="D961" t="s">
        <v>795</v>
      </c>
      <c r="G961" s="15">
        <v>6.6556000000000004E-2</v>
      </c>
      <c r="J961" s="15"/>
      <c r="N961" s="14"/>
      <c r="O961" s="14">
        <v>6.6556000000000004E-2</v>
      </c>
      <c r="P961" s="14"/>
      <c r="Q961" s="14"/>
      <c r="R961" s="52"/>
      <c r="S961" s="22">
        <v>0.2590277777777778</v>
      </c>
    </row>
    <row r="962" spans="1:19" x14ac:dyDescent="0.2">
      <c r="A962" s="2">
        <v>445215</v>
      </c>
      <c r="B962" s="2">
        <v>445215</v>
      </c>
      <c r="C962" s="2">
        <v>353271</v>
      </c>
      <c r="D962" t="s">
        <v>988</v>
      </c>
      <c r="G962" s="15">
        <v>0.119949</v>
      </c>
      <c r="J962" s="15"/>
      <c r="N962" s="14"/>
      <c r="O962" s="14">
        <v>0.119949</v>
      </c>
      <c r="P962" s="14"/>
      <c r="Q962" s="14"/>
      <c r="R962" s="52"/>
      <c r="S962" s="19">
        <v>8.1944444444444445E-2</v>
      </c>
    </row>
    <row r="963" spans="1:19" x14ac:dyDescent="0.2">
      <c r="A963" s="2">
        <v>446715</v>
      </c>
      <c r="B963" s="2">
        <v>446715</v>
      </c>
      <c r="C963" s="2">
        <v>902966</v>
      </c>
      <c r="D963" t="s">
        <v>887</v>
      </c>
      <c r="G963" s="15">
        <v>3.8922999999999999E-2</v>
      </c>
      <c r="J963" s="15"/>
      <c r="N963" s="14"/>
      <c r="O963" s="14">
        <v>3.8922999999999999E-2</v>
      </c>
      <c r="P963" s="14"/>
      <c r="Q963" s="14"/>
      <c r="R963" s="52"/>
      <c r="S963" s="22">
        <v>5.4166666666666669E-2</v>
      </c>
    </row>
    <row r="964" spans="1:19" x14ac:dyDescent="0.2">
      <c r="A964" s="2">
        <v>449963</v>
      </c>
      <c r="B964" s="2">
        <v>449963</v>
      </c>
      <c r="C964" s="2">
        <v>1735572</v>
      </c>
      <c r="D964" t="s">
        <v>863</v>
      </c>
      <c r="G964" s="15">
        <v>2.3448E-2</v>
      </c>
      <c r="J964" s="15"/>
      <c r="N964" s="14"/>
      <c r="O964" s="14">
        <v>2.3448E-2</v>
      </c>
      <c r="P964" s="14"/>
      <c r="Q964" s="14"/>
      <c r="R964" s="52"/>
      <c r="S964" s="22">
        <v>3.8194444444444441E-2</v>
      </c>
    </row>
    <row r="965" spans="1:19" x14ac:dyDescent="0.2">
      <c r="A965" s="2">
        <v>450134</v>
      </c>
      <c r="B965" s="2">
        <v>450134</v>
      </c>
      <c r="C965" s="2">
        <v>1693143</v>
      </c>
      <c r="D965" t="s">
        <v>820</v>
      </c>
      <c r="G965" s="15">
        <v>1.7038000000000001E-2</v>
      </c>
      <c r="J965" s="15"/>
      <c r="N965" s="14"/>
      <c r="O965" s="14">
        <v>1.7038000000000001E-2</v>
      </c>
      <c r="P965" s="14"/>
      <c r="Q965" s="14"/>
      <c r="R965" s="52"/>
      <c r="S965" s="22">
        <v>0.13749999999999998</v>
      </c>
    </row>
    <row r="966" spans="1:19" x14ac:dyDescent="0.2">
      <c r="A966" s="2">
        <v>454688</v>
      </c>
      <c r="B966" s="2">
        <v>454688</v>
      </c>
      <c r="C966" s="2">
        <v>445551</v>
      </c>
      <c r="D966" t="s">
        <v>1111</v>
      </c>
      <c r="G966" s="15">
        <v>9.9835999999999994E-2</v>
      </c>
      <c r="J966" s="15"/>
      <c r="N966" s="14"/>
      <c r="O966" s="14">
        <v>9.9835999999999994E-2</v>
      </c>
      <c r="P966" s="14"/>
      <c r="Q966" s="14"/>
      <c r="R966" s="52"/>
      <c r="S966" s="22">
        <v>7.5694444444444439E-2</v>
      </c>
    </row>
    <row r="967" spans="1:19" x14ac:dyDescent="0.2">
      <c r="A967" s="2">
        <v>467431</v>
      </c>
      <c r="B967" s="2">
        <v>467431</v>
      </c>
      <c r="C967" s="2">
        <v>842967</v>
      </c>
      <c r="D967" t="s">
        <v>882</v>
      </c>
      <c r="G967" s="15">
        <v>5.3367999999999999E-2</v>
      </c>
      <c r="J967" s="15"/>
      <c r="N967" s="14"/>
      <c r="O967" s="14">
        <v>5.3367999999999999E-2</v>
      </c>
      <c r="P967" s="14"/>
      <c r="Q967" s="14"/>
      <c r="R967" s="52"/>
      <c r="S967" s="22">
        <v>8.2638888888888887E-2</v>
      </c>
    </row>
    <row r="968" spans="1:19" x14ac:dyDescent="0.2">
      <c r="A968" s="2">
        <v>488080</v>
      </c>
      <c r="B968" s="2">
        <v>488080</v>
      </c>
      <c r="C968" s="2">
        <v>1747853</v>
      </c>
      <c r="D968" t="s">
        <v>813</v>
      </c>
      <c r="G968" s="15">
        <v>2.2540000000000001E-2</v>
      </c>
      <c r="J968" s="15"/>
      <c r="N968" s="14"/>
      <c r="O968" s="14">
        <v>2.2540000000000001E-2</v>
      </c>
      <c r="P968" s="14"/>
      <c r="Q968" s="14"/>
      <c r="R968" s="52"/>
      <c r="S968" s="22">
        <v>3.888888888888889E-2</v>
      </c>
    </row>
    <row r="969" spans="1:19" x14ac:dyDescent="0.2">
      <c r="A969" s="2">
        <v>490173</v>
      </c>
      <c r="B969" s="2">
        <v>490173</v>
      </c>
      <c r="C969" s="2">
        <v>90271</v>
      </c>
      <c r="D969" t="s">
        <v>1050</v>
      </c>
      <c r="G969" s="15">
        <v>0.72974600000000001</v>
      </c>
      <c r="J969" s="15"/>
      <c r="N969" s="14"/>
      <c r="O969" s="14">
        <v>0.72974600000000001</v>
      </c>
      <c r="P969" s="14"/>
      <c r="Q969" s="14"/>
      <c r="R969" s="52"/>
      <c r="S969" s="19">
        <v>5.7638888888888885E-2</v>
      </c>
    </row>
    <row r="970" spans="1:19" x14ac:dyDescent="0.2">
      <c r="A970" s="2">
        <v>500383</v>
      </c>
      <c r="B970" s="2">
        <v>500383</v>
      </c>
      <c r="C970" s="2">
        <v>966791</v>
      </c>
      <c r="D970" t="s">
        <v>901</v>
      </c>
      <c r="G970" s="15">
        <v>2.8972000000000001E-2</v>
      </c>
      <c r="J970" s="15"/>
      <c r="N970" s="14"/>
      <c r="O970" s="14">
        <v>2.8972000000000001E-2</v>
      </c>
      <c r="P970" s="14"/>
      <c r="Q970" s="14"/>
      <c r="R970" s="52"/>
      <c r="S970" s="22">
        <v>0.30763888888888891</v>
      </c>
    </row>
    <row r="971" spans="1:19" x14ac:dyDescent="0.2">
      <c r="A971" s="2">
        <v>531416</v>
      </c>
      <c r="B971" s="2">
        <v>531416</v>
      </c>
      <c r="C971" s="2">
        <v>665301</v>
      </c>
      <c r="D971" t="s">
        <v>990</v>
      </c>
      <c r="G971" s="15">
        <v>6.8719000000000002E-2</v>
      </c>
      <c r="J971" s="15"/>
      <c r="N971" s="14"/>
      <c r="O971" s="14">
        <v>6.8719000000000002E-2</v>
      </c>
      <c r="P971" s="14"/>
      <c r="Q971" s="14"/>
      <c r="R971" s="52"/>
      <c r="S971" s="22">
        <v>4.7916666666666663E-2</v>
      </c>
    </row>
    <row r="972" spans="1:19" x14ac:dyDescent="0.2">
      <c r="A972" s="2">
        <v>534305</v>
      </c>
      <c r="B972" s="2">
        <v>534305</v>
      </c>
      <c r="C972" s="2">
        <v>2395526</v>
      </c>
      <c r="D972" t="s">
        <v>927</v>
      </c>
      <c r="G972" s="15">
        <v>1.3875999999999999E-2</v>
      </c>
      <c r="J972" s="15"/>
      <c r="N972" s="14"/>
      <c r="O972" s="14">
        <v>1.3875999999999999E-2</v>
      </c>
      <c r="P972" s="14"/>
      <c r="Q972" s="14"/>
      <c r="R972" s="52"/>
      <c r="S972" s="22">
        <v>2.4305555555555556E-2</v>
      </c>
    </row>
    <row r="973" spans="1:19" x14ac:dyDescent="0.2">
      <c r="A973" s="2">
        <v>535575</v>
      </c>
      <c r="B973" s="2">
        <v>535575</v>
      </c>
      <c r="C973" s="2">
        <v>1793208</v>
      </c>
      <c r="D973" t="s">
        <v>809</v>
      </c>
      <c r="G973" s="15">
        <v>1.9136E-2</v>
      </c>
      <c r="J973" s="15"/>
      <c r="N973" s="14"/>
      <c r="O973" s="14">
        <v>1.9136E-2</v>
      </c>
      <c r="P973" s="14"/>
      <c r="Q973" s="14"/>
      <c r="R973" s="52"/>
      <c r="S973" s="22">
        <v>5.6250000000000001E-2</v>
      </c>
    </row>
    <row r="974" spans="1:19" x14ac:dyDescent="0.2">
      <c r="A974" s="2">
        <v>537012</v>
      </c>
      <c r="B974" s="2">
        <v>537012</v>
      </c>
      <c r="C974" s="2">
        <v>405952</v>
      </c>
      <c r="D974" t="s">
        <v>991</v>
      </c>
      <c r="G974" s="15">
        <v>0.121917</v>
      </c>
      <c r="J974" s="15"/>
      <c r="N974" s="14"/>
      <c r="O974" s="14">
        <v>0.121917</v>
      </c>
      <c r="P974" s="14"/>
      <c r="Q974" s="14"/>
      <c r="R974" s="52"/>
      <c r="S974" s="22">
        <v>3.6111111111111115E-2</v>
      </c>
    </row>
    <row r="975" spans="1:19" x14ac:dyDescent="0.2">
      <c r="A975" s="2">
        <v>537480</v>
      </c>
      <c r="B975" s="2">
        <v>537480</v>
      </c>
      <c r="C975" s="2">
        <v>523525</v>
      </c>
      <c r="D975" t="s">
        <v>1128</v>
      </c>
      <c r="G975" s="15">
        <v>8.4498000000000004E-2</v>
      </c>
      <c r="J975" s="15"/>
      <c r="N975" s="14"/>
      <c r="O975" s="14">
        <v>8.4498000000000004E-2</v>
      </c>
      <c r="P975" s="14"/>
      <c r="Q975" s="14"/>
      <c r="R975" s="52"/>
      <c r="S975" s="22">
        <v>8.7500000000000008E-2</v>
      </c>
    </row>
    <row r="976" spans="1:19" x14ac:dyDescent="0.2">
      <c r="A976" s="2">
        <v>540680</v>
      </c>
      <c r="B976" s="2">
        <v>540680</v>
      </c>
      <c r="C976" s="2">
        <v>2298772</v>
      </c>
      <c r="D976" t="s">
        <v>898</v>
      </c>
      <c r="G976" s="15">
        <v>1.6847000000000001E-2</v>
      </c>
      <c r="J976" s="15"/>
      <c r="N976" s="14"/>
      <c r="O976" s="14">
        <v>1.6847000000000001E-2</v>
      </c>
      <c r="P976" s="14"/>
      <c r="Q976" s="14"/>
      <c r="R976" s="52"/>
      <c r="S976" s="22">
        <v>1.3888888888888889E-3</v>
      </c>
    </row>
    <row r="977" spans="1:19" x14ac:dyDescent="0.2">
      <c r="A977" s="2">
        <v>591842</v>
      </c>
      <c r="B977" s="2">
        <v>591842</v>
      </c>
      <c r="C977" s="2">
        <v>79970</v>
      </c>
      <c r="D977" t="s">
        <v>788</v>
      </c>
      <c r="G977" s="15">
        <v>0.55719300000000005</v>
      </c>
      <c r="J977" s="15"/>
      <c r="N977" s="14"/>
      <c r="O977" s="14">
        <v>0.55719300000000005</v>
      </c>
      <c r="P977" s="14"/>
      <c r="Q977" s="14"/>
      <c r="R977" s="52"/>
      <c r="S977" s="22">
        <v>0.80763888888888891</v>
      </c>
    </row>
    <row r="978" spans="1:19" x14ac:dyDescent="0.2">
      <c r="A978" s="2">
        <v>609159</v>
      </c>
      <c r="B978" s="2">
        <v>609159</v>
      </c>
      <c r="C978" s="2">
        <v>321214</v>
      </c>
      <c r="D978" t="s">
        <v>925</v>
      </c>
      <c r="G978" s="15">
        <v>0.156365</v>
      </c>
      <c r="J978" s="15"/>
      <c r="N978" s="14"/>
      <c r="O978" s="14">
        <v>0.156365</v>
      </c>
      <c r="P978" s="14"/>
      <c r="Q978" s="14"/>
      <c r="R978" s="52"/>
      <c r="S978" s="22">
        <v>0.20972222222222223</v>
      </c>
    </row>
    <row r="979" spans="1:19" x14ac:dyDescent="0.2">
      <c r="A979" s="2">
        <v>613039</v>
      </c>
      <c r="B979" s="2">
        <v>613039</v>
      </c>
      <c r="C979" s="2">
        <v>567508</v>
      </c>
      <c r="D979" t="s">
        <v>919</v>
      </c>
      <c r="G979" s="15">
        <v>4.4072E-2</v>
      </c>
      <c r="J979" s="15"/>
      <c r="N979" s="14"/>
      <c r="O979" s="14">
        <v>4.4072E-2</v>
      </c>
      <c r="P979" s="14"/>
      <c r="Q979" s="14"/>
      <c r="R979" s="52"/>
      <c r="S979" s="22">
        <v>0.21875</v>
      </c>
    </row>
    <row r="980" spans="1:19" x14ac:dyDescent="0.2">
      <c r="A980" s="2">
        <v>625185</v>
      </c>
      <c r="B980" s="2">
        <v>625185</v>
      </c>
      <c r="C980" s="2">
        <v>1054681</v>
      </c>
      <c r="D980" t="s">
        <v>822</v>
      </c>
      <c r="G980" s="15">
        <v>4.0629999999999999E-2</v>
      </c>
      <c r="J980" s="15"/>
      <c r="N980" s="14"/>
      <c r="O980" s="14">
        <v>4.0629999999999999E-2</v>
      </c>
      <c r="P980" s="14"/>
      <c r="Q980" s="14"/>
      <c r="R980" s="52"/>
      <c r="S980" s="22">
        <v>0.11875000000000001</v>
      </c>
    </row>
    <row r="981" spans="1:19" x14ac:dyDescent="0.2">
      <c r="A981" s="2">
        <v>634589</v>
      </c>
      <c r="B981" s="2">
        <v>184541</v>
      </c>
      <c r="C981" s="2">
        <v>338704</v>
      </c>
      <c r="D981" t="s">
        <v>575</v>
      </c>
      <c r="G981" s="15">
        <v>0.41208099999999998</v>
      </c>
      <c r="H981" s="15">
        <v>1.089E-2</v>
      </c>
      <c r="I981" s="16">
        <v>1.0588E-2</v>
      </c>
      <c r="J981" s="15">
        <v>0.23796300000000001</v>
      </c>
      <c r="N981" s="14"/>
      <c r="O981" s="14">
        <v>0.15287899999999999</v>
      </c>
      <c r="P981" s="14"/>
      <c r="Q981" s="14"/>
      <c r="R981" s="52"/>
      <c r="S981" s="22">
        <v>2.4305555555555556E-2</v>
      </c>
    </row>
    <row r="982" spans="1:19" x14ac:dyDescent="0.2">
      <c r="A982" s="2">
        <v>642708</v>
      </c>
      <c r="B982" s="2">
        <v>642708</v>
      </c>
      <c r="C982" s="2">
        <v>752134</v>
      </c>
      <c r="D982" t="s">
        <v>1222</v>
      </c>
      <c r="G982" s="15">
        <v>3.9455999999999998E-2</v>
      </c>
      <c r="J982" s="15"/>
      <c r="N982" s="14"/>
      <c r="O982" s="14">
        <v>3.9455999999999998E-2</v>
      </c>
      <c r="P982" s="14"/>
      <c r="Q982" s="14"/>
      <c r="R982" s="52"/>
      <c r="S982" s="22">
        <v>0.16805555555555554</v>
      </c>
    </row>
    <row r="983" spans="1:19" x14ac:dyDescent="0.2">
      <c r="A983" s="2">
        <v>657445</v>
      </c>
      <c r="B983" s="2">
        <v>657445</v>
      </c>
      <c r="C983" s="2">
        <v>74686</v>
      </c>
      <c r="D983" t="s">
        <v>1131</v>
      </c>
      <c r="G983" s="15">
        <v>0.44040600000000002</v>
      </c>
      <c r="J983" s="15"/>
      <c r="N983" s="14"/>
      <c r="O983" s="14">
        <v>0.44040600000000002</v>
      </c>
      <c r="P983" s="14"/>
      <c r="Q983" s="14"/>
      <c r="R983" s="52"/>
      <c r="S983" s="19">
        <v>0.15694444444444444</v>
      </c>
    </row>
    <row r="984" spans="1:19" x14ac:dyDescent="0.2">
      <c r="A984" s="2">
        <v>678583</v>
      </c>
      <c r="B984" s="2">
        <v>678583</v>
      </c>
      <c r="C984" s="2">
        <v>781819</v>
      </c>
      <c r="D984" t="s">
        <v>1212</v>
      </c>
      <c r="G984" s="15">
        <v>5.8803000000000001E-2</v>
      </c>
      <c r="J984" s="15"/>
      <c r="N984" s="14"/>
      <c r="O984" s="14">
        <v>5.8803000000000001E-2</v>
      </c>
      <c r="P984" s="14"/>
      <c r="Q984" s="14"/>
      <c r="R984" s="52"/>
      <c r="S984" s="19">
        <v>8.0555555555555561E-2</v>
      </c>
    </row>
    <row r="985" spans="1:19" x14ac:dyDescent="0.2">
      <c r="A985" s="2">
        <v>691803</v>
      </c>
      <c r="B985" s="2">
        <v>691803</v>
      </c>
      <c r="C985" s="2">
        <v>962670</v>
      </c>
      <c r="D985" t="s">
        <v>979</v>
      </c>
      <c r="G985" s="15">
        <v>4.7480000000000001E-2</v>
      </c>
      <c r="J985" s="15"/>
      <c r="N985" s="14"/>
      <c r="O985" s="14">
        <v>4.7480000000000001E-2</v>
      </c>
      <c r="P985" s="14"/>
      <c r="Q985" s="14"/>
      <c r="R985" s="52"/>
      <c r="S985" s="22">
        <v>0.25416666666666665</v>
      </c>
    </row>
    <row r="986" spans="1:19" x14ac:dyDescent="0.2">
      <c r="A986" s="2">
        <v>711587</v>
      </c>
      <c r="B986" s="2">
        <v>711587</v>
      </c>
      <c r="C986" s="2">
        <v>810424</v>
      </c>
      <c r="D986" t="s">
        <v>891</v>
      </c>
      <c r="G986" s="15">
        <v>4.2204999999999999E-2</v>
      </c>
      <c r="J986" s="15"/>
      <c r="N986" s="14"/>
      <c r="O986" s="14">
        <v>4.2204999999999999E-2</v>
      </c>
      <c r="P986" s="14"/>
      <c r="Q986" s="14"/>
      <c r="R986" s="52"/>
      <c r="S986" s="22">
        <v>0.16458333333333333</v>
      </c>
    </row>
    <row r="987" spans="1:19" x14ac:dyDescent="0.2">
      <c r="A987" s="2">
        <v>713854</v>
      </c>
      <c r="B987" s="2">
        <v>713854</v>
      </c>
      <c r="C987" s="2">
        <v>2989213</v>
      </c>
      <c r="D987" t="s">
        <v>948</v>
      </c>
      <c r="G987" s="15">
        <v>9.3509999999999999E-3</v>
      </c>
      <c r="J987" s="15"/>
      <c r="N987" s="14"/>
      <c r="O987" s="14">
        <v>9.3509999999999999E-3</v>
      </c>
      <c r="P987" s="14"/>
      <c r="Q987" s="14"/>
      <c r="R987" s="52"/>
      <c r="S987" s="22">
        <v>2.9861111111111113E-2</v>
      </c>
    </row>
    <row r="988" spans="1:19" x14ac:dyDescent="0.2">
      <c r="A988" s="2">
        <v>721786</v>
      </c>
      <c r="B988" s="2">
        <v>721786</v>
      </c>
      <c r="C988" s="2">
        <v>2565701</v>
      </c>
      <c r="D988" t="s">
        <v>794</v>
      </c>
      <c r="G988" s="15">
        <v>1.1689E-2</v>
      </c>
      <c r="J988" s="15"/>
      <c r="N988" s="14"/>
      <c r="O988" s="14">
        <v>1.1689E-2</v>
      </c>
      <c r="P988" s="14"/>
      <c r="Q988" s="14"/>
      <c r="R988" s="52"/>
      <c r="S988" s="22">
        <v>0.14444444444444446</v>
      </c>
    </row>
    <row r="989" spans="1:19" x14ac:dyDescent="0.2">
      <c r="A989" s="2">
        <v>724307</v>
      </c>
      <c r="B989" s="2">
        <v>724307</v>
      </c>
      <c r="C989" s="2">
        <v>3067096</v>
      </c>
      <c r="D989" t="s">
        <v>892</v>
      </c>
      <c r="G989" s="15">
        <v>8.9449999999999998E-3</v>
      </c>
      <c r="J989" s="15"/>
      <c r="N989" s="14"/>
      <c r="O989" s="14">
        <v>8.9449999999999998E-3</v>
      </c>
      <c r="P989" s="14"/>
      <c r="Q989" s="14"/>
      <c r="R989" s="52"/>
      <c r="S989" s="22">
        <v>2.9166666666666664E-2</v>
      </c>
    </row>
    <row r="990" spans="1:19" x14ac:dyDescent="0.2">
      <c r="A990" s="2">
        <v>730301</v>
      </c>
      <c r="B990" s="2">
        <v>730301</v>
      </c>
      <c r="C990" s="2">
        <v>2194204</v>
      </c>
      <c r="D990" t="s">
        <v>953</v>
      </c>
      <c r="G990" s="15">
        <v>0</v>
      </c>
      <c r="J990" s="15"/>
      <c r="N990" s="14"/>
      <c r="O990" s="14">
        <v>0</v>
      </c>
      <c r="P990" s="14"/>
      <c r="Q990" s="14"/>
      <c r="R990" s="52"/>
      <c r="S990" s="22"/>
    </row>
    <row r="991" spans="1:19" x14ac:dyDescent="0.2">
      <c r="A991" s="2">
        <v>766473</v>
      </c>
      <c r="B991" s="2">
        <v>766473</v>
      </c>
      <c r="C991" s="2">
        <v>744628</v>
      </c>
      <c r="D991" t="s">
        <v>1220</v>
      </c>
      <c r="G991" s="15">
        <v>7.8120999999999996E-2</v>
      </c>
      <c r="J991" s="15"/>
      <c r="N991" s="14"/>
      <c r="O991" s="14">
        <v>7.8120999999999996E-2</v>
      </c>
      <c r="P991" s="14"/>
      <c r="Q991" s="14"/>
      <c r="R991" s="52"/>
      <c r="S991" s="22">
        <v>4.6527777777777779E-2</v>
      </c>
    </row>
    <row r="992" spans="1:19" x14ac:dyDescent="0.2">
      <c r="A992" s="2">
        <v>751450</v>
      </c>
      <c r="B992" s="2">
        <v>751450</v>
      </c>
      <c r="C992" s="2">
        <v>1961638</v>
      </c>
      <c r="D992" t="s">
        <v>921</v>
      </c>
      <c r="G992" s="15">
        <v>2.0410999999999999E-2</v>
      </c>
      <c r="J992" s="15"/>
      <c r="N992" s="14"/>
      <c r="O992" s="14">
        <v>2.0410999999999999E-2</v>
      </c>
      <c r="P992" s="14"/>
      <c r="Q992" s="14"/>
      <c r="R992" s="52"/>
      <c r="S992" s="22">
        <v>5.5555555555555552E-2</v>
      </c>
    </row>
    <row r="993" spans="1:19" x14ac:dyDescent="0.2">
      <c r="A993" s="2">
        <v>755935</v>
      </c>
      <c r="B993" s="2">
        <v>755935</v>
      </c>
      <c r="C993" s="2">
        <v>1375631</v>
      </c>
      <c r="D993" t="s">
        <v>982</v>
      </c>
      <c r="G993" s="15">
        <v>3.2750000000000001E-2</v>
      </c>
      <c r="J993" s="15"/>
      <c r="N993" s="14"/>
      <c r="O993" s="14">
        <v>3.2750000000000001E-2</v>
      </c>
      <c r="P993" s="14"/>
      <c r="Q993" s="14"/>
      <c r="R993" s="52"/>
      <c r="S993" s="22">
        <v>6.3888888888888884E-2</v>
      </c>
    </row>
    <row r="994" spans="1:19" x14ac:dyDescent="0.2">
      <c r="A994" s="2">
        <v>778659</v>
      </c>
      <c r="B994" s="2">
        <v>778659</v>
      </c>
      <c r="C994" s="2">
        <v>658375</v>
      </c>
      <c r="D994" t="s">
        <v>983</v>
      </c>
      <c r="G994" s="15">
        <v>6.5905000000000005E-2</v>
      </c>
      <c r="J994" s="15"/>
      <c r="N994" s="14"/>
      <c r="O994" s="14">
        <v>6.5905000000000005E-2</v>
      </c>
      <c r="P994" s="14"/>
      <c r="Q994" s="14"/>
      <c r="R994" s="52"/>
      <c r="S994" s="22">
        <v>7.0833333333333331E-2</v>
      </c>
    </row>
    <row r="995" spans="1:19" x14ac:dyDescent="0.2">
      <c r="A995" s="2">
        <v>794421</v>
      </c>
      <c r="B995" s="2">
        <v>794421</v>
      </c>
      <c r="C995" s="2">
        <v>3223195</v>
      </c>
      <c r="D995" t="s">
        <v>883</v>
      </c>
      <c r="G995" s="15">
        <v>9.9749999999999995E-3</v>
      </c>
      <c r="J995" s="15"/>
      <c r="N995" s="14"/>
      <c r="O995" s="14">
        <v>9.9749999999999995E-3</v>
      </c>
      <c r="P995" s="14"/>
      <c r="Q995" s="14"/>
      <c r="R995" s="52"/>
      <c r="S995" s="22">
        <v>2.4305555555555556E-2</v>
      </c>
    </row>
    <row r="996" spans="1:19" x14ac:dyDescent="0.2">
      <c r="A996" s="2">
        <v>812422</v>
      </c>
      <c r="B996" s="2">
        <v>812422</v>
      </c>
      <c r="C996" s="2">
        <v>2346784</v>
      </c>
      <c r="D996" t="s">
        <v>951</v>
      </c>
      <c r="G996" s="15">
        <v>1.2711999999999999E-2</v>
      </c>
      <c r="J996" s="15"/>
      <c r="N996" s="14"/>
      <c r="O996" s="14">
        <v>1.2711999999999999E-2</v>
      </c>
      <c r="P996" s="14"/>
      <c r="Q996" s="14"/>
      <c r="R996" s="52"/>
      <c r="S996" s="22">
        <v>2.013888888888889E-2</v>
      </c>
    </row>
    <row r="997" spans="1:19" x14ac:dyDescent="0.2">
      <c r="A997" s="2">
        <v>816618</v>
      </c>
      <c r="B997" s="2">
        <v>816618</v>
      </c>
      <c r="C997" s="2">
        <v>613488</v>
      </c>
      <c r="D997" t="s">
        <v>890</v>
      </c>
      <c r="G997" s="15">
        <v>8.3259E-2</v>
      </c>
      <c r="J997" s="15"/>
      <c r="N997" s="14"/>
      <c r="O997" s="14">
        <v>8.3259E-2</v>
      </c>
      <c r="P997" s="14"/>
      <c r="Q997" s="14"/>
      <c r="R997" s="52"/>
      <c r="S997" s="22">
        <v>1.4583333333333332E-2</v>
      </c>
    </row>
    <row r="998" spans="1:19" x14ac:dyDescent="0.2">
      <c r="A998" s="2">
        <v>819733</v>
      </c>
      <c r="B998" s="2">
        <v>819733</v>
      </c>
      <c r="C998" s="2">
        <v>3107652</v>
      </c>
      <c r="D998" t="s">
        <v>917</v>
      </c>
      <c r="G998" s="15">
        <v>9.1590000000000005E-3</v>
      </c>
      <c r="J998" s="15"/>
      <c r="N998" s="14"/>
      <c r="O998" s="14">
        <v>9.1590000000000005E-3</v>
      </c>
      <c r="P998" s="14"/>
      <c r="Q998" s="14"/>
      <c r="R998" s="52"/>
      <c r="S998" s="22">
        <v>8.819444444444445E-2</v>
      </c>
    </row>
    <row r="999" spans="1:19" x14ac:dyDescent="0.2">
      <c r="A999" s="2">
        <v>856281</v>
      </c>
      <c r="B999" s="2">
        <v>856281</v>
      </c>
      <c r="C999" s="2">
        <v>1743104</v>
      </c>
      <c r="D999" t="s">
        <v>803</v>
      </c>
      <c r="G999" s="15">
        <v>1.9585000000000002E-2</v>
      </c>
      <c r="J999" s="15"/>
      <c r="N999" s="14"/>
      <c r="O999" s="14">
        <v>1.9585000000000002E-2</v>
      </c>
      <c r="P999" s="14"/>
      <c r="Q999" s="14"/>
      <c r="R999" s="52"/>
      <c r="S999" s="22">
        <v>9.375E-2</v>
      </c>
    </row>
    <row r="1000" spans="1:19" x14ac:dyDescent="0.2">
      <c r="A1000" s="2">
        <v>869773</v>
      </c>
      <c r="B1000" s="2">
        <v>869773</v>
      </c>
      <c r="C1000" s="2">
        <v>1788424</v>
      </c>
      <c r="D1000" t="s">
        <v>952</v>
      </c>
      <c r="G1000" s="15">
        <v>2.2461999999999999E-2</v>
      </c>
      <c r="J1000" s="15"/>
      <c r="N1000" s="14"/>
      <c r="O1000" s="14">
        <v>2.2461999999999999E-2</v>
      </c>
      <c r="P1000" s="14"/>
      <c r="Q1000" s="14"/>
      <c r="R1000" s="52"/>
      <c r="S1000" s="22">
        <v>3.0555555555555555E-2</v>
      </c>
    </row>
    <row r="1001" spans="1:19" x14ac:dyDescent="0.2">
      <c r="A1001" s="2">
        <v>893077</v>
      </c>
      <c r="B1001" s="2">
        <v>893077</v>
      </c>
      <c r="C1001" s="2">
        <v>2480040</v>
      </c>
      <c r="D1001" t="s">
        <v>913</v>
      </c>
      <c r="G1001" s="15">
        <v>1.3032E-2</v>
      </c>
      <c r="J1001" s="15"/>
      <c r="N1001" s="14"/>
      <c r="O1001" s="14">
        <v>1.3032E-2</v>
      </c>
      <c r="P1001" s="14"/>
      <c r="Q1001" s="14"/>
      <c r="R1001" s="52"/>
      <c r="S1001" s="22">
        <v>6.458333333333334E-2</v>
      </c>
    </row>
    <row r="1002" spans="1:19" x14ac:dyDescent="0.2">
      <c r="A1002" s="2">
        <v>903551</v>
      </c>
      <c r="B1002" s="2">
        <v>903551</v>
      </c>
      <c r="C1002" s="2">
        <v>3048194</v>
      </c>
      <c r="D1002" t="s">
        <v>946</v>
      </c>
      <c r="G1002" s="15">
        <v>8.2150000000000001E-3</v>
      </c>
      <c r="J1002" s="15"/>
      <c r="N1002" s="14"/>
      <c r="O1002" s="14">
        <v>8.2150000000000001E-3</v>
      </c>
      <c r="P1002" s="14"/>
      <c r="Q1002" s="14"/>
      <c r="R1002" s="52"/>
      <c r="S1002" s="22">
        <v>9.2361111111111116E-2</v>
      </c>
    </row>
    <row r="1003" spans="1:19" x14ac:dyDescent="0.2">
      <c r="A1003" s="2">
        <v>948640</v>
      </c>
      <c r="B1003" s="2">
        <v>948640</v>
      </c>
      <c r="C1003" s="2">
        <v>2661615</v>
      </c>
      <c r="D1003" t="s">
        <v>959</v>
      </c>
      <c r="G1003" s="15">
        <v>1.4638E-2</v>
      </c>
      <c r="J1003" s="15"/>
      <c r="N1003" s="14"/>
      <c r="O1003" s="14">
        <v>1.4638E-2</v>
      </c>
      <c r="P1003" s="14"/>
      <c r="Q1003" s="14"/>
      <c r="R1003" s="52"/>
      <c r="S1003" s="22">
        <v>5.1388888888888894E-2</v>
      </c>
    </row>
    <row r="1004" spans="1:19" x14ac:dyDescent="0.2">
      <c r="A1004" s="2">
        <v>986988</v>
      </c>
      <c r="B1004" s="2">
        <v>986988</v>
      </c>
      <c r="C1004" s="2">
        <v>568921</v>
      </c>
      <c r="D1004" t="s">
        <v>1203</v>
      </c>
      <c r="G1004" s="15">
        <v>5.6669999999999998E-2</v>
      </c>
      <c r="J1004" s="15"/>
      <c r="N1004" s="14"/>
      <c r="O1004" s="14">
        <v>5.6669999999999998E-2</v>
      </c>
      <c r="P1004" s="14"/>
      <c r="Q1004" s="14"/>
      <c r="R1004" s="52"/>
      <c r="S1004" s="22">
        <v>0.22013888888888888</v>
      </c>
    </row>
    <row r="1005" spans="1:19" x14ac:dyDescent="0.2">
      <c r="A1005" s="2">
        <v>1032019</v>
      </c>
      <c r="B1005" s="2">
        <v>1032019</v>
      </c>
      <c r="C1005" s="2">
        <v>1120508</v>
      </c>
      <c r="D1005" t="s">
        <v>903</v>
      </c>
      <c r="G1005" s="15">
        <v>3.5885E-2</v>
      </c>
      <c r="J1005" s="15"/>
      <c r="N1005" s="14"/>
      <c r="O1005" s="14">
        <v>3.5885E-2</v>
      </c>
      <c r="P1005" s="14"/>
      <c r="Q1005" s="14"/>
      <c r="R1005" s="52"/>
      <c r="S1005" s="22">
        <v>0.12430555555555556</v>
      </c>
    </row>
    <row r="1006" spans="1:19" x14ac:dyDescent="0.2">
      <c r="A1006" s="2">
        <v>1041795</v>
      </c>
      <c r="B1006" s="2">
        <v>1041795</v>
      </c>
      <c r="C1006" s="2">
        <v>2946132</v>
      </c>
      <c r="D1006" t="s">
        <v>881</v>
      </c>
      <c r="G1006" s="15">
        <v>9.9089999999999994E-3</v>
      </c>
      <c r="J1006" s="15"/>
      <c r="N1006" s="14"/>
      <c r="O1006" s="14">
        <v>9.9089999999999994E-3</v>
      </c>
      <c r="P1006" s="14"/>
      <c r="Q1006" s="14"/>
      <c r="R1006" s="52"/>
      <c r="S1006" s="22">
        <v>0.11319444444444444</v>
      </c>
    </row>
    <row r="1007" spans="1:19" x14ac:dyDescent="0.2">
      <c r="A1007" s="2">
        <v>1084352</v>
      </c>
      <c r="B1007" s="2">
        <v>1084352</v>
      </c>
      <c r="C1007" s="2">
        <v>3228032</v>
      </c>
      <c r="D1007" t="s">
        <v>889</v>
      </c>
      <c r="G1007" s="15">
        <v>8.0569999999999999E-3</v>
      </c>
      <c r="J1007" s="15"/>
      <c r="N1007" s="14"/>
      <c r="O1007" s="14">
        <v>8.0569999999999999E-3</v>
      </c>
      <c r="P1007" s="14"/>
      <c r="Q1007" s="14"/>
      <c r="R1007" s="52"/>
      <c r="S1007" s="22">
        <v>3.4722222222222224E-2</v>
      </c>
    </row>
    <row r="1008" spans="1:19" x14ac:dyDescent="0.2">
      <c r="A1008" s="2">
        <v>1276052</v>
      </c>
      <c r="B1008" s="2">
        <v>1276052</v>
      </c>
      <c r="C1008" s="2">
        <v>2753378</v>
      </c>
      <c r="D1008" t="s">
        <v>936</v>
      </c>
      <c r="G1008" s="15">
        <v>1.0409E-2</v>
      </c>
      <c r="J1008" s="15"/>
      <c r="N1008" s="14"/>
      <c r="O1008" s="14">
        <v>1.0409E-2</v>
      </c>
      <c r="P1008" s="14"/>
      <c r="Q1008" s="14"/>
      <c r="R1008" s="52"/>
      <c r="S1008" s="22">
        <v>7.2916666666666671E-2</v>
      </c>
    </row>
    <row r="1009" spans="1:19" x14ac:dyDescent="0.2">
      <c r="A1009" s="2">
        <v>1388000</v>
      </c>
      <c r="B1009" s="2">
        <v>1388000</v>
      </c>
      <c r="C1009" s="2">
        <v>3920854</v>
      </c>
      <c r="D1009" t="s">
        <v>930</v>
      </c>
      <c r="G1009" s="15">
        <v>0</v>
      </c>
      <c r="J1009" s="15"/>
      <c r="N1009" s="14"/>
      <c r="O1009" s="14">
        <v>0</v>
      </c>
      <c r="P1009" s="14"/>
      <c r="Q1009" s="14"/>
      <c r="R1009" s="52"/>
      <c r="S1009" s="22">
        <v>0.17430555555555557</v>
      </c>
    </row>
    <row r="1010" spans="1:19" x14ac:dyDescent="0.2">
      <c r="A1010" s="2">
        <v>1453324</v>
      </c>
      <c r="B1010" s="2">
        <v>1453324</v>
      </c>
      <c r="C1010" s="2">
        <v>657994</v>
      </c>
      <c r="D1010" t="s">
        <v>949</v>
      </c>
      <c r="G1010" s="15">
        <v>4.9446999999999998E-2</v>
      </c>
      <c r="J1010" s="15"/>
      <c r="N1010" s="14"/>
      <c r="O1010" s="14">
        <v>4.9446999999999998E-2</v>
      </c>
      <c r="P1010" s="14"/>
      <c r="Q1010" s="14"/>
      <c r="R1010" s="52"/>
      <c r="S1010" s="22">
        <v>0.21458333333333335</v>
      </c>
    </row>
    <row r="1011" spans="1:19" x14ac:dyDescent="0.2">
      <c r="A1011" s="2">
        <v>1469139</v>
      </c>
      <c r="B1011" s="2">
        <v>1051876</v>
      </c>
      <c r="C1011" s="2">
        <v>1051876</v>
      </c>
      <c r="D1011" t="s">
        <v>811</v>
      </c>
      <c r="G1011" s="15">
        <v>3.5132999999999998E-2</v>
      </c>
      <c r="J1011" s="15"/>
      <c r="N1011" s="14"/>
      <c r="O1011" s="14">
        <v>3.5132999999999998E-2</v>
      </c>
      <c r="P1011" s="14"/>
      <c r="Q1011" s="14"/>
      <c r="R1011" s="52"/>
      <c r="S1011" s="22">
        <v>6.1805555555555558E-2</v>
      </c>
    </row>
    <row r="1012" spans="1:19" x14ac:dyDescent="0.2">
      <c r="A1012" s="2">
        <v>1470665</v>
      </c>
      <c r="B1012" s="2">
        <v>1470665</v>
      </c>
      <c r="C1012" s="2">
        <v>722383</v>
      </c>
      <c r="D1012" t="s">
        <v>858</v>
      </c>
      <c r="G1012" s="15">
        <v>5.6721000000000001E-2</v>
      </c>
      <c r="J1012" s="15"/>
      <c r="N1012" s="14"/>
      <c r="O1012" s="14">
        <v>5.6721000000000001E-2</v>
      </c>
      <c r="P1012" s="14"/>
      <c r="Q1012" s="14"/>
      <c r="R1012" s="52"/>
      <c r="S1012" s="22">
        <v>0.14722222222222223</v>
      </c>
    </row>
    <row r="1013" spans="1:19" x14ac:dyDescent="0.2">
      <c r="A1013" s="2">
        <v>1483016</v>
      </c>
      <c r="B1013" s="2">
        <v>1483016</v>
      </c>
      <c r="C1013" s="2">
        <v>671115</v>
      </c>
      <c r="D1013" t="s">
        <v>807</v>
      </c>
      <c r="G1013" s="15">
        <v>4.1541000000000002E-2</v>
      </c>
      <c r="J1013" s="15"/>
      <c r="N1013" s="14"/>
      <c r="O1013" s="14">
        <v>4.1541000000000002E-2</v>
      </c>
      <c r="P1013" s="14"/>
      <c r="Q1013" s="14"/>
      <c r="R1013" s="52"/>
      <c r="S1013" s="22">
        <v>0.21111111111111111</v>
      </c>
    </row>
    <row r="1014" spans="1:19" x14ac:dyDescent="0.2">
      <c r="A1014" s="2">
        <v>1485916</v>
      </c>
      <c r="B1014" s="2">
        <v>1485916</v>
      </c>
      <c r="C1014" s="2">
        <v>365458</v>
      </c>
      <c r="D1014" t="s">
        <v>1143</v>
      </c>
      <c r="G1014" s="15">
        <v>0.121352</v>
      </c>
      <c r="J1014" s="15"/>
      <c r="N1014" s="14"/>
      <c r="O1014" s="14">
        <v>0.121352</v>
      </c>
      <c r="P1014" s="14"/>
      <c r="Q1014" s="14"/>
      <c r="R1014" s="52"/>
      <c r="S1014" s="22">
        <v>6.458333333333334E-2</v>
      </c>
    </row>
    <row r="1015" spans="1:19" x14ac:dyDescent="0.2">
      <c r="A1015" s="2">
        <v>1487860</v>
      </c>
      <c r="B1015" s="2">
        <v>1487860</v>
      </c>
      <c r="C1015" s="2">
        <v>648416</v>
      </c>
      <c r="D1015" t="s">
        <v>916</v>
      </c>
      <c r="G1015" s="15">
        <v>5.2790999999999998E-2</v>
      </c>
      <c r="J1015" s="15"/>
      <c r="N1015" s="14"/>
      <c r="O1015" s="14">
        <v>5.2790999999999998E-2</v>
      </c>
      <c r="P1015" s="14"/>
      <c r="Q1015" s="14"/>
      <c r="R1015" s="52"/>
      <c r="S1015" s="22">
        <v>0.14861111111111111</v>
      </c>
    </row>
    <row r="1016" spans="1:19" x14ac:dyDescent="0.2">
      <c r="A1016" s="2">
        <v>1496049</v>
      </c>
      <c r="B1016" s="2">
        <v>1496049</v>
      </c>
      <c r="C1016" s="2">
        <v>2498079</v>
      </c>
      <c r="D1016" t="s">
        <v>956</v>
      </c>
      <c r="G1016" s="15">
        <v>1.2933E-2</v>
      </c>
      <c r="J1016" s="15"/>
      <c r="N1016" s="14"/>
      <c r="O1016" s="14">
        <v>1.2933E-2</v>
      </c>
      <c r="P1016" s="14"/>
      <c r="Q1016" s="14"/>
      <c r="R1016" s="52"/>
      <c r="S1016" s="22">
        <v>5.1388888888888894E-2</v>
      </c>
    </row>
    <row r="1017" spans="1:19" x14ac:dyDescent="0.2">
      <c r="A1017" s="2">
        <v>1501755</v>
      </c>
      <c r="B1017" s="2">
        <v>1501755</v>
      </c>
      <c r="C1017" s="2">
        <v>781173</v>
      </c>
      <c r="D1017" t="s">
        <v>958</v>
      </c>
      <c r="G1017" s="15">
        <v>3.125E-2</v>
      </c>
      <c r="J1017" s="15"/>
      <c r="N1017" s="14"/>
      <c r="O1017" s="14">
        <v>3.125E-2</v>
      </c>
      <c r="P1017" s="14"/>
      <c r="Q1017" s="14"/>
      <c r="R1017" s="52"/>
      <c r="S1017" s="22">
        <v>0.34583333333333338</v>
      </c>
    </row>
    <row r="1018" spans="1:19" x14ac:dyDescent="0.2">
      <c r="A1018" s="2">
        <v>1538501</v>
      </c>
      <c r="B1018" s="2">
        <v>1538501</v>
      </c>
      <c r="C1018" s="2">
        <v>4498057</v>
      </c>
      <c r="D1018" t="s">
        <v>1221</v>
      </c>
      <c r="G1018" s="15">
        <v>0</v>
      </c>
      <c r="J1018" s="15"/>
      <c r="N1018" s="14"/>
      <c r="O1018" s="14">
        <v>0</v>
      </c>
      <c r="P1018" s="14"/>
      <c r="Q1018" s="14"/>
      <c r="R1018" s="52"/>
      <c r="S1018" s="22">
        <v>2.6388888888888889E-2</v>
      </c>
    </row>
    <row r="1019" spans="1:19" x14ac:dyDescent="0.2">
      <c r="A1019" s="2">
        <v>1547901</v>
      </c>
      <c r="B1019" s="2">
        <v>1547901</v>
      </c>
      <c r="C1019" s="2">
        <v>626499</v>
      </c>
      <c r="D1019" t="s">
        <v>804</v>
      </c>
      <c r="G1019" s="15">
        <v>5.3029E-2</v>
      </c>
      <c r="J1019" s="15"/>
      <c r="N1019" s="14"/>
      <c r="O1019" s="14">
        <v>5.3029E-2</v>
      </c>
      <c r="P1019" s="14"/>
      <c r="Q1019" s="14"/>
      <c r="R1019" s="52"/>
      <c r="S1019" s="22">
        <v>5.7638888888888885E-2</v>
      </c>
    </row>
    <row r="1020" spans="1:19" x14ac:dyDescent="0.2">
      <c r="A1020" s="2">
        <v>1566811</v>
      </c>
      <c r="B1020" s="2">
        <v>1566811</v>
      </c>
      <c r="C1020" s="2">
        <v>3598018</v>
      </c>
      <c r="D1020" t="s">
        <v>880</v>
      </c>
      <c r="G1020" s="15">
        <v>7.8969999999999995E-3</v>
      </c>
      <c r="J1020" s="15"/>
      <c r="N1020" s="14"/>
      <c r="O1020" s="14">
        <v>7.8969999999999995E-3</v>
      </c>
      <c r="P1020" s="14"/>
      <c r="Q1020" s="14"/>
      <c r="R1020" s="52"/>
      <c r="S1020" s="22">
        <v>2.7777777777777776E-2</v>
      </c>
    </row>
    <row r="1021" spans="1:19" x14ac:dyDescent="0.2">
      <c r="A1021" s="2">
        <v>1574712</v>
      </c>
      <c r="B1021" s="2">
        <v>1574712</v>
      </c>
      <c r="C1021" s="2">
        <v>5454882</v>
      </c>
      <c r="D1021" t="s">
        <v>885</v>
      </c>
      <c r="G1021" s="15">
        <v>0</v>
      </c>
      <c r="J1021" s="15"/>
      <c r="N1021" s="14"/>
      <c r="O1021" s="14">
        <v>0</v>
      </c>
      <c r="P1021" s="14"/>
      <c r="Q1021" s="14"/>
      <c r="R1021" s="52"/>
      <c r="S1021" s="22">
        <v>8.3333333333333332E-3</v>
      </c>
    </row>
    <row r="1022" spans="1:19" x14ac:dyDescent="0.2">
      <c r="A1022" s="2">
        <v>1626799</v>
      </c>
      <c r="B1022" s="2">
        <v>1626799</v>
      </c>
      <c r="C1022" s="2">
        <v>3559230</v>
      </c>
      <c r="D1022" t="s">
        <v>1213</v>
      </c>
      <c r="G1022" s="15">
        <v>6.7039999999999999E-3</v>
      </c>
      <c r="J1022" s="15"/>
      <c r="N1022" s="14"/>
      <c r="O1022" s="14">
        <v>6.7039999999999999E-3</v>
      </c>
      <c r="P1022" s="14"/>
      <c r="Q1022" s="14"/>
      <c r="R1022" s="52"/>
      <c r="S1022" s="22">
        <v>0.13749999999999998</v>
      </c>
    </row>
    <row r="1023" spans="1:19" x14ac:dyDescent="0.2">
      <c r="A1023" s="2">
        <v>1709514</v>
      </c>
      <c r="B1023" s="2">
        <v>1709514</v>
      </c>
      <c r="C1023" s="2">
        <v>1453044</v>
      </c>
      <c r="D1023" t="s">
        <v>847</v>
      </c>
      <c r="G1023" s="15">
        <v>5.3029E-2</v>
      </c>
      <c r="J1023" s="15"/>
      <c r="N1023" s="14"/>
      <c r="O1023" s="14">
        <v>1.5021E-2</v>
      </c>
      <c r="P1023" s="14"/>
      <c r="Q1023" s="14"/>
      <c r="R1023" s="52"/>
      <c r="S1023" s="22">
        <v>0.25694444444444448</v>
      </c>
    </row>
    <row r="1024" spans="1:19" x14ac:dyDescent="0.2">
      <c r="A1024" s="2">
        <v>1723265</v>
      </c>
      <c r="B1024" s="2">
        <v>1723265</v>
      </c>
      <c r="C1024" s="2">
        <v>585164</v>
      </c>
      <c r="D1024" t="s">
        <v>846</v>
      </c>
      <c r="G1024" s="15">
        <v>3.4018E-2</v>
      </c>
      <c r="J1024" s="15"/>
      <c r="N1024" s="14"/>
      <c r="O1024" s="14">
        <v>3.4018E-2</v>
      </c>
      <c r="P1024" s="14"/>
      <c r="Q1024" s="14"/>
      <c r="R1024" s="52"/>
      <c r="S1024" s="22">
        <v>0.75416666666666676</v>
      </c>
    </row>
    <row r="1025" spans="1:19" x14ac:dyDescent="0.2">
      <c r="A1025" s="2">
        <v>1810259</v>
      </c>
      <c r="B1025" s="2">
        <v>1810259</v>
      </c>
      <c r="C1025" s="2">
        <v>5679012</v>
      </c>
      <c r="D1025" t="s">
        <v>899</v>
      </c>
      <c r="G1025" s="15">
        <v>0</v>
      </c>
      <c r="J1025" s="15"/>
      <c r="N1025" s="14"/>
      <c r="O1025" s="14">
        <v>0</v>
      </c>
      <c r="P1025" s="14"/>
      <c r="Q1025" s="14"/>
      <c r="R1025" s="52"/>
      <c r="S1025" s="22">
        <v>0.10277777777777779</v>
      </c>
    </row>
    <row r="1026" spans="1:19" x14ac:dyDescent="0.2">
      <c r="A1026" s="2">
        <v>1878480</v>
      </c>
      <c r="B1026" s="2">
        <v>1878480</v>
      </c>
      <c r="C1026" s="2">
        <v>2801868</v>
      </c>
      <c r="D1026" t="s">
        <v>1219</v>
      </c>
      <c r="G1026" s="15">
        <v>1.0973999999999999E-2</v>
      </c>
      <c r="J1026" s="15"/>
      <c r="N1026" s="14"/>
      <c r="O1026" s="14">
        <v>1.0973999999999999E-2</v>
      </c>
      <c r="P1026" s="14"/>
      <c r="Q1026" s="14"/>
      <c r="R1026" s="52"/>
      <c r="S1026" s="22">
        <v>3.6111111111111115E-2</v>
      </c>
    </row>
    <row r="1027" spans="1:19" x14ac:dyDescent="0.2">
      <c r="A1027" s="2">
        <v>1892396</v>
      </c>
      <c r="B1027" s="2">
        <v>1892396</v>
      </c>
      <c r="C1027" s="2">
        <v>2413965</v>
      </c>
      <c r="D1027" t="s">
        <v>834</v>
      </c>
      <c r="G1027" s="15">
        <v>1.1807E-2</v>
      </c>
      <c r="J1027" s="15"/>
      <c r="N1027" s="14"/>
      <c r="O1027" s="14">
        <v>1.1807E-2</v>
      </c>
      <c r="P1027" s="14"/>
      <c r="Q1027" s="14"/>
      <c r="R1027" s="52"/>
      <c r="S1027" s="22">
        <v>0.10486111111111111</v>
      </c>
    </row>
    <row r="1028" spans="1:19" x14ac:dyDescent="0.2">
      <c r="A1028" s="2">
        <v>1983716</v>
      </c>
      <c r="B1028" s="2">
        <v>1983716</v>
      </c>
      <c r="C1028" s="2">
        <v>1468883</v>
      </c>
      <c r="D1028" t="s">
        <v>849</v>
      </c>
      <c r="G1028" s="15">
        <v>3.1140999999999999E-2</v>
      </c>
      <c r="J1028" s="15"/>
      <c r="N1028" s="14"/>
      <c r="O1028" s="14">
        <v>3.1140999999999999E-2</v>
      </c>
      <c r="P1028" s="14"/>
      <c r="Q1028" s="14"/>
      <c r="R1028" s="52"/>
      <c r="S1028" s="22">
        <v>7.6388888888888886E-3</v>
      </c>
    </row>
    <row r="1029" spans="1:19" x14ac:dyDescent="0.2">
      <c r="A1029" s="2">
        <v>1984390</v>
      </c>
      <c r="B1029" s="2">
        <v>1984390</v>
      </c>
      <c r="C1029" s="2">
        <v>1746633</v>
      </c>
      <c r="D1029" t="s">
        <v>947</v>
      </c>
      <c r="G1029" s="15">
        <v>2.2341E-2</v>
      </c>
      <c r="J1029" s="15"/>
      <c r="N1029" s="14"/>
      <c r="O1029" s="14">
        <v>2.2341E-2</v>
      </c>
      <c r="P1029" s="14"/>
      <c r="Q1029" s="14"/>
      <c r="R1029" s="52"/>
      <c r="S1029" s="22">
        <v>3.8194444444444441E-2</v>
      </c>
    </row>
    <row r="1030" spans="1:19" x14ac:dyDescent="0.2">
      <c r="A1030" s="2">
        <v>2008570</v>
      </c>
      <c r="B1030" s="2">
        <v>2008570</v>
      </c>
      <c r="C1030" s="2">
        <v>4612936</v>
      </c>
      <c r="D1030" t="s">
        <v>934</v>
      </c>
      <c r="G1030" s="15">
        <v>5.2030000000000002E-3</v>
      </c>
      <c r="J1030" s="15"/>
      <c r="N1030" s="14"/>
      <c r="O1030" s="14">
        <v>5.2030000000000002E-3</v>
      </c>
      <c r="P1030" s="14"/>
      <c r="Q1030" s="14"/>
      <c r="R1030" s="52"/>
      <c r="S1030" s="22">
        <v>1.7361111111111112E-2</v>
      </c>
    </row>
    <row r="1031" spans="1:19" x14ac:dyDescent="0.2">
      <c r="A1031" s="2">
        <v>2129417</v>
      </c>
      <c r="B1031" s="2">
        <v>2129417</v>
      </c>
      <c r="C1031" s="2">
        <v>6590937</v>
      </c>
      <c r="D1031" t="s">
        <v>877</v>
      </c>
      <c r="G1031" s="15">
        <v>0</v>
      </c>
      <c r="J1031" s="15"/>
      <c r="N1031" s="14"/>
      <c r="O1031" s="14">
        <v>0</v>
      </c>
      <c r="P1031" s="14"/>
      <c r="Q1031" s="14"/>
      <c r="R1031" s="52"/>
      <c r="S1031" s="22">
        <v>6.5277777777777782E-2</v>
      </c>
    </row>
    <row r="1032" spans="1:19" x14ac:dyDescent="0.2">
      <c r="A1032" s="2">
        <v>2225877</v>
      </c>
      <c r="B1032" s="2">
        <v>2225877</v>
      </c>
      <c r="C1032" s="2">
        <v>6241321</v>
      </c>
      <c r="D1032" t="s">
        <v>920</v>
      </c>
      <c r="G1032" s="15">
        <v>0</v>
      </c>
      <c r="J1032" s="15"/>
      <c r="N1032" s="14"/>
      <c r="O1032" s="14">
        <v>0</v>
      </c>
      <c r="P1032" s="14"/>
      <c r="Q1032" s="14"/>
      <c r="R1032" s="52"/>
      <c r="S1032" s="22">
        <v>0.1451388888888889</v>
      </c>
    </row>
    <row r="1033" spans="1:19" x14ac:dyDescent="0.2">
      <c r="A1033" s="2">
        <v>2266164</v>
      </c>
      <c r="B1033" s="2">
        <v>2266164</v>
      </c>
      <c r="C1033" s="2">
        <v>1422960</v>
      </c>
      <c r="D1033" t="s">
        <v>860</v>
      </c>
      <c r="G1033" s="15">
        <v>3.2729000000000001E-2</v>
      </c>
      <c r="J1033" s="15"/>
      <c r="N1033" s="14"/>
      <c r="O1033" s="14">
        <v>3.2729000000000001E-2</v>
      </c>
      <c r="P1033" s="14"/>
      <c r="Q1033" s="14"/>
      <c r="R1033" s="52"/>
      <c r="S1033" s="22">
        <v>2.5694444444444447E-2</v>
      </c>
    </row>
    <row r="1034" spans="1:19" x14ac:dyDescent="0.2">
      <c r="A1034" s="2">
        <v>2369899</v>
      </c>
      <c r="B1034" s="2">
        <v>2369899</v>
      </c>
      <c r="C1034" s="2">
        <v>7006353</v>
      </c>
      <c r="D1034" t="s">
        <v>929</v>
      </c>
      <c r="G1034" s="15">
        <v>0</v>
      </c>
      <c r="J1034" s="15"/>
      <c r="N1034" s="14"/>
      <c r="O1034" s="14">
        <v>0</v>
      </c>
      <c r="P1034" s="14"/>
      <c r="Q1034" s="14"/>
      <c r="R1034" s="52"/>
      <c r="S1034" s="22">
        <v>7.4999999999999997E-2</v>
      </c>
    </row>
    <row r="1035" spans="1:19" x14ac:dyDescent="0.2">
      <c r="A1035" s="2">
        <v>2422516</v>
      </c>
      <c r="B1035" s="2">
        <v>2422516</v>
      </c>
      <c r="C1035" s="2">
        <v>6175427</v>
      </c>
      <c r="D1035" t="s">
        <v>876</v>
      </c>
      <c r="G1035" s="15">
        <v>0</v>
      </c>
      <c r="J1035" s="15"/>
      <c r="N1035" s="14"/>
      <c r="O1035" s="14">
        <v>0</v>
      </c>
      <c r="P1035" s="14"/>
      <c r="Q1035" s="14"/>
      <c r="R1035" s="52"/>
      <c r="S1035" s="22">
        <v>1.3194444444444444E-2</v>
      </c>
    </row>
    <row r="1036" spans="1:19" x14ac:dyDescent="0.2">
      <c r="A1036" s="2">
        <v>2556474</v>
      </c>
      <c r="B1036" s="2">
        <v>2556474</v>
      </c>
      <c r="C1036" s="2">
        <v>5165388</v>
      </c>
      <c r="D1036" t="s">
        <v>848</v>
      </c>
      <c r="G1036" s="15">
        <v>0</v>
      </c>
      <c r="J1036" s="15"/>
      <c r="N1036" s="14"/>
      <c r="O1036" s="14">
        <v>0</v>
      </c>
      <c r="P1036" s="14"/>
      <c r="Q1036" s="14"/>
      <c r="R1036" s="52"/>
      <c r="S1036" s="22">
        <v>2.9861111111111113E-2</v>
      </c>
    </row>
    <row r="1037" spans="1:19" x14ac:dyDescent="0.2">
      <c r="A1037" s="2">
        <v>2777353</v>
      </c>
      <c r="B1037" s="2">
        <v>2777353</v>
      </c>
      <c r="C1037" s="2">
        <v>2267580</v>
      </c>
      <c r="D1037" t="s">
        <v>835</v>
      </c>
      <c r="G1037" s="15">
        <v>7.4970000000000002E-3</v>
      </c>
      <c r="J1037" s="15"/>
      <c r="N1037" s="14"/>
      <c r="O1037" s="14">
        <v>7.4969999999999995E-2</v>
      </c>
      <c r="P1037" s="14"/>
      <c r="Q1037" s="14"/>
      <c r="R1037" s="52"/>
      <c r="S1037" s="22">
        <v>0.2388888888888889</v>
      </c>
    </row>
    <row r="1038" spans="1:19" x14ac:dyDescent="0.2">
      <c r="A1038" s="2">
        <v>2898515</v>
      </c>
      <c r="B1038" s="2">
        <v>2898515</v>
      </c>
      <c r="C1038" s="2">
        <v>7553946</v>
      </c>
      <c r="D1038" t="s">
        <v>945</v>
      </c>
      <c r="G1038" s="15">
        <v>0</v>
      </c>
      <c r="J1038" s="15"/>
      <c r="N1038" s="14"/>
      <c r="O1038" s="14">
        <v>0</v>
      </c>
      <c r="P1038" s="14"/>
      <c r="Q1038" s="14"/>
      <c r="R1038" s="52"/>
      <c r="S1038" s="22">
        <v>0.26527777777777778</v>
      </c>
    </row>
    <row r="1039" spans="1:19" x14ac:dyDescent="0.2">
      <c r="A1039" s="2">
        <v>3093218</v>
      </c>
      <c r="B1039" s="2">
        <v>3093218</v>
      </c>
      <c r="C1039" s="2">
        <v>6302594</v>
      </c>
      <c r="D1039" t="s">
        <v>904</v>
      </c>
      <c r="G1039" s="15">
        <v>0</v>
      </c>
      <c r="J1039" s="15"/>
      <c r="N1039" s="14"/>
      <c r="O1039" s="14">
        <v>0</v>
      </c>
      <c r="P1039" s="14"/>
      <c r="Q1039" s="14"/>
      <c r="R1039" s="52"/>
      <c r="S1039" s="22">
        <v>4.5833333333333337E-2</v>
      </c>
    </row>
    <row r="1040" spans="1:19" x14ac:dyDescent="0.2">
      <c r="A1040" s="2">
        <v>3293815</v>
      </c>
      <c r="B1040" s="2">
        <v>3293815</v>
      </c>
      <c r="C1040" s="2">
        <v>7055081</v>
      </c>
      <c r="D1040" t="s">
        <v>836</v>
      </c>
      <c r="G1040" s="15">
        <v>0</v>
      </c>
      <c r="J1040" s="15"/>
      <c r="N1040" s="14"/>
      <c r="O1040" s="14">
        <v>0</v>
      </c>
      <c r="P1040" s="14"/>
      <c r="Q1040" s="14"/>
      <c r="R1040" s="52"/>
      <c r="S1040" s="22">
        <v>0.11805555555555557</v>
      </c>
    </row>
    <row r="1041" spans="1:19" x14ac:dyDescent="0.2">
      <c r="A1041" s="2">
        <v>3483419</v>
      </c>
      <c r="B1041" s="2">
        <v>3483419</v>
      </c>
      <c r="C1041" s="2">
        <v>6489411</v>
      </c>
      <c r="D1041" t="s">
        <v>911</v>
      </c>
      <c r="G1041" s="15">
        <v>0</v>
      </c>
      <c r="J1041" s="15"/>
      <c r="N1041" s="14"/>
      <c r="O1041" s="14">
        <v>0</v>
      </c>
      <c r="P1041" s="14"/>
      <c r="Q1041" s="14"/>
      <c r="R1041" s="52"/>
      <c r="S1041" s="22">
        <v>0.16597222222222222</v>
      </c>
    </row>
    <row r="1042" spans="1:19" x14ac:dyDescent="0.2">
      <c r="A1042" s="2">
        <v>3620708</v>
      </c>
      <c r="B1042" s="2">
        <v>3620708</v>
      </c>
      <c r="C1042" s="2">
        <v>2733023</v>
      </c>
      <c r="D1042" t="s">
        <v>961</v>
      </c>
      <c r="G1042" s="15">
        <v>7.8329999999999997E-3</v>
      </c>
      <c r="J1042" s="15"/>
      <c r="N1042" s="14"/>
      <c r="O1042" s="14">
        <v>7.8329999999999997E-3</v>
      </c>
      <c r="P1042" s="14"/>
      <c r="Q1042" s="14"/>
      <c r="R1042" s="52"/>
      <c r="S1042" s="22">
        <v>0.56111111111111112</v>
      </c>
    </row>
    <row r="1043" spans="1:19" x14ac:dyDescent="0.2">
      <c r="A1043" s="2">
        <v>3853078</v>
      </c>
      <c r="B1043" s="2">
        <v>3853078</v>
      </c>
      <c r="C1043" s="2">
        <v>6537201</v>
      </c>
      <c r="D1043" t="s">
        <v>957</v>
      </c>
      <c r="G1043" s="15">
        <v>0</v>
      </c>
      <c r="J1043" s="15"/>
      <c r="N1043" s="14"/>
      <c r="O1043" s="14">
        <v>0</v>
      </c>
      <c r="P1043" s="14"/>
      <c r="Q1043" s="14"/>
      <c r="R1043" s="52"/>
      <c r="S1043" s="22">
        <v>0.17569444444444446</v>
      </c>
    </row>
    <row r="1044" spans="1:19" x14ac:dyDescent="0.2">
      <c r="A1044" s="2">
        <v>4164800</v>
      </c>
      <c r="B1044" s="2">
        <v>4164800</v>
      </c>
      <c r="C1044" s="2">
        <v>2758035</v>
      </c>
      <c r="D1044" t="s">
        <v>1223</v>
      </c>
      <c r="G1044" s="15">
        <v>1.0630000000000001E-2</v>
      </c>
      <c r="J1044" s="15"/>
      <c r="N1044" s="14"/>
      <c r="O1044" s="14">
        <v>1.0630000000000001E-2</v>
      </c>
      <c r="P1044" s="14"/>
      <c r="Q1044" s="14"/>
      <c r="R1044" s="52"/>
      <c r="S1044" s="22">
        <v>0.15625</v>
      </c>
    </row>
    <row r="1045" spans="1:19" x14ac:dyDescent="0.2">
      <c r="A1045" s="2">
        <v>4352528</v>
      </c>
      <c r="B1045" s="2">
        <v>4352528</v>
      </c>
      <c r="C1045" s="2">
        <v>8136748</v>
      </c>
      <c r="D1045" t="s">
        <v>928</v>
      </c>
      <c r="G1045" s="15">
        <v>0</v>
      </c>
      <c r="J1045" s="15"/>
      <c r="N1045" s="14"/>
      <c r="O1045" s="14">
        <v>0</v>
      </c>
      <c r="P1045" s="14"/>
      <c r="Q1045" s="14"/>
      <c r="R1045" s="52"/>
      <c r="S1045" s="22">
        <v>3.3333333333333333E-2</v>
      </c>
    </row>
    <row r="1046" spans="1:19" x14ac:dyDescent="0.2">
      <c r="A1046" s="2">
        <v>4427327</v>
      </c>
      <c r="B1046" s="2">
        <v>4427327</v>
      </c>
      <c r="C1046" s="2">
        <v>11944288</v>
      </c>
      <c r="D1046" t="s">
        <v>894</v>
      </c>
      <c r="G1046" s="15">
        <v>0</v>
      </c>
      <c r="J1046" s="15"/>
      <c r="N1046" s="14"/>
      <c r="O1046" s="14">
        <v>0</v>
      </c>
      <c r="P1046" s="14"/>
      <c r="Q1046" s="14"/>
      <c r="R1046" s="52"/>
      <c r="S1046" s="22">
        <v>2.7777777777777779E-3</v>
      </c>
    </row>
    <row r="1047" spans="1:19" x14ac:dyDescent="0.2">
      <c r="A1047" s="2">
        <v>6235496</v>
      </c>
      <c r="B1047" s="2">
        <v>6235496</v>
      </c>
      <c r="C1047" s="2">
        <v>3336286</v>
      </c>
      <c r="D1047" t="s">
        <v>902</v>
      </c>
      <c r="G1047" s="15">
        <v>0</v>
      </c>
      <c r="J1047" s="15"/>
      <c r="N1047" s="14"/>
      <c r="O1047" s="14">
        <v>0</v>
      </c>
      <c r="P1047" s="14"/>
      <c r="Q1047" s="14"/>
      <c r="R1047" s="52"/>
      <c r="S1047" s="22">
        <v>0.1013888888888889</v>
      </c>
    </row>
    <row r="1048" spans="1:19" x14ac:dyDescent="0.2">
      <c r="A1048" s="2" t="s">
        <v>775</v>
      </c>
      <c r="B1048" s="2" t="s">
        <v>775</v>
      </c>
      <c r="C1048" s="2">
        <v>18725087</v>
      </c>
      <c r="D1048" t="s">
        <v>1201</v>
      </c>
      <c r="G1048" s="15">
        <v>0</v>
      </c>
      <c r="J1048" s="15"/>
      <c r="N1048" s="14"/>
      <c r="O1048" s="14">
        <v>0</v>
      </c>
      <c r="P1048" s="14"/>
      <c r="Q1048" s="14"/>
      <c r="R1048" s="52"/>
      <c r="S1048" s="22">
        <v>0</v>
      </c>
    </row>
    <row r="1049" spans="1:19" x14ac:dyDescent="0.2">
      <c r="D1049" t="s">
        <v>570</v>
      </c>
      <c r="G1049" s="15"/>
      <c r="J1049" s="15"/>
      <c r="N1049" s="14"/>
      <c r="O1049" s="14"/>
      <c r="P1049" s="14"/>
      <c r="Q1049" s="14"/>
      <c r="R1049" s="52"/>
    </row>
    <row r="1050" spans="1:19" x14ac:dyDescent="0.2">
      <c r="N1050" s="14"/>
      <c r="O1050" s="14"/>
      <c r="P1050" s="14"/>
      <c r="Q1050" s="14"/>
      <c r="R1050" s="52"/>
    </row>
    <row r="1051" spans="1:19" x14ac:dyDescent="0.2">
      <c r="N1051" s="14"/>
      <c r="O1051" s="14"/>
      <c r="P1051" s="14"/>
      <c r="Q1051" s="14"/>
      <c r="R1051" s="52"/>
    </row>
    <row r="1052" spans="1:19" x14ac:dyDescent="0.2">
      <c r="N1052" s="14"/>
      <c r="O1052" s="14"/>
      <c r="P1052" s="14"/>
      <c r="Q1052" s="14"/>
      <c r="R1052" s="52"/>
    </row>
    <row r="1053" spans="1:19" x14ac:dyDescent="0.2">
      <c r="N1053" s="14"/>
      <c r="O1053" s="14"/>
      <c r="P1053" s="14"/>
      <c r="Q1053" s="14"/>
      <c r="R1053" s="52"/>
    </row>
    <row r="1054" spans="1:19" x14ac:dyDescent="0.2">
      <c r="N1054" s="14"/>
      <c r="O1054" s="14"/>
      <c r="P1054" s="14"/>
      <c r="Q1054" s="14"/>
      <c r="R1054" s="52"/>
    </row>
    <row r="1055" spans="1:19" x14ac:dyDescent="0.2">
      <c r="N1055" s="14"/>
      <c r="O1055" s="14"/>
      <c r="P1055" s="14"/>
      <c r="Q1055" s="14"/>
      <c r="R1055" s="52"/>
    </row>
    <row r="1056" spans="1:19" x14ac:dyDescent="0.2">
      <c r="N1056" s="14"/>
      <c r="O1056" s="14"/>
      <c r="P1056" s="14"/>
      <c r="Q1056" s="14"/>
      <c r="R1056" s="52"/>
    </row>
    <row r="1057" spans="14:18" x14ac:dyDescent="0.2">
      <c r="N1057" s="14"/>
      <c r="O1057" s="14"/>
      <c r="P1057" s="14"/>
      <c r="Q1057" s="14"/>
      <c r="R1057" s="52"/>
    </row>
    <row r="1058" spans="14:18" x14ac:dyDescent="0.2">
      <c r="N1058" s="14"/>
      <c r="O1058" s="14"/>
      <c r="P1058" s="14"/>
      <c r="Q1058" s="14"/>
      <c r="R1058" s="52"/>
    </row>
    <row r="1059" spans="14:18" x14ac:dyDescent="0.2">
      <c r="N1059" s="14"/>
      <c r="O1059" s="14"/>
      <c r="P1059" s="14"/>
      <c r="Q1059" s="14"/>
      <c r="R1059" s="52"/>
    </row>
    <row r="1060" spans="14:18" x14ac:dyDescent="0.2">
      <c r="N1060" s="14"/>
      <c r="O1060" s="14"/>
      <c r="P1060" s="14"/>
      <c r="Q1060" s="14"/>
      <c r="R1060" s="52"/>
    </row>
    <row r="1061" spans="14:18" x14ac:dyDescent="0.2">
      <c r="N1061" s="14"/>
      <c r="O1061" s="14"/>
      <c r="P1061" s="14"/>
      <c r="Q1061" s="14"/>
      <c r="R1061" s="52"/>
    </row>
    <row r="1062" spans="14:18" x14ac:dyDescent="0.2">
      <c r="N1062" s="14"/>
      <c r="O1062" s="14"/>
      <c r="P1062" s="14"/>
      <c r="Q1062" s="14"/>
      <c r="R1062" s="52"/>
    </row>
    <row r="1063" spans="14:18" x14ac:dyDescent="0.2">
      <c r="N1063" s="14"/>
      <c r="O1063" s="14"/>
      <c r="P1063" s="14"/>
      <c r="Q1063" s="14"/>
      <c r="R1063" s="52"/>
    </row>
    <row r="1064" spans="14:18" x14ac:dyDescent="0.2">
      <c r="N1064" s="14"/>
      <c r="O1064" s="14"/>
      <c r="P1064" s="14"/>
      <c r="Q1064" s="14"/>
      <c r="R1064" s="52"/>
    </row>
    <row r="1065" spans="14:18" x14ac:dyDescent="0.2">
      <c r="N1065" s="14"/>
      <c r="O1065" s="14"/>
      <c r="P1065" s="14"/>
      <c r="Q1065" s="14"/>
      <c r="R1065" s="52"/>
    </row>
    <row r="1066" spans="14:18" x14ac:dyDescent="0.2">
      <c r="N1066" s="14"/>
      <c r="O1066" s="14"/>
      <c r="P1066" s="14"/>
      <c r="Q1066" s="14"/>
      <c r="R1066" s="52"/>
    </row>
    <row r="1067" spans="14:18" x14ac:dyDescent="0.2">
      <c r="N1067" s="14"/>
      <c r="O1067" s="14"/>
      <c r="P1067" s="14"/>
      <c r="Q1067" s="14"/>
      <c r="R1067" s="52"/>
    </row>
    <row r="1068" spans="14:18" x14ac:dyDescent="0.2">
      <c r="N1068" s="14"/>
      <c r="O1068" s="14"/>
      <c r="P1068" s="14"/>
      <c r="Q1068" s="14"/>
      <c r="R1068" s="52"/>
    </row>
    <row r="1069" spans="14:18" x14ac:dyDescent="0.2">
      <c r="N1069" s="14"/>
      <c r="O1069" s="14"/>
      <c r="P1069" s="14"/>
      <c r="Q1069" s="14"/>
      <c r="R1069" s="52"/>
    </row>
    <row r="1070" spans="14:18" x14ac:dyDescent="0.2">
      <c r="N1070" s="14"/>
      <c r="O1070" s="14"/>
      <c r="P1070" s="14"/>
      <c r="Q1070" s="14"/>
      <c r="R1070" s="52"/>
    </row>
    <row r="1071" spans="14:18" x14ac:dyDescent="0.2">
      <c r="N1071" s="14"/>
      <c r="O1071" s="14"/>
      <c r="P1071" s="14"/>
      <c r="Q1071" s="14"/>
      <c r="R1071" s="52"/>
    </row>
    <row r="1072" spans="14:18" x14ac:dyDescent="0.2">
      <c r="N1072" s="14"/>
      <c r="O1072" s="14"/>
      <c r="P1072" s="14"/>
      <c r="Q1072" s="14"/>
      <c r="R1072" s="52"/>
    </row>
    <row r="1073" spans="14:18" x14ac:dyDescent="0.2">
      <c r="N1073" s="14"/>
      <c r="O1073" s="14"/>
      <c r="P1073" s="14"/>
      <c r="Q1073" s="14"/>
      <c r="R1073" s="52"/>
    </row>
    <row r="1074" spans="14:18" x14ac:dyDescent="0.2">
      <c r="N1074" s="14"/>
      <c r="O1074" s="14"/>
      <c r="P1074" s="14"/>
      <c r="Q1074" s="14"/>
      <c r="R1074" s="52"/>
    </row>
    <row r="1075" spans="14:18" x14ac:dyDescent="0.2">
      <c r="N1075" s="14"/>
      <c r="O1075" s="14"/>
      <c r="P1075" s="14"/>
      <c r="Q1075" s="14"/>
      <c r="R1075" s="52"/>
    </row>
    <row r="1076" spans="14:18" x14ac:dyDescent="0.2">
      <c r="N1076" s="14"/>
      <c r="O1076" s="14"/>
      <c r="P1076" s="14"/>
      <c r="Q1076" s="14"/>
      <c r="R1076" s="52"/>
    </row>
    <row r="1077" spans="14:18" x14ac:dyDescent="0.2">
      <c r="N1077" s="14"/>
      <c r="O1077" s="14"/>
      <c r="P1077" s="14"/>
      <c r="Q1077" s="14"/>
      <c r="R1077" s="52"/>
    </row>
    <row r="1078" spans="14:18" x14ac:dyDescent="0.2">
      <c r="N1078" s="14"/>
      <c r="O1078" s="14"/>
      <c r="P1078" s="14"/>
      <c r="Q1078" s="14"/>
      <c r="R1078" s="52"/>
    </row>
    <row r="1079" spans="14:18" x14ac:dyDescent="0.2">
      <c r="N1079" s="14"/>
      <c r="O1079" s="14"/>
      <c r="P1079" s="14"/>
      <c r="Q1079" s="14"/>
      <c r="R1079" s="52"/>
    </row>
    <row r="1080" spans="14:18" x14ac:dyDescent="0.2">
      <c r="N1080" s="14"/>
      <c r="O1080" s="14"/>
      <c r="P1080" s="14"/>
      <c r="Q1080" s="14"/>
      <c r="R1080" s="52"/>
    </row>
    <row r="1081" spans="14:18" x14ac:dyDescent="0.2">
      <c r="N1081" s="14"/>
      <c r="O1081" s="14"/>
      <c r="P1081" s="14"/>
      <c r="Q1081" s="14"/>
      <c r="R1081" s="52"/>
    </row>
    <row r="1082" spans="14:18" x14ac:dyDescent="0.2">
      <c r="N1082" s="14"/>
      <c r="O1082" s="14"/>
      <c r="P1082" s="14"/>
      <c r="Q1082" s="14"/>
      <c r="R1082" s="52"/>
    </row>
    <row r="1083" spans="14:18" x14ac:dyDescent="0.2">
      <c r="N1083" s="14"/>
      <c r="O1083" s="14"/>
      <c r="P1083" s="14"/>
      <c r="Q1083" s="14"/>
      <c r="R1083" s="52"/>
    </row>
    <row r="1084" spans="14:18" x14ac:dyDescent="0.2">
      <c r="N1084" s="14"/>
      <c r="O1084" s="14"/>
      <c r="P1084" s="14"/>
      <c r="Q1084" s="14"/>
      <c r="R1084" s="52"/>
    </row>
    <row r="1085" spans="14:18" x14ac:dyDescent="0.2">
      <c r="N1085" s="14"/>
      <c r="O1085" s="14"/>
      <c r="P1085" s="14"/>
      <c r="Q1085" s="14"/>
      <c r="R1085" s="52"/>
    </row>
    <row r="1086" spans="14:18" x14ac:dyDescent="0.2">
      <c r="N1086" s="14"/>
      <c r="O1086" s="14"/>
      <c r="P1086" s="14"/>
      <c r="Q1086" s="14"/>
      <c r="R1086" s="52"/>
    </row>
    <row r="1087" spans="14:18" x14ac:dyDescent="0.2">
      <c r="N1087" s="14"/>
      <c r="O1087" s="14"/>
      <c r="P1087" s="14"/>
      <c r="Q1087" s="14"/>
      <c r="R1087" s="52"/>
    </row>
    <row r="1088" spans="14:18" x14ac:dyDescent="0.2">
      <c r="N1088" s="14"/>
      <c r="O1088" s="14"/>
      <c r="P1088" s="14"/>
      <c r="Q1088" s="14"/>
      <c r="R1088" s="52"/>
    </row>
    <row r="1089" spans="14:18" x14ac:dyDescent="0.2">
      <c r="N1089" s="14"/>
      <c r="O1089" s="14"/>
      <c r="P1089" s="14"/>
      <c r="Q1089" s="14"/>
      <c r="R1089" s="52"/>
    </row>
    <row r="1090" spans="14:18" x14ac:dyDescent="0.2">
      <c r="N1090" s="14"/>
      <c r="O1090" s="14"/>
      <c r="P1090" s="14"/>
      <c r="Q1090" s="14"/>
      <c r="R1090" s="52"/>
    </row>
    <row r="1091" spans="14:18" x14ac:dyDescent="0.2">
      <c r="N1091" s="14"/>
      <c r="O1091" s="14"/>
      <c r="P1091" s="14"/>
      <c r="Q1091" s="14"/>
      <c r="R1091" s="52"/>
    </row>
    <row r="1092" spans="14:18" x14ac:dyDescent="0.2">
      <c r="N1092" s="14"/>
      <c r="O1092" s="14"/>
      <c r="P1092" s="14"/>
      <c r="Q1092" s="14"/>
      <c r="R1092" s="52"/>
    </row>
    <row r="1093" spans="14:18" x14ac:dyDescent="0.2">
      <c r="N1093" s="14"/>
      <c r="O1093" s="14"/>
      <c r="P1093" s="14"/>
      <c r="Q1093" s="14"/>
      <c r="R1093" s="52"/>
    </row>
    <row r="1094" spans="14:18" x14ac:dyDescent="0.2">
      <c r="N1094" s="14"/>
      <c r="O1094" s="14"/>
      <c r="P1094" s="14"/>
      <c r="Q1094" s="14"/>
      <c r="R1094" s="52"/>
    </row>
    <row r="1095" spans="14:18" x14ac:dyDescent="0.2">
      <c r="N1095" s="14"/>
      <c r="O1095" s="14"/>
      <c r="P1095" s="14"/>
      <c r="Q1095" s="14"/>
      <c r="R1095" s="52"/>
    </row>
    <row r="1096" spans="14:18" x14ac:dyDescent="0.2">
      <c r="N1096" s="14"/>
      <c r="O1096" s="14"/>
      <c r="P1096" s="14"/>
      <c r="Q1096" s="14"/>
      <c r="R1096" s="52"/>
    </row>
    <row r="1097" spans="14:18" x14ac:dyDescent="0.2">
      <c r="N1097" s="14"/>
      <c r="O1097" s="14"/>
      <c r="P1097" s="14"/>
      <c r="Q1097" s="14"/>
      <c r="R1097" s="52"/>
    </row>
    <row r="1098" spans="14:18" x14ac:dyDescent="0.2">
      <c r="N1098" s="14"/>
      <c r="O1098" s="14"/>
      <c r="P1098" s="14"/>
      <c r="Q1098" s="14"/>
      <c r="R1098" s="52"/>
    </row>
    <row r="1099" spans="14:18" x14ac:dyDescent="0.2">
      <c r="N1099" s="14"/>
      <c r="O1099" s="14"/>
      <c r="P1099" s="14"/>
      <c r="Q1099" s="14"/>
      <c r="R1099" s="52"/>
    </row>
    <row r="1100" spans="14:18" x14ac:dyDescent="0.2">
      <c r="N1100" s="14"/>
      <c r="O1100" s="14"/>
      <c r="P1100" s="14"/>
      <c r="Q1100" s="14"/>
      <c r="R1100" s="52"/>
    </row>
    <row r="1101" spans="14:18" x14ac:dyDescent="0.2">
      <c r="N1101" s="14"/>
      <c r="O1101" s="14"/>
      <c r="P1101" s="14"/>
      <c r="Q1101" s="14"/>
      <c r="R1101" s="52"/>
    </row>
    <row r="1102" spans="14:18" x14ac:dyDescent="0.2">
      <c r="N1102" s="14"/>
      <c r="O1102" s="14"/>
      <c r="P1102" s="14"/>
      <c r="Q1102" s="14"/>
      <c r="R1102" s="52"/>
    </row>
    <row r="1103" spans="14:18" x14ac:dyDescent="0.2">
      <c r="N1103" s="14"/>
      <c r="O1103" s="14"/>
      <c r="P1103" s="14"/>
      <c r="Q1103" s="14"/>
      <c r="R1103" s="52"/>
    </row>
    <row r="1104" spans="14:18" x14ac:dyDescent="0.2">
      <c r="N1104" s="14"/>
      <c r="O1104" s="14"/>
      <c r="P1104" s="14"/>
      <c r="Q1104" s="14"/>
      <c r="R1104" s="52"/>
    </row>
    <row r="1105" spans="14:18" x14ac:dyDescent="0.2">
      <c r="N1105" s="14"/>
      <c r="O1105" s="14"/>
      <c r="P1105" s="14"/>
      <c r="Q1105" s="14"/>
      <c r="R1105" s="52"/>
    </row>
    <row r="1106" spans="14:18" x14ac:dyDescent="0.2">
      <c r="N1106" s="14"/>
      <c r="O1106" s="14"/>
      <c r="P1106" s="14"/>
      <c r="Q1106" s="14"/>
      <c r="R1106" s="52"/>
    </row>
    <row r="1107" spans="14:18" x14ac:dyDescent="0.2">
      <c r="N1107" s="14"/>
      <c r="O1107" s="14"/>
      <c r="P1107" s="14"/>
      <c r="Q1107" s="14"/>
      <c r="R1107" s="52"/>
    </row>
    <row r="1108" spans="14:18" x14ac:dyDescent="0.2">
      <c r="N1108" s="14"/>
      <c r="O1108" s="14"/>
      <c r="P1108" s="14"/>
      <c r="Q1108" s="14"/>
      <c r="R1108" s="52"/>
    </row>
    <row r="1109" spans="14:18" x14ac:dyDescent="0.2">
      <c r="N1109" s="14"/>
      <c r="O1109" s="14"/>
      <c r="P1109" s="14"/>
      <c r="Q1109" s="14"/>
      <c r="R1109" s="52"/>
    </row>
    <row r="1110" spans="14:18" x14ac:dyDescent="0.2">
      <c r="N1110" s="14"/>
      <c r="O1110" s="14"/>
      <c r="P1110" s="14"/>
      <c r="Q1110" s="14"/>
      <c r="R1110" s="52"/>
    </row>
    <row r="1111" spans="14:18" x14ac:dyDescent="0.2">
      <c r="N1111" s="14"/>
      <c r="O1111" s="14"/>
      <c r="P1111" s="14"/>
      <c r="Q1111" s="14"/>
      <c r="R1111" s="52"/>
    </row>
    <row r="1112" spans="14:18" x14ac:dyDescent="0.2">
      <c r="N1112" s="14"/>
      <c r="O1112" s="14"/>
      <c r="P1112" s="14"/>
      <c r="Q1112" s="14"/>
      <c r="R1112" s="52"/>
    </row>
    <row r="1113" spans="14:18" x14ac:dyDescent="0.2">
      <c r="N1113" s="14"/>
      <c r="O1113" s="14"/>
      <c r="P1113" s="14"/>
      <c r="Q1113" s="14"/>
      <c r="R1113" s="52"/>
    </row>
    <row r="1114" spans="14:18" x14ac:dyDescent="0.2">
      <c r="N1114" s="14"/>
      <c r="O1114" s="14"/>
      <c r="P1114" s="14"/>
      <c r="Q1114" s="14"/>
      <c r="R1114" s="52"/>
    </row>
    <row r="1115" spans="14:18" x14ac:dyDescent="0.2">
      <c r="N1115" s="14"/>
      <c r="O1115" s="14"/>
      <c r="P1115" s="14"/>
      <c r="Q1115" s="14"/>
      <c r="R1115" s="52"/>
    </row>
    <row r="1116" spans="14:18" x14ac:dyDescent="0.2">
      <c r="N1116" s="14"/>
      <c r="O1116" s="14"/>
      <c r="P1116" s="14"/>
      <c r="Q1116" s="14"/>
      <c r="R1116" s="52"/>
    </row>
    <row r="1117" spans="14:18" x14ac:dyDescent="0.2">
      <c r="N1117" s="14"/>
      <c r="O1117" s="14"/>
      <c r="P1117" s="14"/>
      <c r="Q1117" s="14"/>
      <c r="R1117" s="52"/>
    </row>
    <row r="1118" spans="14:18" x14ac:dyDescent="0.2">
      <c r="N1118" s="14"/>
      <c r="O1118" s="14"/>
      <c r="P1118" s="14"/>
      <c r="Q1118" s="14"/>
      <c r="R1118" s="52"/>
    </row>
    <row r="1119" spans="14:18" x14ac:dyDescent="0.2">
      <c r="N1119" s="14"/>
      <c r="O1119" s="14"/>
      <c r="P1119" s="14"/>
      <c r="Q1119" s="14"/>
      <c r="R1119" s="52"/>
    </row>
    <row r="1120" spans="14:18" x14ac:dyDescent="0.2">
      <c r="N1120" s="14"/>
      <c r="O1120" s="14"/>
      <c r="P1120" s="14"/>
      <c r="Q1120" s="14"/>
      <c r="R1120" s="52"/>
    </row>
    <row r="1121" spans="14:18" x14ac:dyDescent="0.2">
      <c r="N1121" s="14"/>
      <c r="O1121" s="14"/>
      <c r="P1121" s="14"/>
      <c r="Q1121" s="14"/>
      <c r="R1121" s="52"/>
    </row>
    <row r="1122" spans="14:18" x14ac:dyDescent="0.2">
      <c r="N1122" s="14"/>
      <c r="O1122" s="14"/>
      <c r="P1122" s="14"/>
      <c r="Q1122" s="14"/>
      <c r="R1122" s="52"/>
    </row>
    <row r="1123" spans="14:18" x14ac:dyDescent="0.2">
      <c r="N1123" s="14"/>
      <c r="O1123" s="14"/>
      <c r="P1123" s="14"/>
      <c r="Q1123" s="14"/>
      <c r="R1123" s="52"/>
    </row>
    <row r="1124" spans="14:18" x14ac:dyDescent="0.2">
      <c r="N1124" s="14"/>
      <c r="O1124" s="14"/>
      <c r="P1124" s="14"/>
      <c r="Q1124" s="14"/>
      <c r="R1124" s="52"/>
    </row>
    <row r="1125" spans="14:18" x14ac:dyDescent="0.2">
      <c r="N1125" s="14"/>
      <c r="O1125" s="14"/>
      <c r="P1125" s="14"/>
      <c r="Q1125" s="14"/>
      <c r="R1125" s="52"/>
    </row>
    <row r="1126" spans="14:18" x14ac:dyDescent="0.2">
      <c r="N1126" s="14"/>
      <c r="O1126" s="14"/>
      <c r="P1126" s="14"/>
      <c r="Q1126" s="14"/>
      <c r="R1126" s="52"/>
    </row>
    <row r="1127" spans="14:18" x14ac:dyDescent="0.2">
      <c r="N1127" s="14"/>
      <c r="O1127" s="14"/>
      <c r="P1127" s="14"/>
      <c r="Q1127" s="14"/>
      <c r="R1127" s="52"/>
    </row>
    <row r="1128" spans="14:18" x14ac:dyDescent="0.2">
      <c r="N1128" s="14"/>
      <c r="O1128" s="14"/>
      <c r="P1128" s="14"/>
      <c r="Q1128" s="14"/>
      <c r="R1128" s="52"/>
    </row>
    <row r="1129" spans="14:18" x14ac:dyDescent="0.2">
      <c r="N1129" s="14"/>
      <c r="O1129" s="14"/>
      <c r="P1129" s="14"/>
      <c r="Q1129" s="14"/>
      <c r="R1129" s="52"/>
    </row>
    <row r="1130" spans="14:18" x14ac:dyDescent="0.2">
      <c r="N1130" s="14"/>
      <c r="O1130" s="14"/>
      <c r="P1130" s="14"/>
      <c r="Q1130" s="14"/>
      <c r="R1130" s="52"/>
    </row>
    <row r="1131" spans="14:18" x14ac:dyDescent="0.2">
      <c r="N1131" s="14"/>
      <c r="O1131" s="14"/>
      <c r="P1131" s="14"/>
      <c r="Q1131" s="14"/>
      <c r="R1131" s="52"/>
    </row>
    <row r="1132" spans="14:18" x14ac:dyDescent="0.2">
      <c r="N1132" s="14"/>
      <c r="O1132" s="14"/>
      <c r="P1132" s="14"/>
      <c r="Q1132" s="14"/>
      <c r="R1132" s="52"/>
    </row>
    <row r="1133" spans="14:18" x14ac:dyDescent="0.2">
      <c r="N1133" s="14"/>
      <c r="O1133" s="14"/>
      <c r="P1133" s="14"/>
      <c r="Q1133" s="14"/>
      <c r="R1133" s="52"/>
    </row>
    <row r="1134" spans="14:18" x14ac:dyDescent="0.2">
      <c r="N1134" s="14"/>
      <c r="O1134" s="14"/>
      <c r="P1134" s="14"/>
      <c r="Q1134" s="14"/>
      <c r="R1134" s="52"/>
    </row>
    <row r="1135" spans="14:18" x14ac:dyDescent="0.2">
      <c r="N1135" s="14"/>
      <c r="O1135" s="14"/>
      <c r="P1135" s="14"/>
      <c r="Q1135" s="14"/>
      <c r="R1135" s="52"/>
    </row>
    <row r="1136" spans="14:18" x14ac:dyDescent="0.2">
      <c r="N1136" s="14"/>
      <c r="O1136" s="14"/>
      <c r="P1136" s="14"/>
      <c r="Q1136" s="14"/>
      <c r="R1136" s="52"/>
    </row>
    <row r="1137" spans="14:18" x14ac:dyDescent="0.2">
      <c r="N1137" s="14"/>
      <c r="O1137" s="14"/>
      <c r="P1137" s="14"/>
      <c r="Q1137" s="14"/>
      <c r="R1137" s="52"/>
    </row>
    <row r="1138" spans="14:18" x14ac:dyDescent="0.2">
      <c r="N1138" s="14"/>
      <c r="O1138" s="14"/>
      <c r="P1138" s="14"/>
      <c r="Q1138" s="14"/>
      <c r="R1138" s="52"/>
    </row>
    <row r="1139" spans="14:18" x14ac:dyDescent="0.2">
      <c r="N1139" s="14"/>
      <c r="O1139" s="14"/>
      <c r="P1139" s="14"/>
      <c r="Q1139" s="14"/>
      <c r="R1139" s="52"/>
    </row>
    <row r="1140" spans="14:18" x14ac:dyDescent="0.2">
      <c r="N1140" s="14"/>
      <c r="O1140" s="14"/>
      <c r="P1140" s="14"/>
      <c r="Q1140" s="14"/>
      <c r="R1140" s="52"/>
    </row>
    <row r="1141" spans="14:18" x14ac:dyDescent="0.2">
      <c r="N1141" s="14"/>
      <c r="O1141" s="14"/>
      <c r="P1141" s="14"/>
      <c r="Q1141" s="14"/>
      <c r="R1141" s="52"/>
    </row>
    <row r="1142" spans="14:18" x14ac:dyDescent="0.2">
      <c r="N1142" s="14"/>
      <c r="O1142" s="14"/>
      <c r="P1142" s="14"/>
      <c r="Q1142" s="14"/>
      <c r="R1142" s="52"/>
    </row>
    <row r="1143" spans="14:18" x14ac:dyDescent="0.2">
      <c r="N1143" s="14"/>
      <c r="O1143" s="14"/>
      <c r="P1143" s="14"/>
      <c r="Q1143" s="14"/>
      <c r="R1143" s="52"/>
    </row>
    <row r="1144" spans="14:18" x14ac:dyDescent="0.2">
      <c r="N1144" s="14"/>
      <c r="O1144" s="14"/>
      <c r="P1144" s="14"/>
      <c r="Q1144" s="14"/>
      <c r="R1144" s="52"/>
    </row>
    <row r="1145" spans="14:18" x14ac:dyDescent="0.2">
      <c r="N1145" s="14"/>
      <c r="O1145" s="14"/>
      <c r="P1145" s="14"/>
      <c r="Q1145" s="14"/>
      <c r="R1145" s="52"/>
    </row>
    <row r="1146" spans="14:18" x14ac:dyDescent="0.2">
      <c r="N1146" s="14"/>
      <c r="O1146" s="14"/>
      <c r="P1146" s="14"/>
      <c r="Q1146" s="14"/>
      <c r="R1146" s="52"/>
    </row>
    <row r="1147" spans="14:18" x14ac:dyDescent="0.2">
      <c r="N1147" s="14"/>
      <c r="O1147" s="14"/>
      <c r="P1147" s="14"/>
      <c r="Q1147" s="14"/>
      <c r="R1147" s="52"/>
    </row>
    <row r="1148" spans="14:18" x14ac:dyDescent="0.2">
      <c r="N1148" s="14"/>
      <c r="O1148" s="14"/>
      <c r="P1148" s="14"/>
      <c r="Q1148" s="14"/>
      <c r="R1148" s="52"/>
    </row>
    <row r="1149" spans="14:18" x14ac:dyDescent="0.2">
      <c r="N1149" s="14"/>
      <c r="O1149" s="14"/>
      <c r="P1149" s="14"/>
      <c r="Q1149" s="14"/>
      <c r="R1149" s="52"/>
    </row>
    <row r="1150" spans="14:18" x14ac:dyDescent="0.2">
      <c r="N1150" s="14"/>
      <c r="O1150" s="14"/>
      <c r="P1150" s="14"/>
      <c r="Q1150" s="14"/>
      <c r="R1150" s="52"/>
    </row>
    <row r="1151" spans="14:18" x14ac:dyDescent="0.2">
      <c r="N1151" s="14"/>
      <c r="O1151" s="14"/>
      <c r="P1151" s="14"/>
      <c r="Q1151" s="14"/>
      <c r="R1151" s="52"/>
    </row>
    <row r="1152" spans="14:18" x14ac:dyDescent="0.2">
      <c r="N1152" s="14"/>
      <c r="O1152" s="14"/>
      <c r="P1152" s="14"/>
      <c r="Q1152" s="14"/>
      <c r="R1152" s="52"/>
    </row>
    <row r="1153" spans="14:18" x14ac:dyDescent="0.2">
      <c r="N1153" s="14"/>
      <c r="O1153" s="14"/>
      <c r="P1153" s="14"/>
      <c r="Q1153" s="14"/>
      <c r="R1153" s="52"/>
    </row>
    <row r="1154" spans="14:18" x14ac:dyDescent="0.2">
      <c r="N1154" s="14"/>
      <c r="O1154" s="14"/>
      <c r="P1154" s="14"/>
      <c r="Q1154" s="14"/>
      <c r="R1154" s="52"/>
    </row>
    <row r="1155" spans="14:18" x14ac:dyDescent="0.2">
      <c r="N1155" s="14"/>
      <c r="O1155" s="14"/>
      <c r="P1155" s="14"/>
      <c r="Q1155" s="14"/>
      <c r="R1155" s="52"/>
    </row>
    <row r="1156" spans="14:18" x14ac:dyDescent="0.2">
      <c r="N1156" s="14"/>
      <c r="O1156" s="14"/>
      <c r="P1156" s="14"/>
      <c r="Q1156" s="14"/>
      <c r="R1156" s="52"/>
    </row>
    <row r="1157" spans="14:18" x14ac:dyDescent="0.2">
      <c r="N1157" s="14"/>
      <c r="O1157" s="14"/>
      <c r="P1157" s="14"/>
      <c r="Q1157" s="14"/>
      <c r="R1157" s="52"/>
    </row>
    <row r="1158" spans="14:18" x14ac:dyDescent="0.2">
      <c r="N1158" s="14"/>
      <c r="O1158" s="14"/>
      <c r="P1158" s="14"/>
      <c r="Q1158" s="14"/>
      <c r="R1158" s="52"/>
    </row>
    <row r="1159" spans="14:18" x14ac:dyDescent="0.2">
      <c r="N1159" s="14"/>
      <c r="O1159" s="14"/>
      <c r="P1159" s="14"/>
      <c r="Q1159" s="14"/>
      <c r="R1159" s="52"/>
    </row>
    <row r="1160" spans="14:18" x14ac:dyDescent="0.2">
      <c r="N1160" s="14"/>
      <c r="O1160" s="14"/>
      <c r="P1160" s="14"/>
      <c r="Q1160" s="14"/>
      <c r="R1160" s="52"/>
    </row>
    <row r="1161" spans="14:18" x14ac:dyDescent="0.2">
      <c r="N1161" s="14"/>
      <c r="O1161" s="14"/>
      <c r="P1161" s="14"/>
      <c r="Q1161" s="14"/>
      <c r="R1161" s="52"/>
    </row>
    <row r="1162" spans="14:18" x14ac:dyDescent="0.2">
      <c r="N1162" s="14"/>
      <c r="O1162" s="14"/>
      <c r="P1162" s="14"/>
      <c r="Q1162" s="14"/>
      <c r="R1162" s="52"/>
    </row>
    <row r="1163" spans="14:18" x14ac:dyDescent="0.2">
      <c r="N1163" s="14"/>
      <c r="O1163" s="14"/>
      <c r="P1163" s="14"/>
      <c r="Q1163" s="14"/>
      <c r="R1163" s="52"/>
    </row>
    <row r="1164" spans="14:18" x14ac:dyDescent="0.2">
      <c r="N1164" s="14"/>
      <c r="O1164" s="14"/>
      <c r="P1164" s="14"/>
      <c r="Q1164" s="14"/>
      <c r="R1164" s="52"/>
    </row>
    <row r="1165" spans="14:18" x14ac:dyDescent="0.2">
      <c r="N1165" s="14"/>
      <c r="O1165" s="14"/>
      <c r="P1165" s="14"/>
      <c r="Q1165" s="14"/>
      <c r="R1165" s="52"/>
    </row>
    <row r="1166" spans="14:18" x14ac:dyDescent="0.2">
      <c r="N1166" s="14"/>
      <c r="O1166" s="14"/>
      <c r="P1166" s="14"/>
      <c r="Q1166" s="14"/>
      <c r="R1166" s="52"/>
    </row>
    <row r="1167" spans="14:18" x14ac:dyDescent="0.2">
      <c r="N1167" s="14"/>
      <c r="O1167" s="14"/>
      <c r="P1167" s="14"/>
      <c r="Q1167" s="14"/>
      <c r="R1167" s="52"/>
    </row>
    <row r="1168" spans="14:18" x14ac:dyDescent="0.2">
      <c r="N1168" s="14"/>
      <c r="O1168" s="14"/>
      <c r="P1168" s="14"/>
      <c r="Q1168" s="14"/>
      <c r="R1168" s="52"/>
    </row>
    <row r="1169" spans="14:18" x14ac:dyDescent="0.2">
      <c r="N1169" s="14"/>
      <c r="O1169" s="14"/>
      <c r="P1169" s="14"/>
      <c r="Q1169" s="14"/>
      <c r="R1169" s="52"/>
    </row>
    <row r="1170" spans="14:18" x14ac:dyDescent="0.2">
      <c r="N1170" s="14"/>
      <c r="O1170" s="14"/>
      <c r="P1170" s="14"/>
      <c r="Q1170" s="14"/>
      <c r="R1170" s="52"/>
    </row>
    <row r="1171" spans="14:18" x14ac:dyDescent="0.2">
      <c r="N1171" s="14"/>
      <c r="O1171" s="14"/>
      <c r="P1171" s="14"/>
      <c r="Q1171" s="14"/>
      <c r="R1171" s="52"/>
    </row>
    <row r="1172" spans="14:18" x14ac:dyDescent="0.2">
      <c r="N1172" s="14"/>
      <c r="O1172" s="14"/>
      <c r="P1172" s="14"/>
      <c r="Q1172" s="14"/>
      <c r="R1172" s="52"/>
    </row>
    <row r="1173" spans="14:18" x14ac:dyDescent="0.2">
      <c r="N1173" s="14"/>
      <c r="O1173" s="14"/>
      <c r="P1173" s="14"/>
      <c r="Q1173" s="14"/>
      <c r="R1173" s="52"/>
    </row>
    <row r="1174" spans="14:18" x14ac:dyDescent="0.2">
      <c r="N1174" s="14"/>
      <c r="O1174" s="14"/>
      <c r="P1174" s="14"/>
      <c r="Q1174" s="14"/>
      <c r="R1174" s="52"/>
    </row>
    <row r="1175" spans="14:18" x14ac:dyDescent="0.2">
      <c r="N1175" s="14"/>
      <c r="O1175" s="14"/>
      <c r="P1175" s="14"/>
      <c r="Q1175" s="14"/>
      <c r="R1175" s="52"/>
    </row>
    <row r="1176" spans="14:18" x14ac:dyDescent="0.2">
      <c r="N1176" s="14"/>
      <c r="O1176" s="14"/>
      <c r="P1176" s="14"/>
      <c r="Q1176" s="14"/>
      <c r="R1176" s="52"/>
    </row>
    <row r="1177" spans="14:18" x14ac:dyDescent="0.2">
      <c r="N1177" s="14"/>
      <c r="O1177" s="14"/>
      <c r="P1177" s="14"/>
      <c r="Q1177" s="14"/>
      <c r="R1177" s="52"/>
    </row>
    <row r="1178" spans="14:18" x14ac:dyDescent="0.2">
      <c r="N1178" s="14"/>
      <c r="O1178" s="14"/>
      <c r="P1178" s="14"/>
      <c r="Q1178" s="14"/>
      <c r="R1178" s="52"/>
    </row>
    <row r="1179" spans="14:18" x14ac:dyDescent="0.2">
      <c r="N1179" s="14"/>
      <c r="O1179" s="14"/>
      <c r="P1179" s="14"/>
      <c r="Q1179" s="14"/>
      <c r="R1179" s="52"/>
    </row>
    <row r="1180" spans="14:18" x14ac:dyDescent="0.2">
      <c r="N1180" s="14"/>
      <c r="O1180" s="14"/>
      <c r="P1180" s="14"/>
      <c r="Q1180" s="14"/>
      <c r="R1180" s="52"/>
    </row>
    <row r="1181" spans="14:18" x14ac:dyDescent="0.2">
      <c r="N1181" s="14"/>
      <c r="O1181" s="14"/>
      <c r="P1181" s="14"/>
      <c r="Q1181" s="14"/>
      <c r="R1181" s="52"/>
    </row>
    <row r="1182" spans="14:18" x14ac:dyDescent="0.2">
      <c r="N1182" s="14"/>
      <c r="O1182" s="14"/>
      <c r="P1182" s="14"/>
      <c r="Q1182" s="14"/>
      <c r="R1182" s="52"/>
    </row>
    <row r="1183" spans="14:18" x14ac:dyDescent="0.2">
      <c r="N1183" s="14"/>
      <c r="O1183" s="14"/>
      <c r="P1183" s="14"/>
      <c r="Q1183" s="14"/>
      <c r="R1183" s="52"/>
    </row>
    <row r="1184" spans="14:18" x14ac:dyDescent="0.2">
      <c r="N1184" s="14"/>
      <c r="O1184" s="14"/>
      <c r="P1184" s="14"/>
      <c r="Q1184" s="14"/>
      <c r="R1184" s="52"/>
    </row>
    <row r="1185" spans="14:18" x14ac:dyDescent="0.2">
      <c r="N1185" s="14"/>
      <c r="O1185" s="14"/>
      <c r="P1185" s="14"/>
      <c r="Q1185" s="14"/>
      <c r="R1185" s="52"/>
    </row>
    <row r="1186" spans="14:18" x14ac:dyDescent="0.2">
      <c r="N1186" s="14"/>
      <c r="O1186" s="14"/>
      <c r="P1186" s="14"/>
      <c r="Q1186" s="14"/>
      <c r="R1186" s="52"/>
    </row>
    <row r="1187" spans="14:18" x14ac:dyDescent="0.2">
      <c r="N1187" s="14"/>
      <c r="O1187" s="14"/>
      <c r="P1187" s="14"/>
      <c r="Q1187" s="14"/>
      <c r="R1187" s="52"/>
    </row>
    <row r="1188" spans="14:18" x14ac:dyDescent="0.2">
      <c r="N1188" s="14"/>
      <c r="O1188" s="14"/>
      <c r="P1188" s="14"/>
      <c r="Q1188" s="14"/>
      <c r="R1188" s="52"/>
    </row>
    <row r="1189" spans="14:18" x14ac:dyDescent="0.2">
      <c r="N1189" s="14"/>
      <c r="O1189" s="14"/>
      <c r="P1189" s="14"/>
      <c r="Q1189" s="14"/>
      <c r="R1189" s="52"/>
    </row>
    <row r="1190" spans="14:18" x14ac:dyDescent="0.2">
      <c r="N1190" s="14"/>
      <c r="O1190" s="14"/>
      <c r="P1190" s="14"/>
      <c r="Q1190" s="14"/>
      <c r="R1190" s="52"/>
    </row>
    <row r="1191" spans="14:18" x14ac:dyDescent="0.2">
      <c r="N1191" s="14"/>
      <c r="O1191" s="14"/>
      <c r="P1191" s="14"/>
      <c r="Q1191" s="14"/>
      <c r="R1191" s="52"/>
    </row>
    <row r="1192" spans="14:18" x14ac:dyDescent="0.2">
      <c r="N1192" s="14"/>
      <c r="O1192" s="14"/>
      <c r="P1192" s="14"/>
      <c r="Q1192" s="14"/>
      <c r="R1192" s="52"/>
    </row>
    <row r="1193" spans="14:18" x14ac:dyDescent="0.2">
      <c r="N1193" s="14"/>
      <c r="O1193" s="14"/>
      <c r="P1193" s="14"/>
      <c r="Q1193" s="14"/>
      <c r="R1193" s="52"/>
    </row>
    <row r="1194" spans="14:18" x14ac:dyDescent="0.2">
      <c r="N1194" s="14"/>
      <c r="O1194" s="14"/>
      <c r="P1194" s="14"/>
      <c r="Q1194" s="14"/>
      <c r="R1194" s="52"/>
    </row>
    <row r="1195" spans="14:18" x14ac:dyDescent="0.2">
      <c r="N1195" s="14"/>
      <c r="O1195" s="14"/>
      <c r="P1195" s="14"/>
      <c r="Q1195" s="14"/>
      <c r="R1195" s="52"/>
    </row>
    <row r="1196" spans="14:18" x14ac:dyDescent="0.2">
      <c r="N1196" s="14"/>
      <c r="O1196" s="14"/>
      <c r="P1196" s="14"/>
      <c r="Q1196" s="14"/>
      <c r="R1196" s="52"/>
    </row>
    <row r="1197" spans="14:18" x14ac:dyDescent="0.2">
      <c r="N1197" s="14"/>
      <c r="O1197" s="14"/>
      <c r="P1197" s="14"/>
      <c r="Q1197" s="14"/>
      <c r="R1197" s="52"/>
    </row>
    <row r="1198" spans="14:18" x14ac:dyDescent="0.2">
      <c r="N1198" s="14"/>
      <c r="O1198" s="14"/>
      <c r="P1198" s="14"/>
      <c r="Q1198" s="14"/>
      <c r="R1198" s="52"/>
    </row>
    <row r="1199" spans="14:18" x14ac:dyDescent="0.2">
      <c r="N1199" s="14"/>
      <c r="O1199" s="14"/>
      <c r="P1199" s="14"/>
      <c r="Q1199" s="14"/>
      <c r="R1199" s="52"/>
    </row>
    <row r="1200" spans="14:18" x14ac:dyDescent="0.2">
      <c r="N1200" s="14"/>
      <c r="O1200" s="14"/>
      <c r="P1200" s="14"/>
      <c r="Q1200" s="14"/>
      <c r="R1200" s="52"/>
    </row>
    <row r="1201" spans="14:18" x14ac:dyDescent="0.2">
      <c r="N1201" s="14"/>
      <c r="O1201" s="14"/>
      <c r="P1201" s="14"/>
      <c r="Q1201" s="14"/>
      <c r="R1201" s="52"/>
    </row>
    <row r="1202" spans="14:18" x14ac:dyDescent="0.2">
      <c r="N1202" s="14"/>
      <c r="O1202" s="14"/>
      <c r="P1202" s="14"/>
      <c r="Q1202" s="14"/>
      <c r="R1202" s="52"/>
    </row>
    <row r="1203" spans="14:18" x14ac:dyDescent="0.2">
      <c r="N1203" s="14"/>
      <c r="O1203" s="14"/>
      <c r="P1203" s="14"/>
      <c r="Q1203" s="14"/>
      <c r="R1203" s="52"/>
    </row>
    <row r="1204" spans="14:18" x14ac:dyDescent="0.2">
      <c r="N1204" s="14"/>
      <c r="O1204" s="14"/>
      <c r="P1204" s="14"/>
      <c r="Q1204" s="14"/>
      <c r="R1204" s="52"/>
    </row>
    <row r="1205" spans="14:18" x14ac:dyDescent="0.2">
      <c r="N1205" s="14"/>
      <c r="O1205" s="14"/>
      <c r="P1205" s="14"/>
      <c r="Q1205" s="14"/>
      <c r="R1205" s="52"/>
    </row>
    <row r="1206" spans="14:18" x14ac:dyDescent="0.2">
      <c r="N1206" s="14"/>
      <c r="O1206" s="14"/>
      <c r="P1206" s="14"/>
      <c r="Q1206" s="14"/>
      <c r="R1206" s="52"/>
    </row>
    <row r="1207" spans="14:18" x14ac:dyDescent="0.2">
      <c r="N1207" s="14"/>
      <c r="O1207" s="14"/>
      <c r="P1207" s="14"/>
      <c r="Q1207" s="14"/>
      <c r="R1207" s="52"/>
    </row>
    <row r="1208" spans="14:18" x14ac:dyDescent="0.2">
      <c r="N1208" s="14"/>
      <c r="O1208" s="14"/>
      <c r="P1208" s="14"/>
      <c r="Q1208" s="14"/>
      <c r="R1208" s="52"/>
    </row>
    <row r="1209" spans="14:18" x14ac:dyDescent="0.2">
      <c r="N1209" s="14"/>
      <c r="O1209" s="14"/>
      <c r="P1209" s="14"/>
      <c r="Q1209" s="14"/>
      <c r="R1209" s="52"/>
    </row>
    <row r="1210" spans="14:18" x14ac:dyDescent="0.2">
      <c r="N1210" s="14"/>
      <c r="O1210" s="14"/>
      <c r="P1210" s="14"/>
      <c r="Q1210" s="14"/>
      <c r="R1210" s="52"/>
    </row>
    <row r="1211" spans="14:18" x14ac:dyDescent="0.2">
      <c r="N1211" s="14"/>
      <c r="O1211" s="14"/>
      <c r="P1211" s="14"/>
      <c r="Q1211" s="14"/>
      <c r="R1211" s="52"/>
    </row>
    <row r="1212" spans="14:18" x14ac:dyDescent="0.2">
      <c r="N1212" s="14"/>
      <c r="O1212" s="14"/>
      <c r="P1212" s="14"/>
      <c r="Q1212" s="14"/>
      <c r="R1212" s="52"/>
    </row>
    <row r="1213" spans="14:18" x14ac:dyDescent="0.2">
      <c r="N1213" s="14"/>
      <c r="O1213" s="14"/>
      <c r="P1213" s="14"/>
      <c r="Q1213" s="14"/>
      <c r="R1213" s="52"/>
    </row>
    <row r="1214" spans="14:18" x14ac:dyDescent="0.2">
      <c r="N1214" s="14"/>
      <c r="O1214" s="14"/>
      <c r="P1214" s="14"/>
      <c r="Q1214" s="14"/>
      <c r="R1214" s="52"/>
    </row>
    <row r="1215" spans="14:18" x14ac:dyDescent="0.2">
      <c r="N1215" s="14"/>
      <c r="O1215" s="14"/>
      <c r="P1215" s="14"/>
      <c r="Q1215" s="14"/>
      <c r="R1215" s="52"/>
    </row>
    <row r="1216" spans="14:18" x14ac:dyDescent="0.2">
      <c r="N1216" s="14"/>
      <c r="O1216" s="14"/>
      <c r="P1216" s="14"/>
      <c r="Q1216" s="14"/>
      <c r="R1216" s="52"/>
    </row>
    <row r="1217" spans="14:18" x14ac:dyDescent="0.2">
      <c r="N1217" s="14"/>
      <c r="O1217" s="14"/>
      <c r="P1217" s="14"/>
      <c r="Q1217" s="14"/>
      <c r="R1217" s="52"/>
    </row>
    <row r="1218" spans="14:18" x14ac:dyDescent="0.2">
      <c r="N1218" s="14"/>
      <c r="O1218" s="14"/>
      <c r="P1218" s="14"/>
      <c r="Q1218" s="14"/>
      <c r="R1218" s="52"/>
    </row>
    <row r="1219" spans="14:18" x14ac:dyDescent="0.2">
      <c r="N1219" s="14"/>
      <c r="O1219" s="14"/>
      <c r="P1219" s="14"/>
      <c r="Q1219" s="14"/>
      <c r="R1219" s="52"/>
    </row>
    <row r="1220" spans="14:18" x14ac:dyDescent="0.2">
      <c r="N1220" s="14"/>
      <c r="O1220" s="14"/>
      <c r="P1220" s="14"/>
      <c r="Q1220" s="14"/>
      <c r="R1220" s="52"/>
    </row>
    <row r="1221" spans="14:18" x14ac:dyDescent="0.2">
      <c r="N1221" s="14"/>
      <c r="O1221" s="14"/>
      <c r="P1221" s="14"/>
      <c r="Q1221" s="14"/>
      <c r="R1221" s="52"/>
    </row>
    <row r="1222" spans="14:18" x14ac:dyDescent="0.2">
      <c r="N1222" s="14"/>
      <c r="O1222" s="14"/>
      <c r="P1222" s="14"/>
      <c r="Q1222" s="14"/>
      <c r="R1222" s="52"/>
    </row>
    <row r="1223" spans="14:18" x14ac:dyDescent="0.2">
      <c r="N1223" s="14"/>
      <c r="O1223" s="14"/>
      <c r="P1223" s="14"/>
      <c r="Q1223" s="14"/>
      <c r="R1223" s="52"/>
    </row>
    <row r="1224" spans="14:18" x14ac:dyDescent="0.2">
      <c r="N1224" s="14"/>
      <c r="O1224" s="14"/>
      <c r="P1224" s="14"/>
      <c r="Q1224" s="14"/>
      <c r="R1224" s="52"/>
    </row>
    <row r="1225" spans="14:18" x14ac:dyDescent="0.2">
      <c r="N1225" s="14"/>
      <c r="O1225" s="14"/>
      <c r="P1225" s="14"/>
      <c r="Q1225" s="14"/>
      <c r="R1225" s="52"/>
    </row>
    <row r="1226" spans="14:18" x14ac:dyDescent="0.2">
      <c r="N1226" s="14"/>
      <c r="O1226" s="14"/>
      <c r="P1226" s="14"/>
      <c r="Q1226" s="14"/>
      <c r="R1226" s="52"/>
    </row>
    <row r="1227" spans="14:18" x14ac:dyDescent="0.2">
      <c r="N1227" s="14"/>
      <c r="O1227" s="14"/>
      <c r="P1227" s="14"/>
      <c r="Q1227" s="14"/>
      <c r="R1227" s="52"/>
    </row>
    <row r="1228" spans="14:18" x14ac:dyDescent="0.2">
      <c r="N1228" s="14"/>
      <c r="O1228" s="14"/>
      <c r="P1228" s="14"/>
      <c r="Q1228" s="14"/>
      <c r="R1228" s="52"/>
    </row>
    <row r="1229" spans="14:18" x14ac:dyDescent="0.2">
      <c r="N1229" s="14"/>
      <c r="O1229" s="14"/>
      <c r="P1229" s="14"/>
      <c r="Q1229" s="14"/>
      <c r="R1229" s="52"/>
    </row>
    <row r="1230" spans="14:18" x14ac:dyDescent="0.2">
      <c r="N1230" s="14"/>
      <c r="O1230" s="14"/>
      <c r="P1230" s="14"/>
      <c r="Q1230" s="14"/>
      <c r="R1230" s="52"/>
    </row>
    <row r="1231" spans="14:18" x14ac:dyDescent="0.2">
      <c r="N1231" s="14"/>
      <c r="O1231" s="14"/>
      <c r="P1231" s="14"/>
      <c r="Q1231" s="14"/>
      <c r="R1231" s="52"/>
    </row>
    <row r="1232" spans="14:18" x14ac:dyDescent="0.2">
      <c r="N1232" s="14"/>
      <c r="O1232" s="14"/>
      <c r="P1232" s="14"/>
      <c r="Q1232" s="14"/>
      <c r="R1232" s="52"/>
    </row>
    <row r="1233" spans="14:18" x14ac:dyDescent="0.2">
      <c r="N1233" s="14"/>
      <c r="O1233" s="14"/>
      <c r="P1233" s="14"/>
      <c r="Q1233" s="14"/>
      <c r="R1233" s="52"/>
    </row>
    <row r="1234" spans="14:18" x14ac:dyDescent="0.2">
      <c r="N1234" s="14"/>
      <c r="O1234" s="14"/>
      <c r="P1234" s="14"/>
      <c r="Q1234" s="14"/>
      <c r="R1234" s="52"/>
    </row>
    <row r="1235" spans="14:18" x14ac:dyDescent="0.2">
      <c r="N1235" s="14"/>
      <c r="O1235" s="14"/>
      <c r="P1235" s="14"/>
      <c r="Q1235" s="14"/>
      <c r="R1235" s="52"/>
    </row>
    <row r="1236" spans="14:18" x14ac:dyDescent="0.2">
      <c r="N1236" s="14"/>
      <c r="O1236" s="14"/>
      <c r="P1236" s="14"/>
      <c r="Q1236" s="14"/>
      <c r="R1236" s="52"/>
    </row>
    <row r="1237" spans="14:18" x14ac:dyDescent="0.2">
      <c r="N1237" s="14"/>
      <c r="O1237" s="14"/>
      <c r="P1237" s="14"/>
      <c r="Q1237" s="14"/>
      <c r="R1237" s="52"/>
    </row>
    <row r="1238" spans="14:18" x14ac:dyDescent="0.2">
      <c r="N1238" s="14"/>
      <c r="O1238" s="14"/>
      <c r="P1238" s="14"/>
      <c r="Q1238" s="14"/>
      <c r="R1238" s="52"/>
    </row>
    <row r="1239" spans="14:18" x14ac:dyDescent="0.2">
      <c r="N1239" s="14"/>
      <c r="O1239" s="14"/>
      <c r="P1239" s="14"/>
      <c r="Q1239" s="14"/>
      <c r="R1239" s="52"/>
    </row>
    <row r="1240" spans="14:18" x14ac:dyDescent="0.2">
      <c r="N1240" s="14"/>
      <c r="O1240" s="14"/>
      <c r="P1240" s="14"/>
      <c r="Q1240" s="14"/>
      <c r="R1240" s="52"/>
    </row>
    <row r="1241" spans="14:18" x14ac:dyDescent="0.2">
      <c r="N1241" s="14"/>
      <c r="O1241" s="14"/>
      <c r="P1241" s="14"/>
      <c r="Q1241" s="14"/>
      <c r="R1241" s="52"/>
    </row>
    <row r="1242" spans="14:18" x14ac:dyDescent="0.2">
      <c r="N1242" s="14"/>
      <c r="O1242" s="14"/>
      <c r="P1242" s="14"/>
      <c r="Q1242" s="14"/>
      <c r="R1242" s="52"/>
    </row>
    <row r="1243" spans="14:18" x14ac:dyDescent="0.2">
      <c r="N1243" s="14"/>
      <c r="O1243" s="14"/>
      <c r="P1243" s="14"/>
      <c r="Q1243" s="14"/>
      <c r="R1243" s="52"/>
    </row>
    <row r="1244" spans="14:18" x14ac:dyDescent="0.2">
      <c r="N1244" s="14"/>
      <c r="O1244" s="14"/>
      <c r="P1244" s="14"/>
      <c r="Q1244" s="14"/>
      <c r="R1244" s="52"/>
    </row>
    <row r="1245" spans="14:18" x14ac:dyDescent="0.2">
      <c r="N1245" s="14"/>
      <c r="O1245" s="14"/>
      <c r="P1245" s="14"/>
      <c r="Q1245" s="14"/>
      <c r="R1245" s="52"/>
    </row>
    <row r="1246" spans="14:18" x14ac:dyDescent="0.2">
      <c r="N1246" s="14"/>
      <c r="O1246" s="14"/>
      <c r="P1246" s="14"/>
      <c r="Q1246" s="14"/>
      <c r="R1246" s="52"/>
    </row>
    <row r="1247" spans="14:18" x14ac:dyDescent="0.2">
      <c r="N1247" s="14"/>
      <c r="O1247" s="14"/>
      <c r="P1247" s="14"/>
      <c r="Q1247" s="14"/>
      <c r="R1247" s="52"/>
    </row>
    <row r="1248" spans="14:18" x14ac:dyDescent="0.2">
      <c r="N1248" s="14"/>
      <c r="O1248" s="14"/>
      <c r="P1248" s="14"/>
      <c r="Q1248" s="14"/>
      <c r="R1248" s="52"/>
    </row>
    <row r="1249" spans="14:18" x14ac:dyDescent="0.2">
      <c r="N1249" s="14"/>
      <c r="O1249" s="14"/>
      <c r="P1249" s="14"/>
      <c r="Q1249" s="14"/>
      <c r="R1249" s="52"/>
    </row>
    <row r="1250" spans="14:18" x14ac:dyDescent="0.2">
      <c r="N1250" s="14"/>
      <c r="O1250" s="14"/>
      <c r="P1250" s="14"/>
      <c r="Q1250" s="14"/>
      <c r="R1250" s="52"/>
    </row>
    <row r="1251" spans="14:18" x14ac:dyDescent="0.2">
      <c r="N1251" s="14"/>
      <c r="O1251" s="14"/>
      <c r="P1251" s="14"/>
      <c r="Q1251" s="14"/>
      <c r="R1251" s="52"/>
    </row>
    <row r="1252" spans="14:18" x14ac:dyDescent="0.2">
      <c r="N1252" s="14"/>
      <c r="O1252" s="14"/>
      <c r="P1252" s="14"/>
      <c r="Q1252" s="14"/>
      <c r="R1252" s="52"/>
    </row>
    <row r="1253" spans="14:18" x14ac:dyDescent="0.2">
      <c r="N1253" s="14"/>
      <c r="O1253" s="14"/>
      <c r="P1253" s="14"/>
      <c r="Q1253" s="14"/>
      <c r="R1253" s="52"/>
    </row>
    <row r="1254" spans="14:18" x14ac:dyDescent="0.2">
      <c r="N1254" s="14"/>
      <c r="O1254" s="14"/>
      <c r="P1254" s="14"/>
      <c r="Q1254" s="14"/>
      <c r="R1254" s="52"/>
    </row>
    <row r="1255" spans="14:18" x14ac:dyDescent="0.2">
      <c r="N1255" s="14"/>
      <c r="O1255" s="14"/>
      <c r="P1255" s="14"/>
      <c r="Q1255" s="14"/>
      <c r="R1255" s="52"/>
    </row>
    <row r="1256" spans="14:18" x14ac:dyDescent="0.2">
      <c r="N1256" s="14"/>
      <c r="O1256" s="14"/>
      <c r="P1256" s="14"/>
      <c r="Q1256" s="14"/>
      <c r="R1256" s="52"/>
    </row>
    <row r="1257" spans="14:18" x14ac:dyDescent="0.2">
      <c r="N1257" s="14"/>
      <c r="O1257" s="14"/>
      <c r="P1257" s="14"/>
      <c r="Q1257" s="14"/>
      <c r="R1257" s="52"/>
    </row>
    <row r="1258" spans="14:18" x14ac:dyDescent="0.2">
      <c r="N1258" s="14"/>
      <c r="O1258" s="14"/>
      <c r="P1258" s="14"/>
      <c r="Q1258" s="14"/>
      <c r="R1258" s="52"/>
    </row>
    <row r="1259" spans="14:18" x14ac:dyDescent="0.2">
      <c r="N1259" s="14"/>
      <c r="O1259" s="14"/>
      <c r="P1259" s="14"/>
      <c r="Q1259" s="14"/>
      <c r="R1259" s="52"/>
    </row>
    <row r="1260" spans="14:18" x14ac:dyDescent="0.2">
      <c r="N1260" s="14"/>
      <c r="O1260" s="14"/>
      <c r="P1260" s="14"/>
      <c r="Q1260" s="14"/>
      <c r="R1260" s="52"/>
    </row>
    <row r="1261" spans="14:18" x14ac:dyDescent="0.2">
      <c r="N1261" s="14"/>
      <c r="O1261" s="14"/>
      <c r="P1261" s="14"/>
      <c r="Q1261" s="14"/>
      <c r="R1261" s="52"/>
    </row>
    <row r="1262" spans="14:18" x14ac:dyDescent="0.2">
      <c r="N1262" s="14"/>
      <c r="O1262" s="14"/>
      <c r="P1262" s="14"/>
      <c r="Q1262" s="14"/>
      <c r="R1262" s="52"/>
    </row>
    <row r="1263" spans="14:18" x14ac:dyDescent="0.2">
      <c r="N1263" s="14"/>
      <c r="O1263" s="14"/>
      <c r="P1263" s="14"/>
      <c r="Q1263" s="14"/>
      <c r="R1263" s="52"/>
    </row>
    <row r="1264" spans="14:18" x14ac:dyDescent="0.2">
      <c r="N1264" s="14"/>
      <c r="O1264" s="14"/>
      <c r="P1264" s="14"/>
      <c r="Q1264" s="14"/>
      <c r="R1264" s="52"/>
    </row>
    <row r="1265" spans="14:18" x14ac:dyDescent="0.2">
      <c r="N1265" s="14"/>
      <c r="O1265" s="14"/>
      <c r="P1265" s="14"/>
      <c r="Q1265" s="14"/>
      <c r="R1265" s="52"/>
    </row>
    <row r="1266" spans="14:18" x14ac:dyDescent="0.2">
      <c r="N1266" s="14"/>
      <c r="O1266" s="14"/>
      <c r="P1266" s="14"/>
      <c r="Q1266" s="14"/>
      <c r="R1266" s="52"/>
    </row>
    <row r="1267" spans="14:18" x14ac:dyDescent="0.2">
      <c r="N1267" s="14"/>
      <c r="O1267" s="14"/>
      <c r="P1267" s="14"/>
      <c r="Q1267" s="14"/>
      <c r="R1267" s="52"/>
    </row>
    <row r="1268" spans="14:18" x14ac:dyDescent="0.2">
      <c r="N1268" s="14"/>
      <c r="O1268" s="14"/>
      <c r="P1268" s="14"/>
      <c r="Q1268" s="14"/>
      <c r="R1268" s="52"/>
    </row>
    <row r="1269" spans="14:18" x14ac:dyDescent="0.2">
      <c r="N1269" s="14"/>
      <c r="O1269" s="14"/>
      <c r="P1269" s="14"/>
      <c r="Q1269" s="14"/>
      <c r="R1269" s="52"/>
    </row>
    <row r="1270" spans="14:18" x14ac:dyDescent="0.2">
      <c r="N1270" s="14"/>
      <c r="O1270" s="14"/>
      <c r="P1270" s="14"/>
      <c r="Q1270" s="14"/>
      <c r="R1270" s="52"/>
    </row>
    <row r="1271" spans="14:18" x14ac:dyDescent="0.2">
      <c r="N1271" s="14"/>
      <c r="O1271" s="14"/>
      <c r="P1271" s="14"/>
      <c r="Q1271" s="14"/>
      <c r="R1271" s="52"/>
    </row>
    <row r="1272" spans="14:18" x14ac:dyDescent="0.2">
      <c r="N1272" s="14"/>
      <c r="O1272" s="14"/>
      <c r="P1272" s="14"/>
      <c r="Q1272" s="14"/>
      <c r="R1272" s="52"/>
    </row>
    <row r="1273" spans="14:18" x14ac:dyDescent="0.2">
      <c r="N1273" s="14"/>
      <c r="O1273" s="14"/>
      <c r="P1273" s="14"/>
      <c r="Q1273" s="14"/>
      <c r="R1273" s="52"/>
    </row>
    <row r="1274" spans="14:18" x14ac:dyDescent="0.2">
      <c r="N1274" s="14"/>
      <c r="O1274" s="14"/>
      <c r="P1274" s="14"/>
      <c r="Q1274" s="14"/>
      <c r="R1274" s="52"/>
    </row>
    <row r="1275" spans="14:18" x14ac:dyDescent="0.2">
      <c r="N1275" s="14"/>
      <c r="O1275" s="14"/>
      <c r="P1275" s="14"/>
      <c r="Q1275" s="14"/>
      <c r="R1275" s="52"/>
    </row>
    <row r="1276" spans="14:18" x14ac:dyDescent="0.2">
      <c r="N1276" s="14"/>
      <c r="O1276" s="14"/>
      <c r="P1276" s="14"/>
      <c r="Q1276" s="14"/>
      <c r="R1276" s="52"/>
    </row>
    <row r="1277" spans="14:18" x14ac:dyDescent="0.2">
      <c r="N1277" s="14"/>
      <c r="O1277" s="14"/>
      <c r="P1277" s="14"/>
      <c r="Q1277" s="14"/>
      <c r="R1277" s="52"/>
    </row>
    <row r="1278" spans="14:18" x14ac:dyDescent="0.2">
      <c r="N1278" s="14"/>
      <c r="O1278" s="14"/>
      <c r="P1278" s="14"/>
      <c r="Q1278" s="14"/>
      <c r="R1278" s="52"/>
    </row>
    <row r="1279" spans="14:18" x14ac:dyDescent="0.2">
      <c r="N1279" s="14"/>
      <c r="O1279" s="14"/>
      <c r="P1279" s="14"/>
      <c r="Q1279" s="14"/>
      <c r="R1279" s="52"/>
    </row>
    <row r="1280" spans="14:18" x14ac:dyDescent="0.2">
      <c r="N1280" s="14"/>
      <c r="O1280" s="14"/>
      <c r="P1280" s="14"/>
      <c r="Q1280" s="14"/>
      <c r="R1280" s="52"/>
    </row>
    <row r="1281" spans="14:18" x14ac:dyDescent="0.2">
      <c r="N1281" s="14"/>
      <c r="O1281" s="14"/>
      <c r="P1281" s="14"/>
      <c r="Q1281" s="14"/>
      <c r="R1281" s="52"/>
    </row>
    <row r="1282" spans="14:18" x14ac:dyDescent="0.2">
      <c r="N1282" s="14"/>
      <c r="O1282" s="14"/>
      <c r="P1282" s="14"/>
      <c r="Q1282" s="14"/>
      <c r="R1282" s="52"/>
    </row>
    <row r="1283" spans="14:18" x14ac:dyDescent="0.2">
      <c r="N1283" s="14"/>
      <c r="O1283" s="14"/>
      <c r="P1283" s="14"/>
      <c r="Q1283" s="14"/>
      <c r="R1283" s="52"/>
    </row>
    <row r="1284" spans="14:18" x14ac:dyDescent="0.2">
      <c r="N1284" s="14"/>
      <c r="O1284" s="14"/>
      <c r="P1284" s="14"/>
      <c r="Q1284" s="14"/>
      <c r="R1284" s="52"/>
    </row>
    <row r="1285" spans="14:18" x14ac:dyDescent="0.2">
      <c r="N1285" s="14"/>
      <c r="O1285" s="14"/>
      <c r="P1285" s="14"/>
      <c r="Q1285" s="14"/>
      <c r="R1285" s="52"/>
    </row>
    <row r="1286" spans="14:18" x14ac:dyDescent="0.2">
      <c r="N1286" s="14"/>
      <c r="O1286" s="14"/>
      <c r="P1286" s="14"/>
      <c r="Q1286" s="14"/>
      <c r="R1286" s="52"/>
    </row>
    <row r="1287" spans="14:18" x14ac:dyDescent="0.2">
      <c r="N1287" s="14"/>
      <c r="O1287" s="14"/>
      <c r="P1287" s="14"/>
      <c r="Q1287" s="14"/>
      <c r="R1287" s="52"/>
    </row>
    <row r="1288" spans="14:18" x14ac:dyDescent="0.2">
      <c r="N1288" s="14"/>
      <c r="O1288" s="14"/>
      <c r="P1288" s="14"/>
      <c r="Q1288" s="14"/>
      <c r="R1288" s="52"/>
    </row>
    <row r="1289" spans="14:18" x14ac:dyDescent="0.2">
      <c r="N1289" s="14"/>
      <c r="O1289" s="14"/>
      <c r="P1289" s="14"/>
      <c r="Q1289" s="14"/>
      <c r="R1289" s="52"/>
    </row>
    <row r="1290" spans="14:18" x14ac:dyDescent="0.2">
      <c r="N1290" s="14"/>
      <c r="O1290" s="14"/>
      <c r="P1290" s="14"/>
      <c r="Q1290" s="14"/>
      <c r="R1290" s="52"/>
    </row>
    <row r="1291" spans="14:18" x14ac:dyDescent="0.2">
      <c r="N1291" s="14"/>
      <c r="O1291" s="14"/>
      <c r="P1291" s="14"/>
      <c r="Q1291" s="14"/>
      <c r="R1291" s="52"/>
    </row>
    <row r="1292" spans="14:18" x14ac:dyDescent="0.2">
      <c r="N1292" s="14"/>
      <c r="O1292" s="14"/>
      <c r="P1292" s="14"/>
      <c r="Q1292" s="14"/>
      <c r="R1292" s="52"/>
    </row>
    <row r="1293" spans="14:18" x14ac:dyDescent="0.2">
      <c r="N1293" s="14"/>
      <c r="O1293" s="14"/>
      <c r="P1293" s="14"/>
      <c r="Q1293" s="14"/>
      <c r="R1293" s="52"/>
    </row>
    <row r="1294" spans="14:18" x14ac:dyDescent="0.2">
      <c r="N1294" s="14"/>
      <c r="O1294" s="14"/>
      <c r="P1294" s="14"/>
      <c r="Q1294" s="14"/>
      <c r="R1294" s="52"/>
    </row>
    <row r="1295" spans="14:18" x14ac:dyDescent="0.2">
      <c r="N1295" s="14"/>
      <c r="O1295" s="14"/>
      <c r="P1295" s="14"/>
      <c r="Q1295" s="14"/>
      <c r="R1295" s="52"/>
    </row>
    <row r="1296" spans="14:18" x14ac:dyDescent="0.2">
      <c r="N1296" s="14"/>
      <c r="O1296" s="14"/>
      <c r="P1296" s="14"/>
      <c r="Q1296" s="14"/>
      <c r="R1296" s="52"/>
    </row>
    <row r="1297" spans="14:18" x14ac:dyDescent="0.2">
      <c r="N1297" s="14"/>
      <c r="O1297" s="14"/>
      <c r="P1297" s="14"/>
      <c r="Q1297" s="14"/>
      <c r="R1297" s="52"/>
    </row>
    <row r="1298" spans="14:18" x14ac:dyDescent="0.2">
      <c r="N1298" s="14"/>
      <c r="O1298" s="14"/>
      <c r="P1298" s="14"/>
      <c r="Q1298" s="14"/>
      <c r="R1298" s="52"/>
    </row>
    <row r="1299" spans="14:18" x14ac:dyDescent="0.2">
      <c r="N1299" s="14"/>
      <c r="O1299" s="14"/>
      <c r="P1299" s="14"/>
      <c r="Q1299" s="14"/>
      <c r="R1299" s="52"/>
    </row>
    <row r="1300" spans="14:18" x14ac:dyDescent="0.2">
      <c r="N1300" s="14"/>
      <c r="O1300" s="14"/>
      <c r="P1300" s="14"/>
      <c r="Q1300" s="14"/>
      <c r="R1300" s="52"/>
    </row>
    <row r="1301" spans="14:18" x14ac:dyDescent="0.2">
      <c r="N1301" s="14"/>
      <c r="O1301" s="14"/>
      <c r="P1301" s="14"/>
      <c r="Q1301" s="14"/>
      <c r="R1301" s="52"/>
    </row>
    <row r="1302" spans="14:18" x14ac:dyDescent="0.2">
      <c r="N1302" s="14"/>
      <c r="O1302" s="14"/>
      <c r="P1302" s="14"/>
      <c r="Q1302" s="14"/>
      <c r="R1302" s="52"/>
    </row>
    <row r="1303" spans="14:18" x14ac:dyDescent="0.2">
      <c r="N1303" s="14"/>
      <c r="O1303" s="14"/>
      <c r="P1303" s="14"/>
      <c r="Q1303" s="14"/>
      <c r="R1303" s="52"/>
    </row>
    <row r="1304" spans="14:18" x14ac:dyDescent="0.2">
      <c r="N1304" s="14"/>
      <c r="O1304" s="14"/>
      <c r="P1304" s="14"/>
      <c r="Q1304" s="14"/>
      <c r="R1304" s="52"/>
    </row>
    <row r="1305" spans="14:18" x14ac:dyDescent="0.2">
      <c r="N1305" s="14"/>
      <c r="O1305" s="14"/>
      <c r="P1305" s="14"/>
      <c r="Q1305" s="14"/>
      <c r="R1305" s="52"/>
    </row>
    <row r="1306" spans="14:18" x14ac:dyDescent="0.2">
      <c r="N1306" s="14"/>
      <c r="O1306" s="14"/>
      <c r="P1306" s="14"/>
      <c r="Q1306" s="14"/>
      <c r="R1306" s="52"/>
    </row>
    <row r="1307" spans="14:18" x14ac:dyDescent="0.2">
      <c r="N1307" s="14"/>
      <c r="O1307" s="14"/>
      <c r="P1307" s="14"/>
      <c r="Q1307" s="14"/>
      <c r="R1307" s="52"/>
    </row>
    <row r="1308" spans="14:18" x14ac:dyDescent="0.2">
      <c r="N1308" s="14"/>
      <c r="O1308" s="14"/>
      <c r="P1308" s="14"/>
      <c r="Q1308" s="14"/>
      <c r="R1308" s="52"/>
    </row>
    <row r="1309" spans="14:18" x14ac:dyDescent="0.2">
      <c r="N1309" s="14"/>
      <c r="O1309" s="14"/>
      <c r="P1309" s="14"/>
      <c r="Q1309" s="14"/>
      <c r="R1309" s="52"/>
    </row>
    <row r="1310" spans="14:18" x14ac:dyDescent="0.2">
      <c r="N1310" s="14"/>
      <c r="O1310" s="14"/>
      <c r="P1310" s="14"/>
      <c r="Q1310" s="14"/>
      <c r="R1310" s="52"/>
    </row>
    <row r="1311" spans="14:18" x14ac:dyDescent="0.2">
      <c r="N1311" s="14"/>
      <c r="O1311" s="14"/>
      <c r="P1311" s="14"/>
      <c r="Q1311" s="14"/>
      <c r="R1311" s="52"/>
    </row>
    <row r="1312" spans="14:18" x14ac:dyDescent="0.2">
      <c r="N1312" s="14"/>
      <c r="O1312" s="14"/>
      <c r="P1312" s="14"/>
      <c r="Q1312" s="14"/>
      <c r="R1312" s="52"/>
    </row>
    <row r="1313" spans="14:18" x14ac:dyDescent="0.2">
      <c r="N1313" s="14"/>
      <c r="O1313" s="14"/>
      <c r="P1313" s="14"/>
      <c r="Q1313" s="14"/>
      <c r="R1313" s="52"/>
    </row>
    <row r="1314" spans="14:18" x14ac:dyDescent="0.2">
      <c r="N1314" s="14"/>
      <c r="O1314" s="14"/>
      <c r="P1314" s="14"/>
      <c r="Q1314" s="14"/>
      <c r="R1314" s="52"/>
    </row>
    <row r="1315" spans="14:18" x14ac:dyDescent="0.2">
      <c r="N1315" s="14"/>
      <c r="O1315" s="14"/>
      <c r="P1315" s="14"/>
      <c r="Q1315" s="14"/>
      <c r="R1315" s="52"/>
    </row>
    <row r="1316" spans="14:18" x14ac:dyDescent="0.2">
      <c r="N1316" s="14"/>
      <c r="O1316" s="14"/>
      <c r="P1316" s="14"/>
      <c r="Q1316" s="14"/>
      <c r="R1316" s="52"/>
    </row>
    <row r="1317" spans="14:18" x14ac:dyDescent="0.2">
      <c r="N1317" s="14"/>
      <c r="O1317" s="14"/>
      <c r="P1317" s="14"/>
      <c r="Q1317" s="14"/>
      <c r="R1317" s="52"/>
    </row>
    <row r="1318" spans="14:18" x14ac:dyDescent="0.2">
      <c r="N1318" s="14"/>
      <c r="O1318" s="14"/>
      <c r="P1318" s="14"/>
      <c r="Q1318" s="14"/>
      <c r="R1318" s="52"/>
    </row>
    <row r="1319" spans="14:18" x14ac:dyDescent="0.2">
      <c r="N1319" s="14"/>
      <c r="O1319" s="14"/>
      <c r="P1319" s="14"/>
      <c r="Q1319" s="14"/>
      <c r="R1319" s="52"/>
    </row>
    <row r="1320" spans="14:18" x14ac:dyDescent="0.2">
      <c r="N1320" s="14"/>
      <c r="O1320" s="14"/>
      <c r="P1320" s="14"/>
      <c r="Q1320" s="14"/>
      <c r="R1320" s="52"/>
    </row>
    <row r="1321" spans="14:18" x14ac:dyDescent="0.2">
      <c r="N1321" s="14"/>
      <c r="O1321" s="14"/>
      <c r="P1321" s="14"/>
      <c r="Q1321" s="14"/>
      <c r="R1321" s="52"/>
    </row>
    <row r="1322" spans="14:18" x14ac:dyDescent="0.2">
      <c r="N1322" s="14"/>
      <c r="O1322" s="14"/>
      <c r="P1322" s="14"/>
      <c r="Q1322" s="14"/>
      <c r="R1322" s="52"/>
    </row>
    <row r="1323" spans="14:18" x14ac:dyDescent="0.2">
      <c r="N1323" s="14"/>
      <c r="O1323" s="14"/>
      <c r="P1323" s="14"/>
      <c r="Q1323" s="14"/>
      <c r="R1323" s="52"/>
    </row>
    <row r="1324" spans="14:18" x14ac:dyDescent="0.2">
      <c r="N1324" s="14"/>
      <c r="O1324" s="14"/>
      <c r="P1324" s="14"/>
      <c r="Q1324" s="14"/>
      <c r="R1324" s="52"/>
    </row>
    <row r="1325" spans="14:18" x14ac:dyDescent="0.2">
      <c r="N1325" s="14"/>
      <c r="O1325" s="14"/>
      <c r="P1325" s="14"/>
      <c r="Q1325" s="14"/>
      <c r="R1325" s="52"/>
    </row>
    <row r="1326" spans="14:18" x14ac:dyDescent="0.2">
      <c r="N1326" s="14"/>
      <c r="O1326" s="14"/>
      <c r="P1326" s="14"/>
      <c r="Q1326" s="14"/>
      <c r="R1326" s="52"/>
    </row>
    <row r="1327" spans="14:18" x14ac:dyDescent="0.2">
      <c r="N1327" s="14"/>
      <c r="O1327" s="14"/>
      <c r="P1327" s="14"/>
      <c r="Q1327" s="14"/>
      <c r="R1327" s="52"/>
    </row>
    <row r="1328" spans="14:18" x14ac:dyDescent="0.2">
      <c r="N1328" s="14"/>
      <c r="O1328" s="14"/>
      <c r="P1328" s="14"/>
      <c r="Q1328" s="14"/>
      <c r="R1328" s="52"/>
    </row>
    <row r="1329" spans="14:18" x14ac:dyDescent="0.2">
      <c r="N1329" s="14"/>
      <c r="O1329" s="14"/>
      <c r="P1329" s="14"/>
      <c r="Q1329" s="14"/>
      <c r="R1329" s="52"/>
    </row>
    <row r="1330" spans="14:18" x14ac:dyDescent="0.2">
      <c r="N1330" s="14"/>
      <c r="O1330" s="14"/>
      <c r="P1330" s="14"/>
      <c r="Q1330" s="14"/>
      <c r="R1330" s="52"/>
    </row>
    <row r="1331" spans="14:18" x14ac:dyDescent="0.2">
      <c r="N1331" s="14"/>
      <c r="O1331" s="14"/>
      <c r="P1331" s="14"/>
      <c r="Q1331" s="14"/>
      <c r="R1331" s="52"/>
    </row>
    <row r="1332" spans="14:18" x14ac:dyDescent="0.2">
      <c r="N1332" s="14"/>
      <c r="O1332" s="14"/>
      <c r="P1332" s="14"/>
      <c r="Q1332" s="14"/>
      <c r="R1332" s="52"/>
    </row>
    <row r="1333" spans="14:18" x14ac:dyDescent="0.2">
      <c r="N1333" s="14"/>
      <c r="O1333" s="14"/>
      <c r="P1333" s="14"/>
      <c r="Q1333" s="14"/>
      <c r="R1333" s="52"/>
    </row>
    <row r="1334" spans="14:18" x14ac:dyDescent="0.2">
      <c r="N1334" s="14"/>
      <c r="O1334" s="14"/>
      <c r="P1334" s="14"/>
      <c r="Q1334" s="14"/>
      <c r="R1334" s="52"/>
    </row>
    <row r="1335" spans="14:18" x14ac:dyDescent="0.2">
      <c r="N1335" s="14"/>
      <c r="O1335" s="14"/>
      <c r="P1335" s="14"/>
      <c r="Q1335" s="14"/>
      <c r="R1335" s="52"/>
    </row>
    <row r="1336" spans="14:18" x14ac:dyDescent="0.2">
      <c r="N1336" s="14"/>
      <c r="O1336" s="14"/>
      <c r="P1336" s="14"/>
      <c r="Q1336" s="14"/>
      <c r="R1336" s="52"/>
    </row>
    <row r="1337" spans="14:18" x14ac:dyDescent="0.2">
      <c r="N1337" s="14"/>
      <c r="O1337" s="14"/>
      <c r="P1337" s="14"/>
      <c r="Q1337" s="14"/>
      <c r="R1337" s="52"/>
    </row>
    <row r="1338" spans="14:18" x14ac:dyDescent="0.2">
      <c r="N1338" s="14"/>
      <c r="O1338" s="14"/>
      <c r="P1338" s="14"/>
      <c r="Q1338" s="14"/>
      <c r="R1338" s="52"/>
    </row>
    <row r="1339" spans="14:18" x14ac:dyDescent="0.2">
      <c r="N1339" s="14"/>
      <c r="O1339" s="14"/>
      <c r="P1339" s="14"/>
      <c r="Q1339" s="14"/>
      <c r="R1339" s="52"/>
    </row>
    <row r="1340" spans="14:18" x14ac:dyDescent="0.2">
      <c r="N1340" s="14"/>
      <c r="O1340" s="14"/>
      <c r="P1340" s="14"/>
      <c r="Q1340" s="14"/>
      <c r="R1340" s="52"/>
    </row>
    <row r="1341" spans="14:18" x14ac:dyDescent="0.2">
      <c r="N1341" s="14"/>
      <c r="O1341" s="14"/>
      <c r="P1341" s="14"/>
      <c r="Q1341" s="14"/>
      <c r="R1341" s="52"/>
    </row>
    <row r="1342" spans="14:18" x14ac:dyDescent="0.2">
      <c r="N1342" s="14"/>
      <c r="O1342" s="14"/>
      <c r="P1342" s="14"/>
      <c r="Q1342" s="14"/>
      <c r="R1342" s="52"/>
    </row>
    <row r="1343" spans="14:18" x14ac:dyDescent="0.2">
      <c r="N1343" s="14"/>
      <c r="O1343" s="14"/>
      <c r="P1343" s="14"/>
      <c r="Q1343" s="14"/>
      <c r="R1343" s="52"/>
    </row>
    <row r="1344" spans="14:18" x14ac:dyDescent="0.2">
      <c r="N1344" s="14"/>
      <c r="O1344" s="14"/>
      <c r="P1344" s="14"/>
      <c r="Q1344" s="14"/>
      <c r="R1344" s="52"/>
    </row>
    <row r="1345" spans="14:18" x14ac:dyDescent="0.2">
      <c r="N1345" s="14"/>
      <c r="O1345" s="14"/>
      <c r="P1345" s="14"/>
      <c r="Q1345" s="14"/>
      <c r="R1345" s="52"/>
    </row>
    <row r="1346" spans="14:18" x14ac:dyDescent="0.2">
      <c r="N1346" s="14"/>
      <c r="O1346" s="14"/>
      <c r="P1346" s="14"/>
      <c r="Q1346" s="14"/>
      <c r="R1346" s="52"/>
    </row>
    <row r="1347" spans="14:18" x14ac:dyDescent="0.2">
      <c r="N1347" s="14"/>
      <c r="O1347" s="14"/>
      <c r="P1347" s="14"/>
      <c r="Q1347" s="14"/>
      <c r="R1347" s="52"/>
    </row>
    <row r="1348" spans="14:18" x14ac:dyDescent="0.2">
      <c r="N1348" s="14"/>
      <c r="O1348" s="14"/>
      <c r="P1348" s="14"/>
      <c r="Q1348" s="14"/>
      <c r="R1348" s="52"/>
    </row>
    <row r="1349" spans="14:18" x14ac:dyDescent="0.2">
      <c r="N1349" s="14"/>
      <c r="O1349" s="14"/>
      <c r="P1349" s="14"/>
      <c r="Q1349" s="14"/>
      <c r="R1349" s="52"/>
    </row>
  </sheetData>
  <dataConsolidate/>
  <mergeCells count="1">
    <mergeCell ref="Q1:R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2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2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2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2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2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2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2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2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2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2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2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2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2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2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2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2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2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2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2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2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2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2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2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2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2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2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2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2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2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2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2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2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2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2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2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2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2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2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2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2023-09-03T00:19:40Z</dcterms:modified>
</cp:coreProperties>
</file>