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594B2ED6-AAD3-42CE-9ED2-BF5107EFCE90}" xr6:coauthVersionLast="47" xr6:coauthVersionMax="47" xr10:uidLastSave="{00000000-0000-0000-0000-000000000000}"/>
  <bookViews>
    <workbookView xWindow="55995" yWindow="2190" windowWidth="25395" windowHeight="16665" activeTab="1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Gig" sheetId="6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0" l="1"/>
  <c r="F15" i="10"/>
  <c r="E15" i="10"/>
  <c r="H15" i="10"/>
  <c r="H13" i="10" l="1"/>
  <c r="E13" i="10" s="1"/>
  <c r="F13" i="10"/>
  <c r="H12" i="10"/>
  <c r="F12" i="10"/>
  <c r="E12" i="10"/>
  <c r="G12" i="10" s="1"/>
  <c r="H11" i="10"/>
  <c r="E11" i="10" s="1"/>
  <c r="F11" i="10"/>
  <c r="H10" i="10"/>
  <c r="F10" i="10"/>
  <c r="E10" i="10"/>
  <c r="G10" i="10" l="1"/>
  <c r="G11" i="10"/>
  <c r="G13" i="10"/>
  <c r="H8" i="1"/>
  <c r="E8" i="1" s="1"/>
  <c r="F5" i="8" l="1"/>
  <c r="E5" i="8"/>
  <c r="H8" i="10"/>
  <c r="E8" i="10" s="1"/>
  <c r="F8" i="10"/>
  <c r="F7" i="10"/>
  <c r="E7" i="10"/>
  <c r="F6" i="10"/>
  <c r="E6" i="10"/>
  <c r="F5" i="10"/>
  <c r="E5" i="10"/>
  <c r="F9" i="1"/>
  <c r="E9" i="1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G8" i="10"/>
  <c r="G5" i="8"/>
  <c r="G9" i="1"/>
  <c r="G4" i="10"/>
  <c r="S3" i="10"/>
  <c r="R3" i="10"/>
  <c r="Q3" i="10"/>
  <c r="P3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O7" i="1"/>
  <c r="N7" i="1"/>
  <c r="M7" i="1"/>
  <c r="G3" i="9" l="1"/>
  <c r="G4" i="9"/>
  <c r="K7" i="1"/>
  <c r="L7" i="1" s="1"/>
  <c r="F4" i="5" l="1" a="1"/>
  <c r="F4" i="5" s="1"/>
  <c r="G4" i="5" s="1"/>
  <c r="E4" i="5"/>
  <c r="F10" i="5"/>
  <c r="E10" i="5"/>
  <c r="F34" i="1"/>
  <c r="H34" i="1"/>
  <c r="E34" i="1" s="1"/>
  <c r="F25" i="1"/>
  <c r="H25" i="1"/>
  <c r="E25" i="1" s="1"/>
  <c r="F21" i="1"/>
  <c r="H21" i="1"/>
  <c r="E21" i="1" s="1"/>
  <c r="F24" i="1"/>
  <c r="H24" i="1"/>
  <c r="E24" i="1" s="1"/>
  <c r="E9" i="8" a="1"/>
  <c r="E9" i="8" s="1"/>
  <c r="F4" i="8"/>
  <c r="E4" i="8"/>
  <c r="H3" i="8"/>
  <c r="F3" i="8"/>
  <c r="E3" i="8"/>
  <c r="T6" i="1"/>
  <c r="V5" i="1"/>
  <c r="U5" i="1"/>
  <c r="T5" i="1"/>
  <c r="F15" i="1"/>
  <c r="H15" i="1"/>
  <c r="E15" i="1" s="1"/>
  <c r="G10" i="5" l="1"/>
  <c r="G25" i="1"/>
  <c r="G34" i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F10" i="1" l="1"/>
  <c r="E10" i="1"/>
  <c r="F11" i="1" l="1"/>
  <c r="E11" i="1"/>
  <c r="F13" i="1"/>
  <c r="E13" i="1"/>
  <c r="E14" i="1" l="1"/>
  <c r="F14" i="1"/>
  <c r="G14" i="1" l="1"/>
  <c r="F3" i="5"/>
  <c r="G3" i="5" s="1"/>
  <c r="F5" i="5" a="1"/>
  <c r="F5" i="5" s="1"/>
  <c r="E5" i="5"/>
  <c r="F14" i="8"/>
  <c r="E14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5" i="5"/>
  <c r="G14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<sst xmlns="http://schemas.openxmlformats.org/spreadsheetml/2006/main" count="588" uniqueCount="302">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</sst>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08">
    <xf numFmtId="0" fontId="0" fillId="0" borderId="0" xfId="0"/>
    <xf numFmtId="0" fontId="35" fillId="0" borderId="0" xfId="0" applyFont="1"/>
    <xf numFmtId="2" fontId="35" fillId="0" borderId="0" xfId="0" applyNumberFormat="1" applyFont="1" applyAlignment="1">
      <alignment horizontal="right"/>
    </xf>
    <xf numFmtId="3" fontId="35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7" fillId="0" borderId="0" xfId="1" applyFont="1"/>
    <xf numFmtId="0" fontId="34" fillId="0" borderId="0" xfId="0" applyFont="1"/>
    <xf numFmtId="3" fontId="34" fillId="0" borderId="0" xfId="0" applyNumberFormat="1" applyFont="1" applyAlignment="1">
      <alignment horizontal="right"/>
    </xf>
    <xf numFmtId="0" fontId="33" fillId="0" borderId="0" xfId="0" applyFont="1"/>
    <xf numFmtId="3" fontId="38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0" xfId="0" applyFont="1"/>
    <xf numFmtId="2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4" fontId="29" fillId="0" borderId="0" xfId="0" applyNumberFormat="1" applyFont="1" applyAlignment="1">
      <alignment horizontal="center"/>
    </xf>
    <xf numFmtId="9" fontId="29" fillId="0" borderId="0" xfId="0" applyNumberFormat="1" applyFont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164" fontId="29" fillId="0" borderId="0" xfId="0" applyNumberFormat="1" applyFont="1" applyBorder="1" applyAlignment="1">
      <alignment horizontal="center"/>
    </xf>
    <xf numFmtId="164" fontId="29" fillId="0" borderId="2" xfId="0" applyNumberFormat="1" applyFont="1" applyBorder="1" applyAlignment="1">
      <alignment horizontal="center"/>
    </xf>
    <xf numFmtId="4" fontId="29" fillId="0" borderId="1" xfId="0" applyNumberFormat="1" applyFont="1" applyBorder="1" applyAlignment="1">
      <alignment horizontal="center"/>
    </xf>
    <xf numFmtId="4" fontId="29" fillId="0" borderId="0" xfId="0" applyNumberFormat="1" applyFont="1" applyBorder="1" applyAlignment="1">
      <alignment horizontal="center"/>
    </xf>
    <xf numFmtId="4" fontId="29" fillId="0" borderId="2" xfId="0" applyNumberFormat="1" applyFont="1" applyBorder="1" applyAlignment="1">
      <alignment horizontal="center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9" fontId="27" fillId="0" borderId="0" xfId="0" applyNumberFormat="1" applyFont="1" applyAlignment="1">
      <alignment horizontal="center"/>
    </xf>
    <xf numFmtId="164" fontId="29" fillId="0" borderId="6" xfId="0" applyNumberFormat="1" applyFont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4" fontId="29" fillId="0" borderId="0" xfId="0" applyNumberFormat="1" applyFont="1" applyAlignment="1">
      <alignment horizontal="right"/>
    </xf>
    <xf numFmtId="0" fontId="23" fillId="0" borderId="4" xfId="0" applyFont="1" applyBorder="1" applyAlignment="1">
      <alignment horizontal="right"/>
    </xf>
    <xf numFmtId="14" fontId="29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9" fillId="0" borderId="5" xfId="0" applyFont="1" applyBorder="1"/>
    <xf numFmtId="3" fontId="32" fillId="0" borderId="0" xfId="0" applyNumberFormat="1" applyFont="1"/>
    <xf numFmtId="0" fontId="32" fillId="0" borderId="0" xfId="0" applyFont="1" applyBorder="1"/>
    <xf numFmtId="0" fontId="35" fillId="0" borderId="0" xfId="0" applyFont="1" applyBorder="1"/>
    <xf numFmtId="0" fontId="21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3" fontId="35" fillId="0" borderId="0" xfId="0" applyNumberFormat="1" applyFont="1"/>
    <xf numFmtId="3" fontId="38" fillId="0" borderId="0" xfId="0" applyNumberFormat="1" applyFont="1"/>
    <xf numFmtId="3" fontId="19" fillId="0" borderId="0" xfId="0" applyNumberFormat="1" applyFont="1"/>
    <xf numFmtId="4" fontId="35" fillId="0" borderId="0" xfId="0" applyNumberFormat="1" applyFont="1" applyAlignment="1">
      <alignment horizontal="right"/>
    </xf>
    <xf numFmtId="4" fontId="38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39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14" fontId="32" fillId="0" borderId="0" xfId="0" applyNumberFormat="1" applyFont="1"/>
    <xf numFmtId="0" fontId="32" fillId="0" borderId="0" xfId="0" applyFont="1" applyAlignment="1">
      <alignment horizontal="right"/>
    </xf>
    <xf numFmtId="4" fontId="32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3" fontId="15" fillId="0" borderId="0" xfId="0" applyNumberFormat="1" applyFont="1"/>
    <xf numFmtId="0" fontId="15" fillId="0" borderId="0" xfId="0" applyFont="1"/>
    <xf numFmtId="0" fontId="15" fillId="0" borderId="3" xfId="0" applyFont="1" applyBorder="1"/>
    <xf numFmtId="0" fontId="15" fillId="0" borderId="4" xfId="0" applyFont="1" applyBorder="1"/>
    <xf numFmtId="2" fontId="15" fillId="0" borderId="4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4" fillId="0" borderId="0" xfId="0" applyFont="1"/>
    <xf numFmtId="3" fontId="14" fillId="0" borderId="0" xfId="0" applyNumberFormat="1" applyFont="1"/>
    <xf numFmtId="3" fontId="13" fillId="0" borderId="0" xfId="0" applyNumberFormat="1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3" fontId="6" fillId="0" borderId="0" xfId="0" applyNumberFormat="1" applyFont="1"/>
    <xf numFmtId="0" fontId="6" fillId="0" borderId="0" xfId="0" applyFont="1"/>
    <xf numFmtId="3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40" fillId="0" borderId="0" xfId="0" applyFont="1"/>
    <xf numFmtId="0" fontId="3" fillId="0" borderId="0" xfId="0" applyFont="1"/>
    <xf numFmtId="0" fontId="41" fillId="0" borderId="0" xfId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20" Type="http://schemas.openxmlformats.org/officeDocument/2006/relationships/externalLink" Target="externalLinks/externalLink10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00%20HK.xlsx" TargetMode="External"/><Relationship Id="rId13" Type="http://schemas.openxmlformats.org/officeDocument/2006/relationships/hyperlink" Target="SHOP.xlsx" TargetMode="External"/><Relationship Id="rId18" Type="http://schemas.openxmlformats.org/officeDocument/2006/relationships/hyperlink" Target="CDN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B.xlsx" TargetMode="External"/><Relationship Id="rId21" Type="http://schemas.openxmlformats.org/officeDocument/2006/relationships/hyperlink" Target="CSU%20CN.xlsx" TargetMode="External"/><Relationship Id="rId7" Type="http://schemas.openxmlformats.org/officeDocument/2006/relationships/hyperlink" Target="AMZN.xlsx" TargetMode="External"/><Relationship Id="rId12" Type="http://schemas.openxmlformats.org/officeDocument/2006/relationships/hyperlink" Target="DSY%20FP.xlsx" TargetMode="External"/><Relationship Id="rId17" Type="http://schemas.openxmlformats.org/officeDocument/2006/relationships/hyperlink" Target="ADSK.xlsx" TargetMode="External"/><Relationship Id="rId25" Type="http://schemas.openxmlformats.org/officeDocument/2006/relationships/hyperlink" Target="ORCL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NOW.xlsx" TargetMode="External"/><Relationship Id="rId20" Type="http://schemas.openxmlformats.org/officeDocument/2006/relationships/hyperlink" Target="VMW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GOOG.xlsx" TargetMode="External"/><Relationship Id="rId11" Type="http://schemas.openxmlformats.org/officeDocument/2006/relationships/hyperlink" Target="NOW.xlsx" TargetMode="External"/><Relationship Id="rId24" Type="http://schemas.openxmlformats.org/officeDocument/2006/relationships/hyperlink" Target="ANSS.xlsx" TargetMode="External"/><Relationship Id="rId5" Type="http://schemas.openxmlformats.org/officeDocument/2006/relationships/hyperlink" Target="SAP.xlsx" TargetMode="External"/><Relationship Id="rId15" Type="http://schemas.openxmlformats.org/officeDocument/2006/relationships/hyperlink" Target="TEAM.xlsx" TargetMode="External"/><Relationship Id="rId23" Type="http://schemas.openxmlformats.org/officeDocument/2006/relationships/hyperlink" Target="VEEV.xlsx" TargetMode="External"/><Relationship Id="rId10" Type="http://schemas.openxmlformats.org/officeDocument/2006/relationships/hyperlink" Target="PLTR.xlsx" TargetMode="External"/><Relationship Id="rId19" Type="http://schemas.openxmlformats.org/officeDocument/2006/relationships/hyperlink" Target="SNPS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INTU.xlsx" TargetMode="External"/><Relationship Id="rId14" Type="http://schemas.openxmlformats.org/officeDocument/2006/relationships/hyperlink" Target="BIDU.xlsx" TargetMode="External"/><Relationship Id="rId22" Type="http://schemas.openxmlformats.org/officeDocument/2006/relationships/hyperlink" Target="WDAY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11" Type="http://schemas.openxmlformats.org/officeDocument/2006/relationships/hyperlink" Target="OKTA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78"/>
  <sheetViews>
    <sheetView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47" sqref="A47:XFD47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1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8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1:24" x14ac:dyDescent="0.2">
      <c r="A5" s="78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>+($G5/$H5)/T5</f>
        <v>16.876759090129248</v>
      </c>
      <c r="Q5" s="31">
        <f>+($G5/$H5)/U5</f>
        <v>14.645179621110156</v>
      </c>
      <c r="R5" s="31">
        <f>+($G5/$H5)/V5</f>
        <v>12.490319735060142</v>
      </c>
      <c r="S5" s="32">
        <f>+($G5/$H5)/W5</f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1:24" x14ac:dyDescent="0.2">
      <c r="A6" s="78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>+E6-F6</f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>+($G6/$H6)/T6</f>
        <v>72.007341486751912</v>
      </c>
      <c r="Q6" s="31">
        <f>+($G6/$H6)/U6</f>
        <v>24.676707466844412</v>
      </c>
      <c r="R6" s="31">
        <f>+($G6/$H6)/V6</f>
        <v>22.830168096694702</v>
      </c>
      <c r="S6" s="32">
        <f>+($G6/$H6)/W6</f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1:24" x14ac:dyDescent="0.2">
      <c r="A7" s="78" t="s">
        <v>263</v>
      </c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>+E7-F7</f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1:24" x14ac:dyDescent="0.2">
      <c r="A8" s="78" t="s">
        <v>263</v>
      </c>
      <c r="B8" s="5" t="s">
        <v>15</v>
      </c>
      <c r="C8" s="20" t="s">
        <v>16</v>
      </c>
      <c r="D8" s="21">
        <v>391.4</v>
      </c>
      <c r="E8" s="22">
        <f>+D8*H8/HKD</f>
        <v>482256.97469999234</v>
      </c>
      <c r="F8" s="22">
        <f>([5]Main!$L$5-[5]Main!$L$6)/HKD*1000</f>
        <v>81912.914978725574</v>
      </c>
      <c r="G8" s="22">
        <f>+E8-F8</f>
        <v>400344.05972126673</v>
      </c>
      <c r="H8" s="22">
        <f>+[5]Main!$L$3*1000</f>
        <v>9672</v>
      </c>
      <c r="I8" s="100" t="s">
        <v>210</v>
      </c>
      <c r="J8" s="47">
        <v>44802</v>
      </c>
    </row>
    <row r="9" spans="1:24" x14ac:dyDescent="0.2">
      <c r="A9" s="78" t="s">
        <v>263</v>
      </c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>+E9-F9</f>
        <v>248693.84</v>
      </c>
      <c r="H9" s="22"/>
      <c r="I9" s="23" t="s">
        <v>14</v>
      </c>
    </row>
    <row r="10" spans="1:24" x14ac:dyDescent="0.2">
      <c r="A10" s="88" t="s">
        <v>263</v>
      </c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>+E10-F10</f>
        <v>184916.4</v>
      </c>
      <c r="H10" s="22"/>
      <c r="I10" s="23" t="s">
        <v>210</v>
      </c>
    </row>
    <row r="11" spans="1:24" x14ac:dyDescent="0.2">
      <c r="A11" s="88" t="s">
        <v>263</v>
      </c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>E11-F11</f>
        <v>180213</v>
      </c>
      <c r="H11" s="22"/>
      <c r="I11" s="23" t="s">
        <v>14</v>
      </c>
    </row>
    <row r="12" spans="1:24" x14ac:dyDescent="0.2">
      <c r="A12" s="88" t="s">
        <v>263</v>
      </c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>E12-F12</f>
        <v>121174.92000000001</v>
      </c>
      <c r="H12" s="22"/>
      <c r="I12" s="23" t="s">
        <v>14</v>
      </c>
    </row>
    <row r="13" spans="1:24" x14ac:dyDescent="0.2">
      <c r="A13" s="88" t="s">
        <v>263</v>
      </c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>E13-F13</f>
        <v>116964.8</v>
      </c>
      <c r="H13" s="22"/>
      <c r="I13" s="23" t="s">
        <v>14</v>
      </c>
    </row>
    <row r="14" spans="1:24" x14ac:dyDescent="0.2">
      <c r="A14" s="88" t="s">
        <v>263</v>
      </c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>E14-F14</f>
        <v>84074</v>
      </c>
      <c r="H14" s="22"/>
      <c r="I14" s="23" t="s">
        <v>14</v>
      </c>
    </row>
    <row r="15" spans="1:24" x14ac:dyDescent="0.2">
      <c r="A15" s="95" t="s">
        <v>263</v>
      </c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>E15-F15</f>
        <v>59800.343664439999</v>
      </c>
      <c r="H15" s="22">
        <f>+[12]Main!$M$3</f>
        <v>421.445382</v>
      </c>
      <c r="I15" s="51" t="s">
        <v>14</v>
      </c>
    </row>
    <row r="16" spans="1:24" x14ac:dyDescent="0.2">
      <c r="A16" s="95" t="s">
        <v>263</v>
      </c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>E16-F16</f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1:24" x14ac:dyDescent="0.2">
      <c r="A17" s="95" t="s">
        <v>263</v>
      </c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>E17-F17</f>
        <v>53579.99298000001</v>
      </c>
      <c r="H17" s="22"/>
      <c r="I17" s="23" t="s">
        <v>210</v>
      </c>
    </row>
    <row r="18" spans="1:24" x14ac:dyDescent="0.2">
      <c r="A18" s="95" t="s">
        <v>263</v>
      </c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>E18-F18</f>
        <v>50843.144</v>
      </c>
      <c r="H18" s="22">
        <f>+[15]Main!$K$3</f>
        <v>277.33600000000001</v>
      </c>
      <c r="I18" s="43" t="s">
        <v>231</v>
      </c>
      <c r="J18" s="43"/>
    </row>
    <row r="19" spans="1:24" x14ac:dyDescent="0.2">
      <c r="A19" s="95" t="s">
        <v>263</v>
      </c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>E19-F19</f>
        <v>50515.179400000008</v>
      </c>
      <c r="H19" s="22">
        <f>+[16]Main!$L$3</f>
        <v>253.72300000000001</v>
      </c>
      <c r="I19" s="36" t="s">
        <v>14</v>
      </c>
      <c r="J19" s="36"/>
    </row>
    <row r="20" spans="1:24" x14ac:dyDescent="0.2">
      <c r="A20" s="98" t="s">
        <v>263</v>
      </c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>E20-F20</f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1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>E21-F21</f>
        <v>40202</v>
      </c>
      <c r="H21" s="23">
        <f>+[18]Main!$P$3</f>
        <v>252</v>
      </c>
      <c r="I21" s="51" t="s">
        <v>14</v>
      </c>
      <c r="J21" s="47">
        <v>44793</v>
      </c>
    </row>
    <row r="22" spans="1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>E22-F22</f>
        <v>39919.458999999995</v>
      </c>
      <c r="H22" s="22"/>
      <c r="I22" s="23" t="s">
        <v>14</v>
      </c>
    </row>
    <row r="23" spans="1:24" x14ac:dyDescent="0.2">
      <c r="A23" s="95" t="s">
        <v>263</v>
      </c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>E23-F23</f>
        <v>37590.462769999998</v>
      </c>
      <c r="H23" s="22">
        <f>+[20]Main!$M$3</f>
        <v>314.36099999999999</v>
      </c>
      <c r="I23" s="38" t="s">
        <v>14</v>
      </c>
      <c r="J23" s="38"/>
    </row>
    <row r="24" spans="1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>E24-F24</f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1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>E25-F25</f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1:24" x14ac:dyDescent="0.2">
      <c r="A26" s="96" t="s">
        <v>263</v>
      </c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>E26-F26</f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1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1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1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1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1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13" r:id="rId5" xr:uid="{F9C613E1-1B52-417A-BBCE-88AAEB91F9C1}"/>
    <hyperlink ref="B5" r:id="rId6" xr:uid="{3019DEB6-D8CA-4815-8BF6-407E9419A3F9}"/>
    <hyperlink ref="B6" r:id="rId7" xr:uid="{D0A6A308-9256-4523-8FDF-BCE2AFB11B6E}"/>
    <hyperlink ref="B8" r:id="rId8" xr:uid="{AFA39CB9-3127-4BCA-A3CE-D903EA36E6C7}"/>
    <hyperlink ref="B12" r:id="rId9" xr:uid="{B2FAC7EC-CB56-42A3-96CC-14E909698321}"/>
    <hyperlink ref="B36" r:id="rId10" xr:uid="{5A1A0BF1-1F9D-453A-8615-32812BE41A68}"/>
    <hyperlink ref="B14" r:id="rId11" xr:uid="{8967E115-2924-419A-9BD1-6441F95A80FF}"/>
    <hyperlink ref="B17" r:id="rId12" xr:uid="{A7E983F7-BC7A-4B3D-8444-6070EF708DDF}"/>
    <hyperlink ref="B22" r:id="rId13" xr:uid="{CB288269-AD44-4B2E-90F5-6FB8081BF962}"/>
    <hyperlink ref="B26" r:id="rId14" xr:uid="{831B52E7-EF7A-4831-8425-59EAD7D0F934}"/>
    <hyperlink ref="B19" r:id="rId15" xr:uid="{2AE55E96-1BEF-428E-AB42-3AD9978D13D8}"/>
    <hyperlink ref="B23" r:id="rId16" xr:uid="{DC9040DF-9172-464B-9C24-1B175E7FEE7E}"/>
    <hyperlink ref="B20" r:id="rId17" xr:uid="{C691107C-F03A-4EB9-887D-F480D084DC80}"/>
    <hyperlink ref="B18" r:id="rId18" xr:uid="{C9E770CD-C0F9-437F-A1F8-A5EC0DD0B08B}"/>
    <hyperlink ref="B16" r:id="rId19" xr:uid="{8CA64543-CFB9-4EFA-93C4-C766402037C3}"/>
    <hyperlink ref="B15" r:id="rId20" xr:uid="{93329B43-C086-451A-8C5D-926BC03B37E3}"/>
    <hyperlink ref="B24" r:id="rId21" xr:uid="{BF4E9546-147A-4F10-92B1-A91E9292F4F6}"/>
    <hyperlink ref="B21" r:id="rId22" xr:uid="{6A9A0D99-E31D-4912-BA28-CE74F64477AA}"/>
    <hyperlink ref="B25" r:id="rId23" xr:uid="{E41196C7-8286-472A-BD67-D77EFA7CA515}"/>
    <hyperlink ref="B34" r:id="rId24" xr:uid="{3FA63595-4D83-4815-90B6-28C534796235}"/>
    <hyperlink ref="B9" r:id="rId25" xr:uid="{9B454B94-4A58-4134-8CD8-78C1657B3ED6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3"/>
  <sheetViews>
    <sheetView tabSelected="1" zoomScale="160" zoomScaleNormal="160" workbookViewId="0">
      <selection activeCell="C3" sqref="C3"/>
    </sheetView>
  </sheetViews>
  <sheetFormatPr defaultRowHeight="12.75" x14ac:dyDescent="0.2"/>
  <cols>
    <col min="1" max="1" width="5" style="78" bestFit="1" customWidth="1"/>
    <col min="2" max="2" width="11" style="78" customWidth="1"/>
    <col min="3" max="4" width="9.140625" style="78"/>
    <col min="5" max="5" width="10" style="78" customWidth="1"/>
    <col min="6" max="6" width="9.140625" style="78"/>
    <col min="7" max="7" width="10.140625" style="78" customWidth="1"/>
    <col min="8" max="9" width="9.140625" style="78"/>
    <col min="10" max="10" width="10" style="78" customWidth="1"/>
    <col min="11" max="16384" width="9.140625" style="78"/>
  </cols>
  <sheetData>
    <row r="1" spans="1:24" x14ac:dyDescent="0.2">
      <c r="A1" s="5" t="s">
        <v>148</v>
      </c>
    </row>
    <row r="2" spans="1:24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s="20" customFormat="1" x14ac:dyDescent="0.2">
      <c r="A3" s="78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7">
        <v>44796</v>
      </c>
      <c r="K3" s="28">
        <f>+[3]Model!$BG$47</f>
        <v>231.32319706625486</v>
      </c>
      <c r="L3" s="29">
        <f>K3/D3-1</f>
        <v>0.90986787538189273</v>
      </c>
      <c r="M3" s="39">
        <f>+[3]Model!$BG$43</f>
        <v>7.0000000000000007E-2</v>
      </c>
      <c r="N3" s="29">
        <f>+[3]Model!$BG$45</f>
        <v>0</v>
      </c>
      <c r="O3" s="29">
        <f>+[3]Model!$BG$44</f>
        <v>0.01</v>
      </c>
      <c r="P3" s="30">
        <f>+($G3/$H3)/T3</f>
        <v>72.007341486751912</v>
      </c>
      <c r="Q3" s="31">
        <f>+($G3/$H3)/U3</f>
        <v>24.676707466844412</v>
      </c>
      <c r="R3" s="31">
        <f>+($G3/$H3)/V3</f>
        <v>22.830168096694702</v>
      </c>
      <c r="S3" s="32">
        <f>+($G3/$H3)/W3</f>
        <v>16.78032400353068</v>
      </c>
      <c r="T3" s="33">
        <f>+[3]Model!$AV$34</f>
        <v>1.6784287420147448</v>
      </c>
      <c r="U3" s="34">
        <f>+[3]Model!$AW$34</f>
        <v>4.897703299754288</v>
      </c>
      <c r="V3" s="34">
        <f>+[3]Model!$AX$34</f>
        <v>5.2938371314459518</v>
      </c>
      <c r="W3" s="35">
        <f>+[3]Model!$AY$34</f>
        <v>7.2024349209232001</v>
      </c>
    </row>
    <row r="4" spans="1:24" s="20" customFormat="1" x14ac:dyDescent="0.2">
      <c r="A4" s="78" t="s">
        <v>263</v>
      </c>
      <c r="B4" s="5" t="s">
        <v>23</v>
      </c>
      <c r="C4" s="20" t="s">
        <v>24</v>
      </c>
      <c r="D4" s="21">
        <v>71.02</v>
      </c>
      <c r="E4" s="22">
        <f>+D4*[6]Main!$G$3</f>
        <v>194736.84</v>
      </c>
      <c r="F4" s="22">
        <f>+[6]Main!$G$5-[6]Main!$G$6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88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5" t="s">
        <v>25</v>
      </c>
      <c r="C6" s="20" t="s">
        <v>25</v>
      </c>
      <c r="D6" s="21">
        <v>99.86</v>
      </c>
      <c r="E6" s="22">
        <f>+D6*[10]Main!$L$3</f>
        <v>117834.8</v>
      </c>
      <c r="F6" s="22">
        <f>+[10]Main!$L$5-[10]Main!$L$6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A7" s="88" t="s">
        <v>263</v>
      </c>
      <c r="B7" s="5" t="s">
        <v>29</v>
      </c>
      <c r="C7" s="20" t="s">
        <v>30</v>
      </c>
      <c r="D7" s="21">
        <v>440</v>
      </c>
      <c r="E7" s="22">
        <f>+D7*[11]Main!$L$3</f>
        <v>88000</v>
      </c>
      <c r="F7" s="22">
        <f>+[11]Main!$L$5-[11]Main!$L$6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4" s="20" customFormat="1" x14ac:dyDescent="0.2">
      <c r="A8" s="101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+[12]Main!$M$5-[12]Main!$M$6</f>
        <v>-8207</v>
      </c>
      <c r="G8" s="22">
        <f t="shared" si="0"/>
        <v>59800.343664439999</v>
      </c>
      <c r="H8" s="22">
        <f>+[12]Main!$M$3</f>
        <v>421.445382</v>
      </c>
      <c r="I8" s="51" t="s">
        <v>14</v>
      </c>
      <c r="J8" s="23"/>
      <c r="K8" s="24"/>
      <c r="L8" s="24"/>
      <c r="M8" s="24"/>
      <c r="N8" s="24"/>
      <c r="O8" s="24"/>
      <c r="P8" s="25"/>
      <c r="Q8" s="26"/>
      <c r="R8" s="26"/>
      <c r="S8" s="27"/>
      <c r="T8" s="25"/>
      <c r="U8" s="26"/>
      <c r="V8" s="26"/>
      <c r="W8" s="27"/>
    </row>
    <row r="9" spans="1:24" x14ac:dyDescent="0.2">
      <c r="A9" s="88" t="s">
        <v>263</v>
      </c>
      <c r="B9" s="88" t="s">
        <v>266</v>
      </c>
      <c r="C9" s="88" t="s">
        <v>266</v>
      </c>
    </row>
    <row r="10" spans="1:24" x14ac:dyDescent="0.2">
      <c r="A10" s="95" t="s">
        <v>263</v>
      </c>
      <c r="B10" s="5" t="s">
        <v>40</v>
      </c>
      <c r="C10" s="20" t="s">
        <v>41</v>
      </c>
      <c r="D10" s="21">
        <v>200.8</v>
      </c>
      <c r="E10" s="22">
        <f>+D10*[16]Main!$L$3</f>
        <v>50947.578400000006</v>
      </c>
      <c r="F10" s="22">
        <f>+[16]Main!$L$5-[16]Main!$L$6</f>
        <v>432.39900000000011</v>
      </c>
      <c r="G10" s="22">
        <f t="shared" ref="G10:G13" si="1">E10-F10</f>
        <v>50515.179400000008</v>
      </c>
      <c r="H10" s="22">
        <f>+[16]Main!$L$3</f>
        <v>253.72300000000001</v>
      </c>
      <c r="I10" s="36" t="s">
        <v>14</v>
      </c>
    </row>
    <row r="11" spans="1:24" x14ac:dyDescent="0.2">
      <c r="A11" s="105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+[18]Main!$P$5-[18]Main!$P$6</f>
        <v>2134</v>
      </c>
      <c r="G11" s="22">
        <f t="shared" si="1"/>
        <v>40202</v>
      </c>
      <c r="H11" s="23">
        <f>+[18]Main!$P$3</f>
        <v>252</v>
      </c>
      <c r="I11" s="51" t="s">
        <v>14</v>
      </c>
      <c r="J11" s="47">
        <v>44793</v>
      </c>
    </row>
    <row r="12" spans="1:24" x14ac:dyDescent="0.2">
      <c r="A12" s="95" t="s">
        <v>263</v>
      </c>
      <c r="B12" s="5" t="s">
        <v>44</v>
      </c>
      <c r="C12" s="20" t="s">
        <v>45</v>
      </c>
      <c r="D12" s="21">
        <v>135.57</v>
      </c>
      <c r="E12" s="22">
        <f>+D12*[20]Main!$M$3</f>
        <v>42617.920769999997</v>
      </c>
      <c r="F12" s="22">
        <f>+[20]Main!$M$5-[20]Main!$M$6</f>
        <v>5027.4579999999996</v>
      </c>
      <c r="G12" s="22">
        <f t="shared" si="1"/>
        <v>37590.462769999998</v>
      </c>
      <c r="H12" s="22">
        <f>+[20]Main!$M$3</f>
        <v>314.36099999999999</v>
      </c>
      <c r="I12" s="38" t="s">
        <v>14</v>
      </c>
    </row>
    <row r="13" spans="1:24" x14ac:dyDescent="0.2">
      <c r="A13" s="20"/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+[22]Main!$M$5-[22]Main!$M$6</f>
        <v>2838.5529999999999</v>
      </c>
      <c r="G13" s="22">
        <f t="shared" si="1"/>
        <v>32615.217264799998</v>
      </c>
      <c r="H13" s="22">
        <f>+[22]Main!$M$3</f>
        <v>154.847005</v>
      </c>
      <c r="I13" s="60" t="s">
        <v>14</v>
      </c>
      <c r="J13" s="47">
        <v>44794</v>
      </c>
    </row>
    <row r="14" spans="1:24" x14ac:dyDescent="0.2">
      <c r="B14" s="20" t="s">
        <v>52</v>
      </c>
      <c r="C14" s="20" t="s">
        <v>53</v>
      </c>
      <c r="D14" s="21">
        <v>107.93</v>
      </c>
      <c r="E14" s="22">
        <v>34000</v>
      </c>
    </row>
    <row r="15" spans="1:24" s="20" customFormat="1" x14ac:dyDescent="0.2">
      <c r="B15" s="5" t="s">
        <v>201</v>
      </c>
      <c r="C15" s="20" t="s">
        <v>202</v>
      </c>
      <c r="D15" s="21">
        <v>59.49</v>
      </c>
      <c r="E15" s="22">
        <f>+D15*H15</f>
        <v>9339.93</v>
      </c>
      <c r="F15" s="22">
        <f>+[30]Main!$P$5-[30]Main!$P$6</f>
        <v>282</v>
      </c>
      <c r="G15" s="22">
        <f>+E15-F15</f>
        <v>9057.93</v>
      </c>
      <c r="H15" s="22">
        <f>+[30]Main!$P$3</f>
        <v>157</v>
      </c>
      <c r="I15" s="107" t="s">
        <v>210</v>
      </c>
      <c r="J15" s="47">
        <v>44805</v>
      </c>
      <c r="K15" s="24"/>
      <c r="L15" s="24"/>
      <c r="M15" s="24"/>
      <c r="N15" s="24"/>
      <c r="O15" s="24"/>
      <c r="P15" s="25"/>
      <c r="Q15" s="26"/>
      <c r="R15" s="26"/>
      <c r="S15" s="27"/>
      <c r="T15" s="25"/>
      <c r="U15" s="26"/>
      <c r="V15" s="26"/>
      <c r="W15" s="27"/>
    </row>
    <row r="22" spans="2:5" x14ac:dyDescent="0.2">
      <c r="B22" s="102" t="s">
        <v>258</v>
      </c>
    </row>
    <row r="23" spans="2:5" x14ac:dyDescent="0.2">
      <c r="B23" s="101" t="s">
        <v>286</v>
      </c>
      <c r="E23" s="78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3" r:id="rId10" xr:uid="{6424F2CF-2B61-4808-95C3-62B06E9F6361}"/>
    <hyperlink ref="B15" r:id="rId11" xr:uid="{1147CFA9-6647-443A-9626-FE00F78AE9FF}"/>
  </hyperlinks>
  <pageMargins left="0.7" right="0.7" top="0.75" bottom="0.75" header="0.3" footer="0.3"/>
  <pageSetup orientation="portrait" horizontalDpi="1200" verticalDpi="12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4"/>
  <sheetViews>
    <sheetView workbookViewId="0"/>
  </sheetViews>
  <sheetFormatPr defaultRowHeight="12.75" x14ac:dyDescent="0.2"/>
  <cols>
    <col min="1" max="1" width="5" style="69" bestFit="1" customWidth="1"/>
    <col min="2" max="16384" width="9.140625" style="69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3" t="s">
        <v>240</v>
      </c>
      <c r="R2" s="53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8" t="s">
        <v>263</v>
      </c>
      <c r="B3" s="5" t="s">
        <v>13</v>
      </c>
      <c r="C3" s="20" t="s">
        <v>205</v>
      </c>
      <c r="D3" s="21">
        <v>165</v>
      </c>
      <c r="E3" s="22">
        <f>+D3*[4]Main!$M$3</f>
        <v>452430</v>
      </c>
      <c r="F3" s="22">
        <f>+[4]Main!$M$5-[4]Main!$M$6</f>
        <v>43890</v>
      </c>
      <c r="G3" s="22">
        <f t="shared" ref="G3:G4" si="0">+E3-F3</f>
        <v>408540</v>
      </c>
      <c r="H3" s="22">
        <f>+[4]Main!$M$3</f>
        <v>2742</v>
      </c>
      <c r="I3" s="23" t="s">
        <v>14</v>
      </c>
      <c r="J3" s="47">
        <v>44798</v>
      </c>
      <c r="K3" s="28">
        <f>+[4]Model!$AT$50</f>
        <v>260.93479765840237</v>
      </c>
      <c r="L3" s="29">
        <f>K3/D3-1</f>
        <v>0.58142301611152947</v>
      </c>
      <c r="M3" s="29">
        <f>+[4]Model!$AT$47</f>
        <v>7.0000000000000007E-2</v>
      </c>
      <c r="N3" s="29">
        <f>+[4]Model!$AT$48</f>
        <v>-0.05</v>
      </c>
      <c r="O3" s="29">
        <f>+[4]Model!$AT$49</f>
        <v>0.01</v>
      </c>
      <c r="P3" s="25"/>
      <c r="Q3" s="26"/>
      <c r="R3" s="26"/>
      <c r="S3" s="27"/>
      <c r="T3" s="25"/>
      <c r="U3" s="26"/>
      <c r="V3" s="26"/>
      <c r="W3" s="27"/>
      <c r="X3" s="20">
        <v>2004</v>
      </c>
    </row>
    <row r="4" spans="1:24" s="20" customFormat="1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103" t="s">
        <v>263</v>
      </c>
      <c r="B5" s="104" t="s">
        <v>291</v>
      </c>
      <c r="C5" s="103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B7" s="103" t="s">
        <v>289</v>
      </c>
      <c r="C7" s="103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s="20" customFormat="1" x14ac:dyDescent="0.2">
      <c r="B8" s="103" t="s">
        <v>293</v>
      </c>
      <c r="C8" s="103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6"/>
      <c r="Q8" s="26"/>
      <c r="R8" s="26"/>
      <c r="S8" s="26"/>
      <c r="T8" s="26"/>
      <c r="U8" s="26"/>
      <c r="V8" s="26"/>
      <c r="W8" s="26"/>
    </row>
    <row r="9" spans="1:24" s="20" customFormat="1" x14ac:dyDescent="0.2">
      <c r="B9" s="5"/>
      <c r="D9" s="21"/>
      <c r="E9" s="22"/>
      <c r="F9" s="22"/>
      <c r="G9" s="22"/>
      <c r="H9" s="22"/>
      <c r="I9" s="23"/>
      <c r="J9" s="23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</row>
    <row r="10" spans="1:24" x14ac:dyDescent="0.2">
      <c r="B10" s="70" t="s">
        <v>258</v>
      </c>
    </row>
    <row r="11" spans="1:24" x14ac:dyDescent="0.2">
      <c r="B11" s="103" t="s">
        <v>288</v>
      </c>
    </row>
    <row r="12" spans="1:24" x14ac:dyDescent="0.2">
      <c r="B12" s="69" t="s">
        <v>257</v>
      </c>
    </row>
    <row r="13" spans="1:24" x14ac:dyDescent="0.2">
      <c r="B13" s="69" t="s">
        <v>256</v>
      </c>
    </row>
    <row r="14" spans="1:24" x14ac:dyDescent="0.2">
      <c r="B14" s="69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A3" s="78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8" t="s">
        <v>263</v>
      </c>
      <c r="B5" s="5" t="s">
        <v>19</v>
      </c>
      <c r="C5" s="20" t="s">
        <v>20</v>
      </c>
      <c r="D5" s="21">
        <v>393.84</v>
      </c>
      <c r="E5" s="22">
        <f>+D5*[7]Main!$N$3</f>
        <v>186089.4</v>
      </c>
      <c r="F5" s="22">
        <f>+[7]Main!$N$5-[7]Main!$N$6</f>
        <v>1173</v>
      </c>
      <c r="G5" s="22">
        <f t="shared" ref="G5" si="0">+E5-F5</f>
        <v>184916.4</v>
      </c>
      <c r="H5" s="22"/>
      <c r="I5" s="23" t="s">
        <v>210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88" t="s">
        <v>269</v>
      </c>
      <c r="C6" s="88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s="20" customFormat="1" x14ac:dyDescent="0.2">
      <c r="A7" s="91" t="s">
        <v>263</v>
      </c>
      <c r="B7" s="91" t="s">
        <v>273</v>
      </c>
      <c r="C7" s="91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x14ac:dyDescent="0.2">
      <c r="A8" s="93" t="s">
        <v>263</v>
      </c>
      <c r="B8" s="10" t="s">
        <v>177</v>
      </c>
      <c r="C8" s="10" t="s">
        <v>178</v>
      </c>
      <c r="D8" s="10">
        <v>80.27</v>
      </c>
      <c r="E8" s="56">
        <v>62800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x14ac:dyDescent="0.2">
      <c r="A9" s="93" t="s">
        <v>263</v>
      </c>
      <c r="B9" s="10" t="s">
        <v>179</v>
      </c>
      <c r="C9" s="50" t="s">
        <v>242</v>
      </c>
      <c r="D9" s="56">
        <v>59910</v>
      </c>
      <c r="E9" s="56" cm="1">
        <f t="array" ref="E9">6975000/JPY</f>
        <v>50938.435697071494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4" x14ac:dyDescent="0.2">
      <c r="A10" s="94" t="s">
        <v>263</v>
      </c>
      <c r="B10" s="94" t="s">
        <v>277</v>
      </c>
      <c r="C10" s="94" t="s">
        <v>278</v>
      </c>
      <c r="D10" s="56"/>
      <c r="E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x14ac:dyDescent="0.2">
      <c r="A11" s="105" t="s">
        <v>263</v>
      </c>
      <c r="B11" s="105" t="s">
        <v>295</v>
      </c>
      <c r="C11" s="105" t="s">
        <v>296</v>
      </c>
      <c r="D11" s="56"/>
      <c r="E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4" x14ac:dyDescent="0.2">
      <c r="A12" s="105" t="s">
        <v>263</v>
      </c>
      <c r="B12" s="5" t="s">
        <v>173</v>
      </c>
      <c r="C12" s="10" t="s">
        <v>174</v>
      </c>
      <c r="D12" s="10">
        <v>130.47999999999999</v>
      </c>
      <c r="E12" s="56">
        <f>+D12*H12</f>
        <v>36664.879999999997</v>
      </c>
      <c r="F12" s="56">
        <f>+[27]Main!$N$5-[27]Main!$N$6</f>
        <v>538</v>
      </c>
      <c r="G12" s="56">
        <f>+E12-F12</f>
        <v>36126.879999999997</v>
      </c>
      <c r="H12" s="10">
        <f>+[27]Main!$N$3</f>
        <v>281</v>
      </c>
      <c r="I12" s="72" t="s">
        <v>210</v>
      </c>
      <c r="J12" s="73">
        <v>44799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6">
        <v>21290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+D14*[28]Main!$K$3</f>
        <v>16302.031699999998</v>
      </c>
      <c r="F14" s="3">
        <f>+[28]Main!$K$5-[28]Main!$K$6</f>
        <v>2144.9299999999998</v>
      </c>
      <c r="G14" s="3">
        <f>+E14-F14</f>
        <v>14157.101699999997</v>
      </c>
      <c r="H14" s="4"/>
      <c r="I14" s="4" t="s">
        <v>14</v>
      </c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spans="2:23" s="20" customFormat="1" x14ac:dyDescent="0.2">
      <c r="B17" s="71" t="s">
        <v>260</v>
      </c>
      <c r="D17" s="21"/>
      <c r="E17" s="22"/>
      <c r="F17" s="23"/>
      <c r="G17" s="23"/>
      <c r="H17" s="23"/>
      <c r="I17" s="23"/>
      <c r="J17" s="23"/>
      <c r="K17" s="2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2:23" x14ac:dyDescent="0.2">
      <c r="B21" s="1" t="s">
        <v>54</v>
      </c>
      <c r="C21" s="1"/>
      <c r="D21" s="2"/>
      <c r="E21" s="3">
        <v>31500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</row>
    <row r="22" spans="2:23" s="20" customFormat="1" x14ac:dyDescent="0.2">
      <c r="B22" s="20" t="s">
        <v>58</v>
      </c>
      <c r="D22" s="21"/>
      <c r="E22" s="22">
        <v>27000</v>
      </c>
      <c r="F22" s="23"/>
      <c r="G22" s="23"/>
      <c r="H22" s="23"/>
      <c r="I22" s="23"/>
      <c r="J22" s="23"/>
      <c r="K22" s="24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2:23" s="20" customFormat="1" x14ac:dyDescent="0.2">
      <c r="B23" s="20" t="s">
        <v>112</v>
      </c>
      <c r="D23" s="21"/>
      <c r="E23" s="22">
        <v>10000</v>
      </c>
      <c r="F23" s="23"/>
      <c r="G23" s="23"/>
      <c r="H23" s="23"/>
      <c r="I23" s="23"/>
      <c r="J23" s="23"/>
      <c r="K23" s="24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2:23" x14ac:dyDescent="0.2">
      <c r="B24" s="69" t="s">
        <v>259</v>
      </c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2:23" x14ac:dyDescent="0.2"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9.140625" style="10"/>
    <col min="4" max="9" width="9.140625" style="74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s="56" customFormat="1" x14ac:dyDescent="0.2">
      <c r="A3" s="77" t="s">
        <v>263</v>
      </c>
      <c r="B3" s="56" t="s">
        <v>168</v>
      </c>
      <c r="C3" s="56" t="s">
        <v>169</v>
      </c>
      <c r="D3" s="75">
        <v>206.8</v>
      </c>
      <c r="E3" s="76">
        <v>427830</v>
      </c>
      <c r="F3" s="76"/>
      <c r="G3" s="76"/>
      <c r="H3" s="76"/>
      <c r="I3" s="76"/>
    </row>
    <row r="4" spans="1:24" s="56" customFormat="1" x14ac:dyDescent="0.2">
      <c r="A4" s="77" t="s">
        <v>263</v>
      </c>
      <c r="B4" s="56" t="s">
        <v>170</v>
      </c>
      <c r="C4" s="56" t="s">
        <v>3</v>
      </c>
      <c r="D4" s="75">
        <v>340.89</v>
      </c>
      <c r="E4" s="76">
        <v>329430</v>
      </c>
      <c r="F4" s="76"/>
      <c r="G4" s="76"/>
      <c r="H4" s="76"/>
      <c r="I4" s="76"/>
    </row>
    <row r="5" spans="1:24" s="56" customFormat="1" x14ac:dyDescent="0.2">
      <c r="A5" s="89" t="s">
        <v>263</v>
      </c>
      <c r="B5" s="89" t="s">
        <v>267</v>
      </c>
      <c r="C5" s="89" t="s">
        <v>268</v>
      </c>
      <c r="D5" s="75"/>
      <c r="E5" s="76"/>
      <c r="F5" s="76"/>
      <c r="G5" s="76"/>
      <c r="H5" s="76"/>
      <c r="I5" s="76"/>
    </row>
    <row r="6" spans="1:24" s="56" customFormat="1" x14ac:dyDescent="0.2">
      <c r="A6" s="90" t="s">
        <v>263</v>
      </c>
      <c r="B6" s="90" t="s">
        <v>271</v>
      </c>
      <c r="C6" s="90" t="s">
        <v>272</v>
      </c>
      <c r="D6" s="75"/>
      <c r="E6" s="76"/>
      <c r="F6" s="76"/>
      <c r="G6" s="76"/>
      <c r="H6" s="76"/>
      <c r="I6" s="76"/>
    </row>
    <row r="7" spans="1:24" s="56" customFormat="1" x14ac:dyDescent="0.2">
      <c r="A7" s="90" t="s">
        <v>263</v>
      </c>
      <c r="B7" s="63" t="s">
        <v>31</v>
      </c>
      <c r="C7" s="63" t="s">
        <v>32</v>
      </c>
      <c r="D7" s="66">
        <v>87.2</v>
      </c>
      <c r="E7" s="3">
        <v>100981</v>
      </c>
      <c r="F7" s="76"/>
      <c r="G7" s="76"/>
      <c r="H7" s="76"/>
      <c r="I7" s="76"/>
    </row>
    <row r="8" spans="1:24" x14ac:dyDescent="0.2">
      <c r="A8" s="93" t="s">
        <v>263</v>
      </c>
      <c r="B8" s="93" t="s">
        <v>275</v>
      </c>
      <c r="C8" s="93" t="s">
        <v>276</v>
      </c>
    </row>
    <row r="9" spans="1:24" x14ac:dyDescent="0.2">
      <c r="A9" s="94" t="s">
        <v>263</v>
      </c>
      <c r="B9" s="94" t="s">
        <v>279</v>
      </c>
      <c r="C9" s="94" t="s">
        <v>280</v>
      </c>
    </row>
    <row r="10" spans="1:24" s="56" customFormat="1" x14ac:dyDescent="0.2">
      <c r="A10" s="97" t="s">
        <v>263</v>
      </c>
      <c r="B10" s="65" t="s">
        <v>253</v>
      </c>
      <c r="C10" s="56" t="s">
        <v>167</v>
      </c>
      <c r="D10" s="75">
        <v>70.94</v>
      </c>
      <c r="E10" s="76">
        <v>41870</v>
      </c>
      <c r="F10" s="76"/>
      <c r="G10" s="76"/>
      <c r="H10" s="76"/>
      <c r="I10" s="76"/>
    </row>
    <row r="11" spans="1:24" s="56" customFormat="1" x14ac:dyDescent="0.2">
      <c r="A11" s="97" t="s">
        <v>263</v>
      </c>
      <c r="B11" s="97" t="s">
        <v>281</v>
      </c>
      <c r="C11" s="97" t="s">
        <v>282</v>
      </c>
      <c r="D11" s="75"/>
      <c r="E11" s="76"/>
      <c r="F11" s="76"/>
      <c r="G11" s="76"/>
      <c r="H11" s="76"/>
      <c r="I11" s="76"/>
    </row>
    <row r="12" spans="1:24" s="56" customFormat="1" x14ac:dyDescent="0.2">
      <c r="A12" s="99" t="s">
        <v>263</v>
      </c>
      <c r="B12" s="99" t="s">
        <v>283</v>
      </c>
      <c r="C12" s="99" t="s">
        <v>284</v>
      </c>
      <c r="D12" s="75"/>
      <c r="E12" s="76"/>
      <c r="F12" s="76"/>
      <c r="G12" s="76"/>
      <c r="H12" s="76"/>
      <c r="I12" s="76"/>
    </row>
    <row r="13" spans="1:24" s="56" customFormat="1" x14ac:dyDescent="0.2">
      <c r="A13" s="106" t="s">
        <v>263</v>
      </c>
      <c r="B13" s="106" t="s">
        <v>299</v>
      </c>
      <c r="C13" s="106" t="s">
        <v>299</v>
      </c>
      <c r="D13" s="75"/>
      <c r="E13" s="76"/>
      <c r="F13" s="76"/>
      <c r="G13" s="76"/>
      <c r="H13" s="76"/>
      <c r="I13" s="76"/>
    </row>
    <row r="14" spans="1:24" s="56" customFormat="1" x14ac:dyDescent="0.2">
      <c r="A14" s="106" t="s">
        <v>263</v>
      </c>
      <c r="B14" s="106" t="s">
        <v>300</v>
      </c>
      <c r="C14" s="106" t="s">
        <v>301</v>
      </c>
      <c r="D14" s="75"/>
      <c r="E14" s="76"/>
      <c r="F14" s="76"/>
      <c r="G14" s="76"/>
      <c r="H14" s="76"/>
      <c r="I14" s="76"/>
    </row>
    <row r="15" spans="1:24" s="56" customFormat="1" x14ac:dyDescent="0.2">
      <c r="B15" s="63" t="s">
        <v>71</v>
      </c>
      <c r="C15" s="63" t="s">
        <v>72</v>
      </c>
      <c r="D15" s="66">
        <v>68.930000000000007</v>
      </c>
      <c r="E15" s="3">
        <v>18053</v>
      </c>
      <c r="F15" s="76"/>
      <c r="G15" s="76"/>
      <c r="H15" s="76"/>
      <c r="I15" s="76"/>
    </row>
    <row r="16" spans="1:24" s="56" customFormat="1" x14ac:dyDescent="0.2">
      <c r="B16" s="56" t="s">
        <v>83</v>
      </c>
      <c r="C16" s="56" t="s">
        <v>84</v>
      </c>
      <c r="D16" s="75">
        <v>58.75</v>
      </c>
      <c r="E16" s="76">
        <v>14980</v>
      </c>
      <c r="F16" s="76"/>
      <c r="G16" s="76"/>
      <c r="H16" s="76"/>
      <c r="I16" s="76"/>
    </row>
    <row r="17" spans="2:9" s="56" customFormat="1" x14ac:dyDescent="0.2">
      <c r="B17" s="63" t="s">
        <v>106</v>
      </c>
      <c r="C17" s="63" t="s">
        <v>107</v>
      </c>
      <c r="D17" s="66">
        <v>184.44</v>
      </c>
      <c r="E17" s="3">
        <v>10400</v>
      </c>
      <c r="F17" s="76"/>
      <c r="G17" s="76"/>
      <c r="H17" s="76"/>
      <c r="I17" s="76"/>
    </row>
    <row r="23" spans="2:9" s="56" customFormat="1" x14ac:dyDescent="0.2">
      <c r="B23" s="64" t="s">
        <v>33</v>
      </c>
      <c r="C23" s="64" t="s">
        <v>156</v>
      </c>
      <c r="D23" s="67">
        <v>0</v>
      </c>
      <c r="E23" s="9">
        <v>100000</v>
      </c>
      <c r="F23" s="76"/>
      <c r="G23" s="76"/>
      <c r="H23" s="76"/>
      <c r="I23" s="76"/>
    </row>
    <row r="24" spans="2:9" x14ac:dyDescent="0.2">
      <c r="B24" s="63" t="s">
        <v>59</v>
      </c>
      <c r="C24" s="63"/>
      <c r="D24" s="67">
        <v>0</v>
      </c>
      <c r="E24" s="3">
        <v>26000</v>
      </c>
    </row>
    <row r="25" spans="2:9" x14ac:dyDescent="0.2">
      <c r="B25" s="63" t="s">
        <v>87</v>
      </c>
      <c r="C25" s="63"/>
      <c r="D25" s="67">
        <v>0</v>
      </c>
      <c r="E25" s="3">
        <v>15000</v>
      </c>
    </row>
    <row r="26" spans="2:9" x14ac:dyDescent="0.2">
      <c r="B26" s="62" t="s">
        <v>252</v>
      </c>
      <c r="D26" s="67">
        <v>0</v>
      </c>
      <c r="E26" s="74">
        <v>75</v>
      </c>
    </row>
    <row r="27" spans="2:9" x14ac:dyDescent="0.2">
      <c r="B27" s="68" t="s">
        <v>254</v>
      </c>
      <c r="D27" s="67">
        <v>0</v>
      </c>
    </row>
    <row r="28" spans="2:9" x14ac:dyDescent="0.2">
      <c r="B28" s="101" t="s">
        <v>285</v>
      </c>
      <c r="E28" s="74">
        <v>424</v>
      </c>
    </row>
    <row r="29" spans="2:9" x14ac:dyDescent="0.2">
      <c r="B29" s="101" t="s">
        <v>287</v>
      </c>
      <c r="E29" s="74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A3" s="88" t="s">
        <v>263</v>
      </c>
      <c r="B3" s="88" t="s">
        <v>264</v>
      </c>
      <c r="C3" s="88" t="s">
        <v>265</v>
      </c>
    </row>
    <row r="4" spans="1:5" x14ac:dyDescent="0.2">
      <c r="A4" s="93" t="s">
        <v>263</v>
      </c>
      <c r="B4" s="10" t="s">
        <v>34</v>
      </c>
      <c r="C4" s="10" t="s">
        <v>35</v>
      </c>
    </row>
    <row r="5" spans="1:5" x14ac:dyDescent="0.2">
      <c r="A5" s="103" t="s">
        <v>263</v>
      </c>
      <c r="B5" s="10" t="s">
        <v>42</v>
      </c>
      <c r="C5" s="10" t="s">
        <v>43</v>
      </c>
    </row>
    <row r="6" spans="1:5" x14ac:dyDescent="0.2">
      <c r="B6" s="1" t="s">
        <v>98</v>
      </c>
      <c r="C6" s="1" t="s">
        <v>99</v>
      </c>
      <c r="D6" s="2">
        <v>2.5099999999999998</v>
      </c>
      <c r="E6" s="3">
        <v>12580</v>
      </c>
    </row>
    <row r="7" spans="1:5" x14ac:dyDescent="0.2">
      <c r="B7" s="1" t="s">
        <v>60</v>
      </c>
      <c r="C7" s="1" t="s">
        <v>61</v>
      </c>
      <c r="D7" s="2">
        <v>71.66</v>
      </c>
      <c r="E7" s="3">
        <v>25171</v>
      </c>
    </row>
    <row r="8" spans="1:5" x14ac:dyDescent="0.2">
      <c r="B8" s="1" t="s">
        <v>121</v>
      </c>
      <c r="C8" s="1"/>
      <c r="D8" s="2"/>
      <c r="E8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8" customFormat="1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x14ac:dyDescent="0.2">
      <c r="A3" s="78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8" t="s">
        <v>263</v>
      </c>
      <c r="B4" s="5" t="s">
        <v>17</v>
      </c>
      <c r="C4" s="20" t="s">
        <v>18</v>
      </c>
      <c r="D4" s="21">
        <v>115.9</v>
      </c>
      <c r="E4" s="22">
        <f>D4*[29]Main!$L$3</f>
        <v>310046.98749999999</v>
      </c>
      <c r="F4" s="22" cm="1">
        <f t="array" ref="F4">([29]Main!$L$5-[29]Main!$L$6)/RMB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x14ac:dyDescent="0.2">
      <c r="A5" s="78" t="s">
        <v>263</v>
      </c>
      <c r="B5" s="5" t="s">
        <v>17</v>
      </c>
      <c r="C5" s="1" t="s">
        <v>18</v>
      </c>
      <c r="D5" s="2">
        <v>115.9</v>
      </c>
      <c r="E5" s="3">
        <f>D5*[29]Main!$L$3</f>
        <v>310046.98749999999</v>
      </c>
      <c r="F5" s="3" cm="1">
        <f t="array" ref="F5">([29]Main!$L$5-[29]Main!$L$6)/RMB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8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92" t="s">
        <v>263</v>
      </c>
      <c r="B7" s="11" t="s">
        <v>208</v>
      </c>
      <c r="C7" s="11" t="s">
        <v>209</v>
      </c>
    </row>
    <row r="8" spans="1:24" x14ac:dyDescent="0.2">
      <c r="A8" s="92" t="s">
        <v>263</v>
      </c>
      <c r="B8" s="11" t="s">
        <v>206</v>
      </c>
      <c r="C8" s="11" t="s">
        <v>207</v>
      </c>
    </row>
    <row r="9" spans="1:24" x14ac:dyDescent="0.2">
      <c r="A9" s="105" t="s">
        <v>263</v>
      </c>
      <c r="B9" s="105" t="s">
        <v>295</v>
      </c>
      <c r="C9" s="105" t="s">
        <v>296</v>
      </c>
    </row>
    <row r="10" spans="1:24" s="20" customFormat="1" x14ac:dyDescent="0.2">
      <c r="A10" s="105" t="s">
        <v>263</v>
      </c>
      <c r="B10" s="5" t="s">
        <v>36</v>
      </c>
      <c r="C10" s="20" t="s">
        <v>37</v>
      </c>
      <c r="D10" s="21">
        <v>36.71</v>
      </c>
      <c r="E10" s="22">
        <f>+D10*[19]Main!$M$3</f>
        <v>46254.6</v>
      </c>
      <c r="F10" s="22">
        <f>+[19]Main!$M$5-[19]Main!$M$6</f>
        <v>6335.1410000000005</v>
      </c>
      <c r="G10" s="22">
        <f t="shared" ref="G10" si="0">E10-F10</f>
        <v>39919.458999999995</v>
      </c>
      <c r="H10" s="22"/>
      <c r="I10" s="23" t="s">
        <v>14</v>
      </c>
      <c r="J10" s="23"/>
      <c r="K10" s="24"/>
      <c r="L10" s="24"/>
      <c r="M10" s="24"/>
      <c r="N10" s="24"/>
      <c r="O10" s="24"/>
      <c r="P10" s="25"/>
      <c r="Q10" s="26"/>
      <c r="R10" s="26"/>
      <c r="S10" s="27"/>
      <c r="T10" s="25"/>
      <c r="U10" s="26"/>
      <c r="V10" s="26"/>
      <c r="W10" s="27"/>
    </row>
    <row r="11" spans="1:24" s="20" customFormat="1" x14ac:dyDescent="0.2">
      <c r="A11" s="105" t="s">
        <v>263</v>
      </c>
      <c r="B11" s="105" t="s">
        <v>297</v>
      </c>
      <c r="C11" s="105" t="s">
        <v>298</v>
      </c>
      <c r="D11" s="21"/>
      <c r="E11" s="22"/>
      <c r="F11" s="22"/>
      <c r="G11" s="22"/>
      <c r="H11" s="22"/>
      <c r="I11" s="23"/>
      <c r="J11" s="23"/>
      <c r="K11" s="24"/>
      <c r="L11" s="24"/>
      <c r="M11" s="24"/>
      <c r="N11" s="24"/>
      <c r="O11" s="24"/>
      <c r="P11" s="26"/>
      <c r="Q11" s="26"/>
      <c r="R11" s="26"/>
      <c r="S11" s="26"/>
      <c r="T11" s="26"/>
      <c r="U11" s="26"/>
      <c r="V11" s="26"/>
      <c r="W11" s="26"/>
    </row>
    <row r="12" spans="1:24" x14ac:dyDescent="0.2">
      <c r="B12" s="10" t="s">
        <v>163</v>
      </c>
      <c r="C12" s="10" t="s">
        <v>164</v>
      </c>
    </row>
    <row r="13" spans="1:24" x14ac:dyDescent="0.2">
      <c r="B13" s="10" t="s">
        <v>165</v>
      </c>
      <c r="C13" s="10" t="s">
        <v>166</v>
      </c>
    </row>
    <row r="14" spans="1:24" s="20" customFormat="1" x14ac:dyDescent="0.2">
      <c r="B14" s="20" t="s">
        <v>64</v>
      </c>
      <c r="D14" s="21"/>
      <c r="E14" s="22">
        <v>22000</v>
      </c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5"/>
      <c r="Q14" s="26"/>
      <c r="R14" s="26"/>
      <c r="S14" s="27"/>
      <c r="T14" s="25"/>
      <c r="U14" s="26"/>
      <c r="V14" s="26"/>
      <c r="W14" s="27"/>
    </row>
    <row r="15" spans="1:24" s="20" customFormat="1" x14ac:dyDescent="0.2">
      <c r="B15" s="20" t="s">
        <v>55</v>
      </c>
      <c r="D15" s="21"/>
      <c r="E15" s="22">
        <v>30000</v>
      </c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5"/>
      <c r="Q15" s="26"/>
      <c r="R15" s="26"/>
      <c r="S15" s="27"/>
      <c r="T15" s="25"/>
      <c r="U15" s="26"/>
      <c r="V15" s="26"/>
      <c r="W15" s="27"/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0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5" t="s">
        <v>263</v>
      </c>
      <c r="B3" s="10" t="s">
        <v>157</v>
      </c>
      <c r="C3" s="10" t="s">
        <v>158</v>
      </c>
    </row>
    <row r="4" spans="1:8" x14ac:dyDescent="0.2">
      <c r="A4" s="96" t="s">
        <v>263</v>
      </c>
      <c r="B4" s="10" t="s">
        <v>162</v>
      </c>
      <c r="C4" s="10" t="s">
        <v>161</v>
      </c>
    </row>
    <row r="5" spans="1:8" x14ac:dyDescent="0.2">
      <c r="A5" s="98" t="s">
        <v>263</v>
      </c>
      <c r="B5" s="10" t="s">
        <v>159</v>
      </c>
      <c r="C5" s="10" t="s">
        <v>160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2022-09-02T02:23:33Z</dcterms:modified>
  <cp:category/>
  <cp:contentStatus/>
</cp:coreProperties>
</file>