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showInkAnnotation="0" defaultThemeVersion="166925"/>
  <xr:revisionPtr revIDLastSave="0" documentId="13_ncr:1_{411EB047-D9B7-4133-8805-0474058ADD9C}" xr6:coauthVersionLast="47" xr6:coauthVersionMax="47" xr10:uidLastSave="{00000000-0000-0000-0000-000000000000}"/>
  <bookViews>
    <workbookView xWindow="13575" yWindow="1095" windowWidth="21705" windowHeight="19365" xr2:uid="{00000000-000D-0000-FFFF-FFFF00000000}"/>
  </bookViews>
  <sheets>
    <sheet name="Main" sheetId="1" r:id="rId1"/>
    <sheet name="Enterprise-Cloud" sheetId="10" r:id="rId2"/>
    <sheet name="Social" sheetId="9" r:id="rId3"/>
    <sheet name="Simulation-Technical Design" sheetId="11" r:id="rId4"/>
    <sheet name="Media-Games-Design" sheetId="8" r:id="rId5"/>
    <sheet name="Fintech" sheetId="7" r:id="rId6"/>
    <sheet name="Ecommerce" sheetId="5" r:id="rId7"/>
    <sheet name="Security" sheetId="4" r:id="rId8"/>
    <sheet name="FX" sheetId="3" r:id="rId9"/>
    <sheet name="Private" sheetId="2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E8" i="1" s="1"/>
  <c r="E2" i="11" l="1"/>
  <c r="H7" i="11"/>
  <c r="E7" i="11" s="1"/>
  <c r="G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3" i="11" l="1"/>
  <c r="G5" i="11"/>
  <c r="G6" i="11"/>
  <c r="G4" i="11"/>
  <c r="F13" i="10"/>
  <c r="H13" i="10"/>
  <c r="E13" i="10" s="1"/>
  <c r="G13" i="10" l="1"/>
  <c r="F15" i="10"/>
  <c r="H15" i="10"/>
  <c r="E15" i="10" s="1"/>
  <c r="F16" i="10"/>
  <c r="H16" i="10"/>
  <c r="E16" i="10" s="1"/>
  <c r="G16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H7" i="1"/>
  <c r="E7" i="1" s="1"/>
  <c r="F5" i="8" l="1"/>
  <c r="E5" i="8"/>
  <c r="H8" i="10"/>
  <c r="E8" i="10" s="1"/>
  <c r="F8" i="10"/>
  <c r="F7" i="10"/>
  <c r="E7" i="10"/>
  <c r="F6" i="10"/>
  <c r="E6" i="10"/>
  <c r="F5" i="10"/>
  <c r="E5" i="10"/>
  <c r="W3" i="10"/>
  <c r="V3" i="10"/>
  <c r="U3" i="10"/>
  <c r="T3" i="10"/>
  <c r="O3" i="10"/>
  <c r="N3" i="10"/>
  <c r="M3" i="10"/>
  <c r="K3" i="10"/>
  <c r="L3" i="10" s="1"/>
  <c r="H3" i="10"/>
  <c r="F3" i="10"/>
  <c r="E3" i="10"/>
  <c r="F4" i="10"/>
  <c r="E4" i="10"/>
  <c r="G5" i="10" l="1"/>
  <c r="G6" i="10"/>
  <c r="G7" i="10"/>
  <c r="G3" i="10"/>
  <c r="P3" i="10" s="1"/>
  <c r="G8" i="10"/>
  <c r="G5" i="8"/>
  <c r="G4" i="10"/>
  <c r="R3" i="10"/>
  <c r="Q3" i="10" l="1"/>
  <c r="S3" i="10"/>
  <c r="F12" i="8"/>
  <c r="H12" i="8"/>
  <c r="E12" i="8" s="1"/>
  <c r="G12" i="8" l="1"/>
  <c r="F4" i="9"/>
  <c r="E4" i="9"/>
  <c r="O3" i="9"/>
  <c r="N3" i="9"/>
  <c r="M3" i="9"/>
  <c r="K3" i="9"/>
  <c r="L3" i="9" s="1"/>
  <c r="H3" i="9"/>
  <c r="F3" i="9"/>
  <c r="E3" i="9"/>
  <c r="G3" i="9" l="1"/>
  <c r="G4" i="9"/>
  <c r="F4" i="5" l="1" a="1"/>
  <c r="F4" i="5" s="1"/>
  <c r="E4" i="5"/>
  <c r="F12" i="5"/>
  <c r="E12" i="5"/>
  <c r="F9" i="1"/>
  <c r="H9" i="1"/>
  <c r="E9" i="1" s="1"/>
  <c r="E9" i="8" a="1"/>
  <c r="E9" i="8" s="1"/>
  <c r="F4" i="8"/>
  <c r="E4" i="8"/>
  <c r="H3" i="8"/>
  <c r="F3" i="8"/>
  <c r="E3" i="8"/>
  <c r="T6" i="1"/>
  <c r="V5" i="1"/>
  <c r="U5" i="1"/>
  <c r="T5" i="1"/>
  <c r="G4" i="5" l="1"/>
  <c r="G12" i="5"/>
  <c r="G9" i="1"/>
  <c r="G4" i="8"/>
  <c r="G3" i="8"/>
  <c r="E13" i="1" a="1"/>
  <c r="E13" i="1" s="1"/>
  <c r="U6" i="1" l="1"/>
  <c r="V6" i="1" l="1"/>
  <c r="W6" i="1" l="1"/>
  <c r="O6" i="1" l="1"/>
  <c r="N6" i="1"/>
  <c r="M6" i="1"/>
  <c r="H6" i="1"/>
  <c r="K6" i="1" l="1"/>
  <c r="L6" i="1" s="1"/>
  <c r="H10" i="1" l="1"/>
  <c r="F10" i="1"/>
  <c r="E10" i="1"/>
  <c r="O4" i="1"/>
  <c r="N4" i="1"/>
  <c r="M4" i="1"/>
  <c r="K4" i="1"/>
  <c r="L4" i="1" s="1"/>
  <c r="H4" i="1"/>
  <c r="G10" i="1" l="1"/>
  <c r="H5" i="1"/>
  <c r="W5" i="1"/>
  <c r="O5" i="1"/>
  <c r="N5" i="1"/>
  <c r="M5" i="1"/>
  <c r="K5" i="1"/>
  <c r="L5" i="1" s="1"/>
  <c r="L2" i="1" s="1"/>
  <c r="E6" i="1" l="1"/>
  <c r="F3" i="5" l="1"/>
  <c r="G3" i="5" s="1"/>
  <c r="F5" i="5" a="1"/>
  <c r="F5" i="5" s="1"/>
  <c r="E5" i="5"/>
  <c r="F14" i="8"/>
  <c r="E14" i="8"/>
  <c r="F20" i="1"/>
  <c r="E20" i="1"/>
  <c r="F8" i="1"/>
  <c r="F7" i="1"/>
  <c r="G7" i="1" s="1"/>
  <c r="F6" i="1"/>
  <c r="G6" i="1" s="1"/>
  <c r="R6" i="1" s="1"/>
  <c r="P6" i="1" l="1"/>
  <c r="Q6" i="1"/>
  <c r="S6" i="1"/>
  <c r="G5" i="5"/>
  <c r="G14" i="8"/>
  <c r="G20" i="1"/>
  <c r="G8" i="1"/>
  <c r="F5" i="1"/>
  <c r="E5" i="1"/>
  <c r="G5" i="1" l="1"/>
  <c r="F4" i="1"/>
  <c r="E4" i="1"/>
  <c r="F19" i="1"/>
  <c r="E19" i="1"/>
  <c r="S5" i="1" l="1"/>
  <c r="S2" i="1" s="1"/>
  <c r="R5" i="1"/>
  <c r="R2" i="1" s="1"/>
  <c r="Q5" i="1"/>
  <c r="Q2" i="1" s="1"/>
  <c r="P5" i="1"/>
  <c r="P2" i="1" s="1"/>
  <c r="G4" i="1"/>
  <c r="G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2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<sst xmlns="http://schemas.openxmlformats.org/spreadsheetml/2006/main" count="580" uniqueCount="328">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</sst>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5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6" fillId="0" borderId="0" applyNumberFormat="0" applyFill="0" applyBorder="0" applyAlignment="0" applyProtection="0"/>
  </cellStyleXfs>
  <cellXfs count="135">
    <xf numFmtId="0" fontId="0" fillId="0" borderId="0" xfId="0"/>
    <xf numFmtId="0" fontId="45" fillId="0" borderId="0" xfId="0" applyFont="1"/>
    <xf numFmtId="2" fontId="45" fillId="0" borderId="0" xfId="0" applyNumberFormat="1" applyFont="1" applyAlignment="1">
      <alignment horizontal="right"/>
    </xf>
    <xf numFmtId="3" fontId="45" fillId="0" borderId="0" xfId="0" applyNumberFormat="1" applyFont="1" applyAlignment="1">
      <alignment horizontal="right"/>
    </xf>
    <xf numFmtId="0" fontId="45" fillId="0" borderId="0" xfId="0" applyFont="1" applyAlignment="1">
      <alignment horizontal="right"/>
    </xf>
    <xf numFmtId="0" fontId="47" fillId="0" borderId="0" xfId="1" applyFont="1"/>
    <xf numFmtId="0" fontId="44" fillId="0" borderId="0" xfId="0" applyFont="1"/>
    <xf numFmtId="3" fontId="44" fillId="0" borderId="0" xfId="0" applyNumberFormat="1" applyFont="1" applyAlignment="1">
      <alignment horizontal="right"/>
    </xf>
    <xf numFmtId="0" fontId="43" fillId="0" borderId="0" xfId="0" applyFont="1"/>
    <xf numFmtId="3" fontId="48" fillId="0" borderId="0" xfId="0" applyNumberFormat="1" applyFont="1" applyAlignment="1">
      <alignment horizontal="right"/>
    </xf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0" xfId="0" applyFont="1"/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9" fillId="0" borderId="0" xfId="0" applyFont="1" applyAlignment="1">
      <alignment horizontal="right"/>
    </xf>
    <xf numFmtId="0" fontId="39" fillId="0" borderId="0" xfId="0" applyFont="1" applyAlignment="1">
      <alignment horizontal="center"/>
    </xf>
    <xf numFmtId="0" fontId="39" fillId="0" borderId="1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4" fontId="39" fillId="0" borderId="0" xfId="0" applyNumberFormat="1" applyFont="1" applyAlignment="1">
      <alignment horizontal="center"/>
    </xf>
    <xf numFmtId="9" fontId="39" fillId="0" borderId="0" xfId="0" applyNumberFormat="1" applyFont="1" applyAlignment="1">
      <alignment horizontal="center"/>
    </xf>
    <xf numFmtId="164" fontId="39" fillId="0" borderId="1" xfId="0" applyNumberFormat="1" applyFont="1" applyBorder="1" applyAlignment="1">
      <alignment horizontal="center"/>
    </xf>
    <xf numFmtId="164" fontId="39" fillId="0" borderId="0" xfId="0" applyNumberFormat="1" applyFont="1" applyAlignment="1">
      <alignment horizontal="center"/>
    </xf>
    <xf numFmtId="164" fontId="39" fillId="0" borderId="2" xfId="0" applyNumberFormat="1" applyFont="1" applyBorder="1" applyAlignment="1">
      <alignment horizontal="center"/>
    </xf>
    <xf numFmtId="4" fontId="39" fillId="0" borderId="1" xfId="0" applyNumberFormat="1" applyFont="1" applyBorder="1" applyAlignment="1">
      <alignment horizontal="center"/>
    </xf>
    <xf numFmtId="4" fontId="39" fillId="0" borderId="2" xfId="0" applyNumberFormat="1" applyFont="1" applyBorder="1" applyAlignment="1">
      <alignment horizontal="center"/>
    </xf>
    <xf numFmtId="0" fontId="38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9" fontId="37" fillId="0" borderId="0" xfId="0" applyNumberFormat="1" applyFont="1" applyAlignment="1">
      <alignment horizontal="center"/>
    </xf>
    <xf numFmtId="164" fontId="39" fillId="0" borderId="6" xfId="0" applyNumberFormat="1" applyFont="1" applyBorder="1" applyAlignment="1">
      <alignment horizontal="center"/>
    </xf>
    <xf numFmtId="0" fontId="36" fillId="0" borderId="0" xfId="0" applyFont="1" applyAlignment="1">
      <alignment horizontal="right"/>
    </xf>
    <xf numFmtId="0" fontId="35" fillId="0" borderId="0" xfId="0" applyFont="1" applyAlignment="1">
      <alignment horizontal="right"/>
    </xf>
    <xf numFmtId="0" fontId="34" fillId="0" borderId="0" xfId="0" applyFont="1"/>
    <xf numFmtId="4" fontId="39" fillId="0" borderId="0" xfId="0" applyNumberFormat="1" applyFont="1" applyAlignment="1">
      <alignment horizontal="right"/>
    </xf>
    <xf numFmtId="0" fontId="33" fillId="0" borderId="4" xfId="0" applyFont="1" applyBorder="1" applyAlignment="1">
      <alignment horizontal="right"/>
    </xf>
    <xf numFmtId="14" fontId="39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0" fontId="33" fillId="0" borderId="0" xfId="0" applyFont="1"/>
    <xf numFmtId="0" fontId="32" fillId="0" borderId="0" xfId="0" applyFont="1"/>
    <xf numFmtId="0" fontId="32" fillId="0" borderId="0" xfId="0" applyFont="1" applyAlignment="1">
      <alignment horizontal="right"/>
    </xf>
    <xf numFmtId="0" fontId="32" fillId="0" borderId="3" xfId="0" applyFont="1" applyBorder="1" applyAlignment="1">
      <alignment horizontal="center"/>
    </xf>
    <xf numFmtId="0" fontId="32" fillId="0" borderId="6" xfId="0" applyFont="1" applyBorder="1" applyAlignment="1">
      <alignment horizontal="center"/>
    </xf>
    <xf numFmtId="0" fontId="32" fillId="0" borderId="4" xfId="0" applyFont="1" applyBorder="1" applyAlignment="1">
      <alignment horizontal="center"/>
    </xf>
    <xf numFmtId="0" fontId="39" fillId="0" borderId="5" xfId="0" applyFont="1" applyBorder="1"/>
    <xf numFmtId="3" fontId="42" fillId="0" borderId="0" xfId="0" applyNumberFormat="1" applyFont="1"/>
    <xf numFmtId="0" fontId="31" fillId="0" borderId="0" xfId="0" applyFont="1"/>
    <xf numFmtId="0" fontId="30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0" fontId="29" fillId="0" borderId="0" xfId="0" applyFont="1"/>
    <xf numFmtId="3" fontId="45" fillId="0" borderId="0" xfId="0" applyNumberFormat="1" applyFont="1"/>
    <xf numFmtId="3" fontId="48" fillId="0" borderId="0" xfId="0" applyNumberFormat="1" applyFont="1"/>
    <xf numFmtId="3" fontId="29" fillId="0" borderId="0" xfId="0" applyNumberFormat="1" applyFont="1"/>
    <xf numFmtId="4" fontId="45" fillId="0" borderId="0" xfId="0" applyNumberFormat="1" applyFont="1" applyAlignment="1">
      <alignment horizontal="right"/>
    </xf>
    <xf numFmtId="4" fontId="48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49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14" fontId="42" fillId="0" borderId="0" xfId="0" applyNumberFormat="1" applyFont="1"/>
    <xf numFmtId="0" fontId="42" fillId="0" borderId="0" xfId="0" applyFont="1" applyAlignment="1">
      <alignment horizontal="right"/>
    </xf>
    <xf numFmtId="4" fontId="42" fillId="0" borderId="0" xfId="0" applyNumberFormat="1" applyFont="1" applyAlignment="1">
      <alignment horizontal="right"/>
    </xf>
    <xf numFmtId="3" fontId="42" fillId="0" borderId="0" xfId="0" applyNumberFormat="1" applyFont="1" applyAlignment="1">
      <alignment horizontal="right"/>
    </xf>
    <xf numFmtId="3" fontId="25" fillId="0" borderId="0" xfId="0" applyNumberFormat="1" applyFont="1"/>
    <xf numFmtId="0" fontId="25" fillId="0" borderId="0" xfId="0" applyFont="1"/>
    <xf numFmtId="0" fontId="25" fillId="0" borderId="3" xfId="0" applyFont="1" applyBorder="1"/>
    <xf numFmtId="0" fontId="25" fillId="0" borderId="4" xfId="0" applyFont="1" applyBorder="1"/>
    <xf numFmtId="2" fontId="25" fillId="0" borderId="4" xfId="0" applyNumberFormat="1" applyFont="1" applyBorder="1" applyAlignment="1">
      <alignment horizontal="right"/>
    </xf>
    <xf numFmtId="3" fontId="25" fillId="0" borderId="4" xfId="0" applyNumberFormat="1" applyFont="1" applyBorder="1" applyAlignment="1">
      <alignment horizontal="right"/>
    </xf>
    <xf numFmtId="0" fontId="25" fillId="0" borderId="4" xfId="0" applyFont="1" applyBorder="1" applyAlignment="1">
      <alignment horizontal="right"/>
    </xf>
    <xf numFmtId="0" fontId="25" fillId="0" borderId="4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4" fillId="0" borderId="0" xfId="0" applyFont="1"/>
    <xf numFmtId="3" fontId="24" fillId="0" borderId="0" xfId="0" applyNumberFormat="1" applyFont="1"/>
    <xf numFmtId="3" fontId="23" fillId="0" borderId="0" xfId="0" applyNumberFormat="1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3" fontId="16" fillId="0" borderId="0" xfId="0" applyNumberFormat="1" applyFont="1"/>
    <xf numFmtId="0" fontId="16" fillId="0" borderId="0" xfId="0" applyFont="1"/>
    <xf numFmtId="3" fontId="15" fillId="0" borderId="0" xfId="0" applyNumberFormat="1" applyFont="1"/>
    <xf numFmtId="0" fontId="14" fillId="0" borderId="0" xfId="0" applyFont="1"/>
    <xf numFmtId="0" fontId="50" fillId="0" borderId="0" xfId="0" applyFont="1"/>
    <xf numFmtId="0" fontId="13" fillId="0" borderId="0" xfId="0" applyFont="1"/>
    <xf numFmtId="0" fontId="51" fillId="0" borderId="0" xfId="1" applyFont="1"/>
    <xf numFmtId="0" fontId="12" fillId="0" borderId="0" xfId="0" applyFont="1"/>
    <xf numFmtId="3" fontId="12" fillId="0" borderId="0" xfId="0" applyNumberFormat="1" applyFont="1"/>
    <xf numFmtId="0" fontId="11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14" fontId="25" fillId="0" borderId="0" xfId="0" applyNumberFormat="1" applyFont="1"/>
    <xf numFmtId="3" fontId="9" fillId="0" borderId="0" xfId="0" applyNumberFormat="1" applyFont="1"/>
    <xf numFmtId="0" fontId="8" fillId="0" borderId="0" xfId="0" applyFont="1"/>
    <xf numFmtId="3" fontId="8" fillId="0" borderId="0" xfId="0" applyNumberFormat="1" applyFont="1"/>
    <xf numFmtId="0" fontId="7" fillId="0" borderId="0" xfId="0" applyFont="1"/>
    <xf numFmtId="0" fontId="6" fillId="0" borderId="0" xfId="0" applyFont="1"/>
    <xf numFmtId="3" fontId="5" fillId="0" borderId="0" xfId="0" applyNumberFormat="1" applyFont="1"/>
    <xf numFmtId="0" fontId="4" fillId="0" borderId="0" xfId="0" applyFont="1"/>
    <xf numFmtId="0" fontId="3" fillId="0" borderId="0" xfId="0" applyFont="1"/>
    <xf numFmtId="3" fontId="2" fillId="0" borderId="0" xfId="0" applyNumberFormat="1" applyFont="1"/>
    <xf numFmtId="0" fontId="1" fillId="0" borderId="0" xfId="0" applyFont="1"/>
    <xf numFmtId="3" fontId="49" fillId="0" borderId="0" xfId="0" applyNumberFormat="1" applyFont="1"/>
    <xf numFmtId="0" fontId="47" fillId="0" borderId="1" xfId="1" applyFont="1" applyBorder="1"/>
    <xf numFmtId="9" fontId="3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right"/>
    </xf>
    <xf numFmtId="0" fontId="7" fillId="0" borderId="1" xfId="0" applyFont="1" applyBorder="1"/>
    <xf numFmtId="0" fontId="6" fillId="0" borderId="1" xfId="0" applyFont="1" applyBorder="1"/>
    <xf numFmtId="0" fontId="36" fillId="0" borderId="1" xfId="0" applyFont="1" applyBorder="1"/>
    <xf numFmtId="0" fontId="36" fillId="0" borderId="0" xfId="0" applyFont="1"/>
    <xf numFmtId="0" fontId="3" fillId="0" borderId="1" xfId="0" applyFont="1" applyBorder="1"/>
    <xf numFmtId="0" fontId="39" fillId="0" borderId="1" xfId="0" applyFont="1" applyBorder="1"/>
    <xf numFmtId="0" fontId="37" fillId="0" borderId="1" xfId="0" applyFont="1" applyBorder="1"/>
    <xf numFmtId="0" fontId="37" fillId="0" borderId="0" xfId="0" applyFont="1"/>
    <xf numFmtId="0" fontId="32" fillId="0" borderId="1" xfId="0" applyFont="1" applyBorder="1"/>
    <xf numFmtId="0" fontId="39" fillId="0" borderId="7" xfId="0" applyFont="1" applyBorder="1"/>
    <xf numFmtId="0" fontId="39" fillId="0" borderId="6" xfId="0" applyFont="1" applyBorder="1"/>
    <xf numFmtId="2" fontId="39" fillId="0" borderId="6" xfId="0" applyNumberFormat="1" applyFont="1" applyBorder="1" applyAlignment="1">
      <alignment horizontal="right"/>
    </xf>
    <xf numFmtId="3" fontId="39" fillId="0" borderId="6" xfId="0" applyNumberFormat="1" applyFont="1" applyBorder="1" applyAlignment="1">
      <alignment horizontal="right"/>
    </xf>
    <xf numFmtId="0" fontId="39" fillId="0" borderId="6" xfId="0" applyFont="1" applyBorder="1" applyAlignment="1">
      <alignment horizontal="right"/>
    </xf>
    <xf numFmtId="0" fontId="39" fillId="0" borderId="6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externalLink" Target="externalLinks/externalLink16.xml"/><Relationship Id="rId39" Type="http://schemas.openxmlformats.org/officeDocument/2006/relationships/externalLink" Target="externalLinks/externalLink29.xml"/><Relationship Id="rId21" Type="http://schemas.openxmlformats.org/officeDocument/2006/relationships/externalLink" Target="externalLinks/externalLink11.xml"/><Relationship Id="rId34" Type="http://schemas.openxmlformats.org/officeDocument/2006/relationships/externalLink" Target="externalLinks/externalLink2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32" Type="http://schemas.openxmlformats.org/officeDocument/2006/relationships/externalLink" Target="externalLinks/externalLink22.xml"/><Relationship Id="rId37" Type="http://schemas.openxmlformats.org/officeDocument/2006/relationships/externalLink" Target="externalLinks/externalLink27.xml"/><Relationship Id="rId40" Type="http://schemas.openxmlformats.org/officeDocument/2006/relationships/externalLink" Target="externalLinks/externalLink30.xml"/><Relationship Id="rId45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externalLink" Target="externalLinks/externalLink18.xml"/><Relationship Id="rId36" Type="http://schemas.openxmlformats.org/officeDocument/2006/relationships/externalLink" Target="externalLinks/externalLink2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31" Type="http://schemas.openxmlformats.org/officeDocument/2006/relationships/externalLink" Target="externalLinks/externalLink2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externalLink" Target="externalLinks/externalLink17.xml"/><Relationship Id="rId30" Type="http://schemas.openxmlformats.org/officeDocument/2006/relationships/externalLink" Target="externalLinks/externalLink20.xml"/><Relationship Id="rId35" Type="http://schemas.openxmlformats.org/officeDocument/2006/relationships/externalLink" Target="externalLinks/externalLink2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externalLink" Target="externalLinks/externalLink15.xml"/><Relationship Id="rId33" Type="http://schemas.openxmlformats.org/officeDocument/2006/relationships/externalLink" Target="externalLinks/externalLink23.xml"/><Relationship Id="rId38" Type="http://schemas.openxmlformats.org/officeDocument/2006/relationships/externalLink" Target="externalLinks/externalLink28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10.xml"/><Relationship Id="rId41" Type="http://schemas.openxmlformats.org/officeDocument/2006/relationships/externalLink" Target="externalLinks/externalLink3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AB25">
            <v>5.6169011322607476</v>
          </cell>
          <cell r="AC25">
            <v>6.4727841989453889</v>
          </cell>
          <cell r="AD25">
            <v>7.5894844369876644</v>
          </cell>
          <cell r="AE25">
            <v>8.800051286902848</v>
          </cell>
        </row>
        <row r="28">
          <cell r="AM28">
            <v>-0.01</v>
          </cell>
        </row>
        <row r="29">
          <cell r="AM29">
            <v>0.08</v>
          </cell>
        </row>
        <row r="30">
          <cell r="AM30">
            <v>0.01</v>
          </cell>
        </row>
        <row r="32">
          <cell r="AM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10187.554818000001</v>
          </cell>
        </row>
        <row r="5">
          <cell r="K5">
            <v>60710</v>
          </cell>
        </row>
        <row r="6">
          <cell r="K6">
            <v>58053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231.32319706625486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>
        <row r="47">
          <cell r="AT47">
            <v>7.0000000000000007E-2</v>
          </cell>
        </row>
        <row r="48">
          <cell r="AT48">
            <v>-0.05</v>
          </cell>
        </row>
        <row r="49">
          <cell r="AT49">
            <v>0.01</v>
          </cell>
        </row>
        <row r="50">
          <cell r="AT50">
            <v>260.93479765840237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9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SU%20CN.xlsx" TargetMode="External"/><Relationship Id="rId3" Type="http://schemas.openxmlformats.org/officeDocument/2006/relationships/hyperlink" Target="AMZN.xlsx" TargetMode="External"/><Relationship Id="rId7" Type="http://schemas.openxmlformats.org/officeDocument/2006/relationships/hyperlink" Target="BIDU.xlsx" TargetMode="External"/><Relationship Id="rId2" Type="http://schemas.openxmlformats.org/officeDocument/2006/relationships/hyperlink" Target="GOOG.xlsx" TargetMode="External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PLTR.xlsx" TargetMode="External"/><Relationship Id="rId5" Type="http://schemas.openxmlformats.org/officeDocument/2006/relationships/hyperlink" Target="INTU.xlsx" TargetMode="External"/><Relationship Id="rId4" Type="http://schemas.openxmlformats.org/officeDocument/2006/relationships/hyperlink" Target="700%20HK.xlsx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DAY.xlsx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CRM.xlsx" TargetMode="External"/><Relationship Id="rId7" Type="http://schemas.openxmlformats.org/officeDocument/2006/relationships/hyperlink" Target="TEAM.xlsx" TargetMode="External"/><Relationship Id="rId12" Type="http://schemas.openxmlformats.org/officeDocument/2006/relationships/hyperlink" Target="VEEV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VMW.xlsx" TargetMode="External"/><Relationship Id="rId11" Type="http://schemas.openxmlformats.org/officeDocument/2006/relationships/hyperlink" Target="DDOG.xlsx" TargetMode="External"/><Relationship Id="rId5" Type="http://schemas.openxmlformats.org/officeDocument/2006/relationships/hyperlink" Target="NOW.xlsx" TargetMode="External"/><Relationship Id="rId10" Type="http://schemas.openxmlformats.org/officeDocument/2006/relationships/hyperlink" Target="OKTA.xlsx" TargetMode="External"/><Relationship Id="rId4" Type="http://schemas.openxmlformats.org/officeDocument/2006/relationships/hyperlink" Target="SAP.xlsx" TargetMode="External"/><Relationship Id="rId9" Type="http://schemas.openxmlformats.org/officeDocument/2006/relationships/hyperlink" Target="SNOW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700%20HK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68"/>
  <sheetViews>
    <sheetView tabSelected="1" zoomScale="190" zoomScaleNormal="19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9" sqref="J9"/>
    </sheetView>
  </sheetViews>
  <sheetFormatPr defaultColWidth="8.5703125" defaultRowHeight="12.75" x14ac:dyDescent="0.2"/>
  <cols>
    <col min="1" max="1" width="1.5703125" style="20" customWidth="1"/>
    <col min="2" max="2" width="15" style="20" customWidth="1"/>
    <col min="3" max="3" width="10.7109375" style="20" customWidth="1"/>
    <col min="4" max="4" width="8.5703125" style="2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AVERAGE(L4:L6)</f>
        <v>0.52233594707061515</v>
      </c>
      <c r="P2" s="29">
        <f>AVERAGE(P4:P6)</f>
        <v>44.442050288440583</v>
      </c>
      <c r="Q2" s="37">
        <f>AVERAGE(Q4:Q6)</f>
        <v>19.660943543977282</v>
      </c>
      <c r="R2" s="37">
        <f>AVERAGE(R4:R6)</f>
        <v>17.660243915877423</v>
      </c>
      <c r="S2" s="30">
        <f>AVERAGE(S4:S6)</f>
        <v>13.776215113939967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61674</v>
      </c>
      <c r="G4" s="22">
        <f>+E4-F4</f>
        <v>1836894</v>
      </c>
      <c r="H4" s="22">
        <f>+[1]Main!$L$3</f>
        <v>7534</v>
      </c>
      <c r="I4" s="23" t="s">
        <v>14</v>
      </c>
      <c r="J4" s="43">
        <v>44794</v>
      </c>
      <c r="K4" s="27">
        <f>+[1]Model!$AJ$32</f>
        <v>240.35788054423469</v>
      </c>
      <c r="L4" s="28">
        <f>K4/D4-1</f>
        <v>-4.6198886729227451E-2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105.44</v>
      </c>
      <c r="E5" s="22">
        <f>D5*[2]Main!$L$3</f>
        <v>1395920.16</v>
      </c>
      <c r="F5" s="22">
        <f>[2]Main!$L$5-[2]Main!$L$6</f>
        <v>140928</v>
      </c>
      <c r="G5" s="22">
        <f>+E5-F5</f>
        <v>1254992.1599999999</v>
      </c>
      <c r="H5" s="22">
        <f>[2]Main!$L$3</f>
        <v>13239</v>
      </c>
      <c r="I5" s="23" t="s">
        <v>210</v>
      </c>
      <c r="J5" s="43">
        <v>44789</v>
      </c>
      <c r="K5" s="27">
        <f>+[2]Model!$AM$32</f>
        <v>179.60004861383993</v>
      </c>
      <c r="L5" s="28">
        <f>K5/D5-1</f>
        <v>0.70333885255917994</v>
      </c>
      <c r="M5" s="28">
        <f>+[2]Model!$AM$29</f>
        <v>0.08</v>
      </c>
      <c r="N5" s="28">
        <f>+[2]Model!$AM$28</f>
        <v>-0.01</v>
      </c>
      <c r="O5" s="116">
        <f>+[2]Model!$AM$30</f>
        <v>0.01</v>
      </c>
      <c r="P5" s="29">
        <f t="shared" ref="P5:S6" si="0">+($G5/$H5)/T5</f>
        <v>16.876759090129248</v>
      </c>
      <c r="Q5" s="30">
        <f t="shared" si="0"/>
        <v>14.645179621110156</v>
      </c>
      <c r="R5" s="30">
        <f t="shared" si="0"/>
        <v>12.490319735060142</v>
      </c>
      <c r="S5" s="31">
        <f t="shared" si="0"/>
        <v>10.772106224349255</v>
      </c>
      <c r="T5" s="32">
        <f>+[2]Model!AB25</f>
        <v>5.6169011322607476</v>
      </c>
      <c r="U5" s="27">
        <f>+[2]Model!AC25</f>
        <v>6.4727841989453889</v>
      </c>
      <c r="V5" s="27">
        <f>+[2]Model!AD25</f>
        <v>7.5894844369876644</v>
      </c>
      <c r="W5" s="33">
        <f>+[2]Model!AE25</f>
        <v>8.800051286902848</v>
      </c>
    </row>
    <row r="6" spans="1:24" x14ac:dyDescent="0.2">
      <c r="A6" s="72" t="s">
        <v>263</v>
      </c>
      <c r="B6" s="115" t="s">
        <v>11</v>
      </c>
      <c r="C6" s="20" t="s">
        <v>12</v>
      </c>
      <c r="D6" s="21">
        <v>121.12</v>
      </c>
      <c r="E6" s="22">
        <f>+D6*[3]Main!$K$3</f>
        <v>1233916.6395561602</v>
      </c>
      <c r="F6" s="22">
        <f>[3]Main!$K$5-[3]Main!$K$6</f>
        <v>2657</v>
      </c>
      <c r="G6" s="22">
        <f>+E6-F6</f>
        <v>1231259.6395561602</v>
      </c>
      <c r="H6" s="22">
        <f>+[3]Main!$K$3</f>
        <v>10187.554818000001</v>
      </c>
      <c r="I6" s="23" t="s">
        <v>14</v>
      </c>
      <c r="J6" s="43">
        <v>44796</v>
      </c>
      <c r="K6" s="27">
        <f>+[3]Model!$BG$47</f>
        <v>231.32319706625486</v>
      </c>
      <c r="L6" s="28">
        <f>K6/D6-1</f>
        <v>0.90986787538189273</v>
      </c>
      <c r="M6" s="36">
        <f>+[3]Model!$BG$43</f>
        <v>7.0000000000000007E-2</v>
      </c>
      <c r="N6" s="28">
        <f>+[3]Model!$BG$45</f>
        <v>0</v>
      </c>
      <c r="O6" s="116">
        <f>+[3]Model!$BG$44</f>
        <v>0.01</v>
      </c>
      <c r="P6" s="29">
        <f t="shared" si="0"/>
        <v>72.007341486751912</v>
      </c>
      <c r="Q6" s="30">
        <f t="shared" si="0"/>
        <v>24.676707466844412</v>
      </c>
      <c r="R6" s="30">
        <f t="shared" si="0"/>
        <v>22.830168096694702</v>
      </c>
      <c r="S6" s="31">
        <f t="shared" si="0"/>
        <v>16.78032400353068</v>
      </c>
      <c r="T6" s="32">
        <f>+[3]Model!$AV$34</f>
        <v>1.6784287420147448</v>
      </c>
      <c r="U6" s="27">
        <f>+[3]Model!$AW$34</f>
        <v>4.897703299754288</v>
      </c>
      <c r="V6" s="27">
        <f>+[3]Model!$AX$34</f>
        <v>5.2938371314459518</v>
      </c>
      <c r="W6" s="33">
        <f>+[3]Model!$AY$34</f>
        <v>7.2024349209232001</v>
      </c>
    </row>
    <row r="7" spans="1:24" x14ac:dyDescent="0.2">
      <c r="A7" s="72" t="s">
        <v>263</v>
      </c>
      <c r="B7" s="115" t="s">
        <v>15</v>
      </c>
      <c r="C7" s="20" t="s">
        <v>16</v>
      </c>
      <c r="D7" s="21">
        <v>391.4</v>
      </c>
      <c r="E7" s="22">
        <f>+D7*H7/HKD</f>
        <v>482256.97469999234</v>
      </c>
      <c r="F7" s="22">
        <f>([4]Main!$L$5-[4]Main!$L$6)/HKD*1000</f>
        <v>81912.914978725574</v>
      </c>
      <c r="G7" s="22">
        <f>+E7-F7</f>
        <v>400344.05972126673</v>
      </c>
      <c r="H7" s="22">
        <f>+[4]Main!$L$3*1000</f>
        <v>9672</v>
      </c>
      <c r="I7" s="117" t="s">
        <v>210</v>
      </c>
      <c r="J7" s="43">
        <v>44802</v>
      </c>
      <c r="O7" s="26"/>
    </row>
    <row r="8" spans="1:24" x14ac:dyDescent="0.2">
      <c r="A8" s="82" t="s">
        <v>263</v>
      </c>
      <c r="B8" s="115" t="s">
        <v>26</v>
      </c>
      <c r="C8" s="20" t="s">
        <v>27</v>
      </c>
      <c r="D8" s="21">
        <v>413.72</v>
      </c>
      <c r="E8" s="22">
        <f>+D8*H8</f>
        <v>116615.20633988002</v>
      </c>
      <c r="F8" s="22">
        <f>[5]Main!$L$5-[5]Main!$L$6</f>
        <v>-2851</v>
      </c>
      <c r="G8" s="22">
        <f>E8-F8</f>
        <v>119466.20633988002</v>
      </c>
      <c r="H8" s="22">
        <f>+[5]Main!$L$3</f>
        <v>281.86987900000003</v>
      </c>
      <c r="I8" s="134" t="s">
        <v>210</v>
      </c>
      <c r="J8" s="43">
        <v>44830</v>
      </c>
      <c r="O8" s="26"/>
      <c r="X8" s="20">
        <v>1984</v>
      </c>
    </row>
    <row r="9" spans="1:24" x14ac:dyDescent="0.2">
      <c r="A9" s="107" t="s">
        <v>263</v>
      </c>
      <c r="B9" s="115" t="s">
        <v>182</v>
      </c>
      <c r="C9" s="20" t="s">
        <v>183</v>
      </c>
      <c r="D9" s="21">
        <v>2189.48</v>
      </c>
      <c r="E9" s="22">
        <f>D9*H9/CAD</f>
        <v>35713.078128386704</v>
      </c>
      <c r="F9" s="22">
        <f>[6]Main!$O$5-[6]Main!$O$6</f>
        <v>-1206</v>
      </c>
      <c r="G9" s="22">
        <f>E9-F9</f>
        <v>36919.078128386704</v>
      </c>
      <c r="H9" s="22">
        <f>+[6]Main!$O$3</f>
        <v>21.19153</v>
      </c>
      <c r="I9" s="47" t="s">
        <v>210</v>
      </c>
      <c r="J9" s="43">
        <v>44792</v>
      </c>
      <c r="O9" s="26"/>
    </row>
    <row r="10" spans="1:24" x14ac:dyDescent="0.2">
      <c r="A10" s="90" t="s">
        <v>263</v>
      </c>
      <c r="B10" s="115" t="s">
        <v>38</v>
      </c>
      <c r="C10" s="20" t="s">
        <v>39</v>
      </c>
      <c r="D10" s="21">
        <v>152.88</v>
      </c>
      <c r="E10" s="22">
        <f>+D10*[7]Main!$L$3</f>
        <v>52877.369999999995</v>
      </c>
      <c r="F10" s="22">
        <f>([7]Main!$L$5-[7]Main!$L$6)/RMB</f>
        <v>25459.792284866468</v>
      </c>
      <c r="G10" s="22">
        <f>E10-F10</f>
        <v>27417.577715133528</v>
      </c>
      <c r="H10" s="22">
        <f>+[7]Main!$L$3</f>
        <v>345.875</v>
      </c>
      <c r="I10" s="23" t="s">
        <v>14</v>
      </c>
      <c r="O10" s="26"/>
      <c r="X10" s="20">
        <v>2000</v>
      </c>
    </row>
    <row r="11" spans="1:24" x14ac:dyDescent="0.2">
      <c r="A11" s="107" t="s">
        <v>263</v>
      </c>
      <c r="B11" s="118" t="s">
        <v>309</v>
      </c>
      <c r="C11" s="107" t="s">
        <v>310</v>
      </c>
      <c r="D11" s="21">
        <v>113.23</v>
      </c>
      <c r="E11" s="22">
        <v>33330</v>
      </c>
      <c r="F11" s="22"/>
      <c r="G11" s="22"/>
      <c r="H11" s="22"/>
      <c r="O11" s="26"/>
    </row>
    <row r="12" spans="1:24" x14ac:dyDescent="0.2">
      <c r="A12" s="108" t="s">
        <v>263</v>
      </c>
      <c r="B12" s="119" t="s">
        <v>311</v>
      </c>
      <c r="C12" s="108" t="s">
        <v>312</v>
      </c>
      <c r="D12" s="21">
        <v>175.2</v>
      </c>
      <c r="E12" s="22">
        <v>27500</v>
      </c>
      <c r="F12" s="22"/>
      <c r="G12" s="22"/>
      <c r="H12" s="22"/>
      <c r="O12" s="26"/>
    </row>
    <row r="13" spans="1:24" x14ac:dyDescent="0.2">
      <c r="A13" s="108" t="s">
        <v>263</v>
      </c>
      <c r="B13" s="120" t="s">
        <v>229</v>
      </c>
      <c r="C13" s="121" t="s">
        <v>230</v>
      </c>
      <c r="D13" s="21">
        <v>121.2</v>
      </c>
      <c r="E13" s="22" cm="1">
        <f t="array" ref="E13">327904/SEK</f>
        <v>31700.842058451039</v>
      </c>
      <c r="O13" s="26"/>
    </row>
    <row r="14" spans="1:24" x14ac:dyDescent="0.2">
      <c r="A14" s="111" t="s">
        <v>263</v>
      </c>
      <c r="B14" s="122" t="s">
        <v>323</v>
      </c>
      <c r="C14" s="111" t="s">
        <v>324</v>
      </c>
      <c r="D14" s="21">
        <v>46.37</v>
      </c>
      <c r="E14" s="22">
        <v>20860</v>
      </c>
      <c r="O14" s="26"/>
    </row>
    <row r="15" spans="1:24" x14ac:dyDescent="0.2">
      <c r="B15" s="123" t="s">
        <v>79</v>
      </c>
      <c r="C15" s="20" t="s">
        <v>184</v>
      </c>
      <c r="D15" s="21">
        <v>113.23</v>
      </c>
      <c r="E15" s="22">
        <v>33330</v>
      </c>
      <c r="O15" s="26"/>
    </row>
    <row r="16" spans="1:24" x14ac:dyDescent="0.2">
      <c r="B16" s="123" t="s">
        <v>56</v>
      </c>
      <c r="C16" s="20" t="s">
        <v>57</v>
      </c>
      <c r="D16" s="21">
        <v>54.71</v>
      </c>
      <c r="E16" s="22">
        <v>28410</v>
      </c>
      <c r="O16" s="26"/>
    </row>
    <row r="17" spans="2:15" x14ac:dyDescent="0.2">
      <c r="B17" s="123" t="s">
        <v>193</v>
      </c>
      <c r="C17" s="20" t="s">
        <v>194</v>
      </c>
      <c r="D17" s="21">
        <v>375.92</v>
      </c>
      <c r="E17" s="22">
        <v>25610</v>
      </c>
      <c r="O17" s="26"/>
    </row>
    <row r="18" spans="2:15" x14ac:dyDescent="0.2">
      <c r="B18" s="123" t="s">
        <v>191</v>
      </c>
      <c r="C18" s="20" t="s">
        <v>192</v>
      </c>
      <c r="D18" s="21">
        <v>181.71</v>
      </c>
      <c r="E18" s="22">
        <v>25220</v>
      </c>
      <c r="O18" s="26"/>
    </row>
    <row r="19" spans="2:15" x14ac:dyDescent="0.2">
      <c r="B19" s="115" t="s">
        <v>75</v>
      </c>
      <c r="C19" s="20" t="s">
        <v>76</v>
      </c>
      <c r="D19" s="21">
        <v>102.23</v>
      </c>
      <c r="E19" s="22">
        <f>+D19*[8]Main!$K$3</f>
        <v>20147.20788088</v>
      </c>
      <c r="F19" s="22">
        <f>+[8]Main!$K$5-[8]Main!$K$6</f>
        <v>3155</v>
      </c>
      <c r="G19" s="22">
        <f>E19-F19</f>
        <v>16992.20788088</v>
      </c>
      <c r="H19" s="22"/>
      <c r="I19" s="23" t="s">
        <v>14</v>
      </c>
      <c r="O19" s="26"/>
    </row>
    <row r="20" spans="2:15" x14ac:dyDescent="0.2">
      <c r="B20" s="115" t="s">
        <v>154</v>
      </c>
      <c r="C20" s="20" t="s">
        <v>155</v>
      </c>
      <c r="D20" s="21">
        <v>9.35</v>
      </c>
      <c r="E20" s="22">
        <f>D20*[9]Main!$L$3</f>
        <v>19036.599999999999</v>
      </c>
      <c r="F20" s="22">
        <f>[9]Main!$L$5-[9]Main!$L$6</f>
        <v>2585</v>
      </c>
      <c r="G20" s="22">
        <f>E20-F20</f>
        <v>16451.599999999999</v>
      </c>
      <c r="H20" s="22"/>
      <c r="I20" s="23" t="s">
        <v>14</v>
      </c>
      <c r="O20" s="26"/>
    </row>
    <row r="21" spans="2:15" x14ac:dyDescent="0.2">
      <c r="B21" s="123" t="s">
        <v>65</v>
      </c>
      <c r="C21" s="20" t="s">
        <v>66</v>
      </c>
      <c r="D21" s="21">
        <v>312</v>
      </c>
      <c r="E21" s="22">
        <v>19090</v>
      </c>
      <c r="O21" s="26"/>
    </row>
    <row r="22" spans="2:15" x14ac:dyDescent="0.2">
      <c r="B22" s="123" t="s">
        <v>67</v>
      </c>
      <c r="C22" s="20" t="s">
        <v>68</v>
      </c>
      <c r="D22" s="21">
        <v>90.1</v>
      </c>
      <c r="E22" s="22">
        <v>18840</v>
      </c>
      <c r="O22" s="26"/>
    </row>
    <row r="23" spans="2:15" x14ac:dyDescent="0.2">
      <c r="B23" s="123" t="s">
        <v>69</v>
      </c>
      <c r="C23" s="20" t="s">
        <v>70</v>
      </c>
      <c r="D23" s="21">
        <v>360.34</v>
      </c>
      <c r="E23" s="22">
        <v>18140</v>
      </c>
      <c r="O23" s="26"/>
    </row>
    <row r="24" spans="2:15" x14ac:dyDescent="0.2">
      <c r="B24" s="123" t="s">
        <v>195</v>
      </c>
      <c r="C24" s="20" t="s">
        <v>196</v>
      </c>
      <c r="D24" s="21">
        <v>114.84</v>
      </c>
      <c r="E24" s="22">
        <v>17930</v>
      </c>
      <c r="O24" s="26"/>
    </row>
    <row r="25" spans="2:15" x14ac:dyDescent="0.2">
      <c r="B25" s="123" t="s">
        <v>73</v>
      </c>
      <c r="C25" s="20" t="s">
        <v>74</v>
      </c>
      <c r="D25" s="21">
        <v>43.75</v>
      </c>
      <c r="E25" s="22">
        <v>17180</v>
      </c>
      <c r="O25" s="26"/>
    </row>
    <row r="26" spans="2:15" x14ac:dyDescent="0.2">
      <c r="B26" s="123" t="s">
        <v>79</v>
      </c>
      <c r="C26" s="20" t="s">
        <v>80</v>
      </c>
      <c r="D26" s="21">
        <v>40.44</v>
      </c>
      <c r="E26" s="22">
        <v>16810</v>
      </c>
      <c r="O26" s="26"/>
    </row>
    <row r="27" spans="2:15" x14ac:dyDescent="0.2">
      <c r="B27" s="123" t="s">
        <v>83</v>
      </c>
      <c r="C27" s="20" t="s">
        <v>84</v>
      </c>
      <c r="D27" s="21">
        <v>63.5</v>
      </c>
      <c r="E27" s="22">
        <v>16440</v>
      </c>
      <c r="O27" s="26"/>
    </row>
    <row r="28" spans="2:15" x14ac:dyDescent="0.2">
      <c r="B28" s="123" t="s">
        <v>85</v>
      </c>
      <c r="C28" s="20" t="s">
        <v>86</v>
      </c>
      <c r="D28" s="21">
        <v>363.45</v>
      </c>
      <c r="E28" s="22">
        <v>15250</v>
      </c>
      <c r="O28" s="26"/>
    </row>
    <row r="29" spans="2:15" x14ac:dyDescent="0.2">
      <c r="B29" s="123" t="s">
        <v>197</v>
      </c>
      <c r="C29" s="20" t="s">
        <v>198</v>
      </c>
      <c r="D29" s="21">
        <v>87.46</v>
      </c>
      <c r="E29" s="22">
        <v>16020</v>
      </c>
      <c r="O29" s="26"/>
    </row>
    <row r="30" spans="2:15" x14ac:dyDescent="0.2">
      <c r="B30" s="123" t="s">
        <v>203</v>
      </c>
      <c r="C30" s="20" t="s">
        <v>204</v>
      </c>
      <c r="D30" s="21">
        <v>97.08</v>
      </c>
      <c r="E30" s="22">
        <v>15070</v>
      </c>
      <c r="O30" s="26"/>
    </row>
    <row r="31" spans="2:15" x14ac:dyDescent="0.2">
      <c r="B31" s="123" t="s">
        <v>90</v>
      </c>
      <c r="C31" s="20" t="s">
        <v>91</v>
      </c>
      <c r="D31" s="21">
        <v>135.02000000000001</v>
      </c>
      <c r="E31" s="22">
        <v>14050</v>
      </c>
      <c r="O31" s="26"/>
    </row>
    <row r="32" spans="2:15" x14ac:dyDescent="0.2">
      <c r="B32" s="123" t="s">
        <v>92</v>
      </c>
      <c r="C32" s="20" t="s">
        <v>93</v>
      </c>
      <c r="D32" s="21">
        <v>206.61</v>
      </c>
      <c r="E32" s="22">
        <v>13880</v>
      </c>
      <c r="O32" s="26"/>
    </row>
    <row r="33" spans="2:15" x14ac:dyDescent="0.2">
      <c r="B33" s="123" t="s">
        <v>94</v>
      </c>
      <c r="C33" s="20" t="s">
        <v>94</v>
      </c>
      <c r="D33" s="21">
        <v>115.52</v>
      </c>
      <c r="E33" s="22">
        <v>13640</v>
      </c>
      <c r="O33" s="26"/>
    </row>
    <row r="34" spans="2:15" x14ac:dyDescent="0.2">
      <c r="B34" s="123" t="s">
        <v>95</v>
      </c>
      <c r="C34" s="20" t="s">
        <v>95</v>
      </c>
      <c r="D34" s="21">
        <v>206.68</v>
      </c>
      <c r="E34" s="22">
        <v>12990</v>
      </c>
      <c r="O34" s="26"/>
    </row>
    <row r="35" spans="2:15" x14ac:dyDescent="0.2">
      <c r="B35" s="123" t="s">
        <v>96</v>
      </c>
      <c r="C35" s="20" t="s">
        <v>97</v>
      </c>
      <c r="D35" s="21">
        <v>43.77</v>
      </c>
      <c r="E35" s="22">
        <v>12660</v>
      </c>
      <c r="O35" s="26"/>
    </row>
    <row r="36" spans="2:15" x14ac:dyDescent="0.2">
      <c r="B36" s="123" t="s">
        <v>100</v>
      </c>
      <c r="C36" s="20" t="s">
        <v>101</v>
      </c>
      <c r="D36" s="21">
        <v>98.74</v>
      </c>
      <c r="E36" s="22">
        <v>12490</v>
      </c>
      <c r="O36" s="26"/>
    </row>
    <row r="37" spans="2:15" x14ac:dyDescent="0.2">
      <c r="B37" s="123" t="s">
        <v>102</v>
      </c>
      <c r="C37" s="20" t="s">
        <v>103</v>
      </c>
      <c r="D37" s="21">
        <v>40.369999999999997</v>
      </c>
      <c r="E37" s="22">
        <v>11000</v>
      </c>
      <c r="O37" s="26"/>
    </row>
    <row r="38" spans="2:15" x14ac:dyDescent="0.2">
      <c r="B38" s="123" t="s">
        <v>104</v>
      </c>
      <c r="C38" s="20" t="s">
        <v>105</v>
      </c>
      <c r="D38" s="21">
        <v>408.48</v>
      </c>
      <c r="E38" s="22">
        <v>10570</v>
      </c>
      <c r="O38" s="26"/>
    </row>
    <row r="39" spans="2:15" x14ac:dyDescent="0.2">
      <c r="B39" s="123" t="s">
        <v>108</v>
      </c>
      <c r="C39" s="20" t="s">
        <v>109</v>
      </c>
      <c r="D39" s="21">
        <v>80.52</v>
      </c>
      <c r="E39" s="22">
        <v>10310</v>
      </c>
      <c r="O39" s="26"/>
    </row>
    <row r="40" spans="2:15" x14ac:dyDescent="0.2">
      <c r="B40" s="123" t="s">
        <v>110</v>
      </c>
      <c r="C40" s="20" t="s">
        <v>111</v>
      </c>
      <c r="D40" s="21">
        <v>35.200000000000003</v>
      </c>
      <c r="E40" s="22">
        <v>10210</v>
      </c>
      <c r="O40" s="26"/>
    </row>
    <row r="41" spans="2:15" x14ac:dyDescent="0.2">
      <c r="B41" s="123" t="s">
        <v>113</v>
      </c>
      <c r="C41" s="20" t="s">
        <v>114</v>
      </c>
      <c r="D41" s="21">
        <v>8.17</v>
      </c>
      <c r="E41" s="22">
        <v>9320</v>
      </c>
      <c r="O41" s="26"/>
    </row>
    <row r="42" spans="2:15" x14ac:dyDescent="0.2">
      <c r="B42" s="123" t="s">
        <v>115</v>
      </c>
      <c r="C42" s="20" t="s">
        <v>116</v>
      </c>
      <c r="D42" s="21">
        <v>14.73</v>
      </c>
      <c r="E42" s="22">
        <v>9140</v>
      </c>
      <c r="O42" s="26"/>
    </row>
    <row r="43" spans="2:15" x14ac:dyDescent="0.2">
      <c r="B43" s="123" t="s">
        <v>117</v>
      </c>
      <c r="C43" s="20" t="s">
        <v>118</v>
      </c>
      <c r="D43" s="21">
        <v>56.9</v>
      </c>
      <c r="E43" s="22">
        <v>9000</v>
      </c>
      <c r="O43" s="26"/>
    </row>
    <row r="44" spans="2:15" x14ac:dyDescent="0.2">
      <c r="B44" s="123" t="s">
        <v>119</v>
      </c>
      <c r="C44" s="20" t="s">
        <v>120</v>
      </c>
      <c r="D44" s="21">
        <v>203.42</v>
      </c>
      <c r="E44" s="22">
        <v>8580</v>
      </c>
      <c r="O44" s="26"/>
    </row>
    <row r="45" spans="2:15" x14ac:dyDescent="0.2">
      <c r="B45" s="123" t="s">
        <v>122</v>
      </c>
      <c r="C45" s="20" t="s">
        <v>123</v>
      </c>
      <c r="D45" s="21">
        <v>126.81</v>
      </c>
      <c r="E45" s="22">
        <v>8200</v>
      </c>
      <c r="O45" s="26"/>
    </row>
    <row r="46" spans="2:15" x14ac:dyDescent="0.2">
      <c r="B46" s="123" t="s">
        <v>124</v>
      </c>
      <c r="C46" s="20" t="s">
        <v>125</v>
      </c>
      <c r="D46" s="21">
        <v>50.35</v>
      </c>
      <c r="E46" s="22">
        <v>8150</v>
      </c>
      <c r="O46" s="26"/>
    </row>
    <row r="47" spans="2:15" x14ac:dyDescent="0.2">
      <c r="B47" s="123" t="s">
        <v>127</v>
      </c>
      <c r="C47" s="20" t="s">
        <v>128</v>
      </c>
      <c r="D47" s="21">
        <v>88.7</v>
      </c>
      <c r="E47" s="22">
        <v>7910</v>
      </c>
      <c r="O47" s="26"/>
    </row>
    <row r="48" spans="2:15" x14ac:dyDescent="0.2">
      <c r="B48" s="123" t="s">
        <v>129</v>
      </c>
      <c r="C48" s="20" t="s">
        <v>130</v>
      </c>
      <c r="D48" s="21">
        <v>78.3</v>
      </c>
      <c r="E48" s="22">
        <v>7580</v>
      </c>
      <c r="O48" s="26"/>
    </row>
    <row r="49" spans="2:15" x14ac:dyDescent="0.2">
      <c r="B49" s="123" t="s">
        <v>131</v>
      </c>
      <c r="C49" s="20" t="s">
        <v>132</v>
      </c>
      <c r="D49" s="21">
        <v>50.36</v>
      </c>
      <c r="E49" s="22">
        <v>7140</v>
      </c>
      <c r="O49" s="26"/>
    </row>
    <row r="50" spans="2:15" x14ac:dyDescent="0.2">
      <c r="B50" s="123" t="s">
        <v>133</v>
      </c>
      <c r="C50" s="20" t="s">
        <v>134</v>
      </c>
      <c r="D50" s="21">
        <v>80.58</v>
      </c>
      <c r="E50" s="22">
        <v>6930</v>
      </c>
      <c r="O50" s="26"/>
    </row>
    <row r="51" spans="2:15" x14ac:dyDescent="0.2">
      <c r="B51" s="123" t="s">
        <v>135</v>
      </c>
      <c r="C51" s="20" t="s">
        <v>136</v>
      </c>
      <c r="D51" s="21">
        <v>32.869999999999997</v>
      </c>
      <c r="E51" s="22">
        <v>6880</v>
      </c>
      <c r="O51" s="26"/>
    </row>
    <row r="52" spans="2:15" x14ac:dyDescent="0.2">
      <c r="B52" s="123" t="s">
        <v>139</v>
      </c>
      <c r="C52" s="20" t="s">
        <v>140</v>
      </c>
      <c r="D52" s="21">
        <v>54.6</v>
      </c>
      <c r="E52" s="22">
        <v>6370</v>
      </c>
      <c r="O52" s="26"/>
    </row>
    <row r="53" spans="2:15" x14ac:dyDescent="0.2">
      <c r="B53" s="123" t="s">
        <v>141</v>
      </c>
      <c r="C53" s="20" t="s">
        <v>142</v>
      </c>
      <c r="D53" s="21">
        <v>62.59</v>
      </c>
      <c r="E53" s="22">
        <v>6350</v>
      </c>
      <c r="O53" s="26"/>
    </row>
    <row r="54" spans="2:15" x14ac:dyDescent="0.2">
      <c r="B54" s="123" t="s">
        <v>143</v>
      </c>
      <c r="C54" s="20" t="s">
        <v>143</v>
      </c>
      <c r="D54" s="21">
        <v>62.71</v>
      </c>
      <c r="E54" s="22">
        <v>3603</v>
      </c>
      <c r="O54" s="26"/>
    </row>
    <row r="55" spans="2:15" x14ac:dyDescent="0.2">
      <c r="B55" s="123" t="s">
        <v>144</v>
      </c>
      <c r="C55" s="20" t="s">
        <v>145</v>
      </c>
      <c r="D55" s="21">
        <v>21.19</v>
      </c>
      <c r="E55" s="22">
        <v>2965</v>
      </c>
      <c r="O55" s="26"/>
    </row>
    <row r="56" spans="2:15" x14ac:dyDescent="0.2">
      <c r="B56" s="123" t="s">
        <v>149</v>
      </c>
      <c r="C56" s="20" t="s">
        <v>150</v>
      </c>
      <c r="D56" s="21">
        <v>26.99</v>
      </c>
      <c r="E56" s="22">
        <v>1400</v>
      </c>
      <c r="O56" s="26"/>
    </row>
    <row r="57" spans="2:15" x14ac:dyDescent="0.2">
      <c r="B57" s="124" t="s">
        <v>225</v>
      </c>
      <c r="C57" s="125" t="s">
        <v>226</v>
      </c>
      <c r="D57" s="21">
        <v>13.95</v>
      </c>
      <c r="E57" s="22">
        <v>2030</v>
      </c>
      <c r="O57" s="26"/>
    </row>
    <row r="58" spans="2:15" x14ac:dyDescent="0.2">
      <c r="B58" s="124" t="s">
        <v>227</v>
      </c>
      <c r="C58" s="125" t="s">
        <v>228</v>
      </c>
      <c r="D58" s="21">
        <v>19.95</v>
      </c>
      <c r="E58" s="22">
        <v>2560</v>
      </c>
      <c r="O58" s="26"/>
    </row>
    <row r="59" spans="2:15" x14ac:dyDescent="0.2">
      <c r="B59" s="126" t="s">
        <v>236</v>
      </c>
      <c r="C59" s="46" t="s">
        <v>237</v>
      </c>
      <c r="O59" s="26"/>
    </row>
    <row r="60" spans="2:15" x14ac:dyDescent="0.2">
      <c r="B60" s="123"/>
      <c r="O60" s="26"/>
    </row>
    <row r="61" spans="2:15" x14ac:dyDescent="0.2">
      <c r="B61" s="123"/>
      <c r="O61" s="26"/>
    </row>
    <row r="62" spans="2:15" x14ac:dyDescent="0.2">
      <c r="B62" s="123"/>
      <c r="O62" s="26"/>
    </row>
    <row r="63" spans="2:15" x14ac:dyDescent="0.2">
      <c r="B63" s="123"/>
      <c r="O63" s="26"/>
    </row>
    <row r="64" spans="2:15" x14ac:dyDescent="0.2">
      <c r="B64" s="123"/>
      <c r="O64" s="26"/>
    </row>
    <row r="65" spans="2:15" x14ac:dyDescent="0.2">
      <c r="B65" s="123"/>
      <c r="O65" s="26"/>
    </row>
    <row r="66" spans="2:15" x14ac:dyDescent="0.2">
      <c r="B66" s="123"/>
      <c r="O66" s="26"/>
    </row>
    <row r="67" spans="2:15" x14ac:dyDescent="0.2">
      <c r="B67" s="123"/>
      <c r="O67" s="26"/>
    </row>
    <row r="68" spans="2:15" x14ac:dyDescent="0.2">
      <c r="B68" s="127"/>
      <c r="C68" s="128"/>
      <c r="D68" s="129"/>
      <c r="E68" s="130"/>
      <c r="F68" s="131"/>
      <c r="G68" s="131"/>
      <c r="H68" s="131"/>
      <c r="I68" s="131"/>
      <c r="J68" s="131"/>
      <c r="K68" s="132"/>
      <c r="L68" s="132"/>
      <c r="M68" s="132"/>
      <c r="N68" s="132"/>
      <c r="O68" s="133"/>
    </row>
  </sheetData>
  <hyperlinks>
    <hyperlink ref="B19" r:id="rId1" xr:uid="{B43B07AD-918B-4E3C-B6FF-2D0A1726D08C}"/>
    <hyperlink ref="B5" r:id="rId2" xr:uid="{3019DEB6-D8CA-4815-8BF6-407E9419A3F9}"/>
    <hyperlink ref="B6" r:id="rId3" xr:uid="{D0A6A308-9256-4523-8FDF-BCE2AFB11B6E}"/>
    <hyperlink ref="B7" r:id="rId4" xr:uid="{AFA39CB9-3127-4BCA-A3CE-D903EA36E6C7}"/>
    <hyperlink ref="B8" r:id="rId5" xr:uid="{B2FAC7EC-CB56-42A3-96CC-14E909698321}"/>
    <hyperlink ref="B20" r:id="rId6" xr:uid="{5A1A0BF1-1F9D-453A-8615-32812BE41A68}"/>
    <hyperlink ref="B10" r:id="rId7" xr:uid="{831B52E7-EF7A-4831-8425-59EAD7D0F934}"/>
    <hyperlink ref="B9" r:id="rId8" xr:uid="{BF4E9546-147A-4F10-92B1-A91E9292F4F6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4"/>
  <sheetViews>
    <sheetView zoomScale="145" zoomScaleNormal="145" workbookViewId="0"/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5" t="s">
        <v>11</v>
      </c>
      <c r="C3" s="20" t="s">
        <v>12</v>
      </c>
      <c r="D3" s="21">
        <v>121.12</v>
      </c>
      <c r="E3" s="22">
        <f>+D3*[3]Main!$K$3</f>
        <v>1233916.6395561602</v>
      </c>
      <c r="F3" s="22">
        <f>[3]Main!$K$5-[3]Main!$K$6</f>
        <v>2657</v>
      </c>
      <c r="G3" s="22">
        <f>+E3-F3</f>
        <v>1231259.6395561602</v>
      </c>
      <c r="H3" s="22">
        <f>+[3]Main!$K$3</f>
        <v>10187.554818000001</v>
      </c>
      <c r="I3" s="23" t="s">
        <v>14</v>
      </c>
      <c r="J3" s="43">
        <v>44796</v>
      </c>
      <c r="K3" s="27">
        <f>+[3]Model!$BG$47</f>
        <v>231.32319706625486</v>
      </c>
      <c r="L3" s="28">
        <f>K3/D3-1</f>
        <v>0.90986787538189273</v>
      </c>
      <c r="M3" s="36">
        <f>+[3]Model!$BG$43</f>
        <v>7.0000000000000007E-2</v>
      </c>
      <c r="N3" s="28">
        <f>+[3]Model!$BG$45</f>
        <v>0</v>
      </c>
      <c r="O3" s="28">
        <f>+[3]Model!$BG$44</f>
        <v>0.01</v>
      </c>
      <c r="P3" s="29">
        <f>+($G3/$H3)/T3</f>
        <v>72.007341486751912</v>
      </c>
      <c r="Q3" s="30">
        <f>+($G3/$H3)/U3</f>
        <v>24.676707466844412</v>
      </c>
      <c r="R3" s="30">
        <f>+($G3/$H3)/V3</f>
        <v>22.830168096694702</v>
      </c>
      <c r="S3" s="31">
        <f>+($G3/$H3)/W3</f>
        <v>16.78032400353068</v>
      </c>
      <c r="T3" s="32">
        <f>+[3]Model!$AV$34</f>
        <v>1.6784287420147448</v>
      </c>
      <c r="U3" s="27">
        <f>+[3]Model!$AW$34</f>
        <v>4.897703299754288</v>
      </c>
      <c r="V3" s="27">
        <f>+[3]Model!$AX$34</f>
        <v>5.2938371314459518</v>
      </c>
      <c r="W3" s="33">
        <f>+[3]Model!$AY$34</f>
        <v>7.2024349209232001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71.02</v>
      </c>
      <c r="E4" s="22">
        <f>+D4*[10]Main!$G$3</f>
        <v>194736.84</v>
      </c>
      <c r="F4" s="22">
        <f>+[10]Main!$G$5-[10]Main!$G$6</f>
        <v>-53957</v>
      </c>
      <c r="G4" s="22">
        <f>+E4-F4</f>
        <v>248693.84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189</v>
      </c>
      <c r="E5" s="22">
        <f>+D5*[11]Main!$M$3</f>
        <v>188055</v>
      </c>
      <c r="F5" s="22">
        <f>+[11]Main!$M$5-[11]Main!$M$6</f>
        <v>7842</v>
      </c>
      <c r="G5" s="22">
        <f t="shared" ref="G5:G8" si="0">E5-F5</f>
        <v>180213</v>
      </c>
      <c r="H5" s="22"/>
      <c r="I5" s="23" t="s">
        <v>14</v>
      </c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+D6*[12]Main!$L$3</f>
        <v>117834.8</v>
      </c>
      <c r="F6" s="22">
        <f>+[12]Main!$L$5-[12]Main!$L$6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+D7*[13]Main!$L$3</f>
        <v>88000</v>
      </c>
      <c r="F7" s="22">
        <f>+[13]Main!$L$5-[13]Main!$L$6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+[14]Main!$M$5-[14]Main!$M$6</f>
        <v>-8207</v>
      </c>
      <c r="G8" s="22">
        <f t="shared" si="0"/>
        <v>59800.343664439999</v>
      </c>
      <c r="H8" s="22">
        <f>+[14]Main!$M$3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A9" s="82" t="s">
        <v>263</v>
      </c>
      <c r="B9" s="82" t="s">
        <v>266</v>
      </c>
      <c r="C9" s="82" t="s">
        <v>266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+D10*[15]Main!$L$3</f>
        <v>50947.578400000006</v>
      </c>
      <c r="F10" s="22">
        <f>+[15]Main!$L$5-[15]Main!$L$6</f>
        <v>432.39900000000011</v>
      </c>
      <c r="G10" s="22">
        <f t="shared" ref="G10:G15" si="1">E10-F10</f>
        <v>50515.179400000008</v>
      </c>
      <c r="H10" s="22">
        <f>+[15]Main!$L$3</f>
        <v>253.72300000000001</v>
      </c>
      <c r="I10" s="34" t="s">
        <v>14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+[16]Main!$P$5-[16]Main!$P$6</f>
        <v>2134</v>
      </c>
      <c r="G11" s="22">
        <f t="shared" si="1"/>
        <v>40202</v>
      </c>
      <c r="H11" s="23">
        <f>+[16]Main!$P$3</f>
        <v>252</v>
      </c>
      <c r="I11" s="47" t="s">
        <v>14</v>
      </c>
      <c r="J11" s="43">
        <v>44793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+D12*[17]Main!$M$3</f>
        <v>42617.920769999997</v>
      </c>
      <c r="F12" s="22">
        <f>+[17]Main!$M$5-[17]Main!$M$6</f>
        <v>5027.4579999999996</v>
      </c>
      <c r="G12" s="22">
        <f t="shared" si="1"/>
        <v>37590.462769999998</v>
      </c>
      <c r="H12" s="22">
        <f>+[17]Main!$M$3</f>
        <v>314.36099999999999</v>
      </c>
      <c r="I12" s="35" t="s">
        <v>14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+[18]Main!$M$5-[18]Main!$M$6</f>
        <v>2838.5529999999999</v>
      </c>
      <c r="G13" s="22">
        <f t="shared" si="1"/>
        <v>32615.217264799998</v>
      </c>
      <c r="H13" s="22">
        <f>+[18]Main!$M$3</f>
        <v>154.847005</v>
      </c>
      <c r="I13" s="54" t="s">
        <v>14</v>
      </c>
      <c r="J13" s="43">
        <v>44794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+[19]Main!$O$5-[19]Main!$O$6</f>
        <v>970</v>
      </c>
      <c r="G15" s="22">
        <f t="shared" si="1"/>
        <v>29585</v>
      </c>
      <c r="H15" s="71">
        <f>+[19]Main!$O$3</f>
        <v>315</v>
      </c>
      <c r="I15" s="102" t="s">
        <v>210</v>
      </c>
      <c r="J15" s="103">
        <v>44805</v>
      </c>
    </row>
    <row r="16" spans="1:24" s="20" customFormat="1" x14ac:dyDescent="0.2">
      <c r="B16" s="5" t="s">
        <v>201</v>
      </c>
      <c r="C16" s="20" t="s">
        <v>202</v>
      </c>
      <c r="D16" s="21">
        <v>59.49</v>
      </c>
      <c r="E16" s="22">
        <f>+D16*H16</f>
        <v>9339.93</v>
      </c>
      <c r="F16" s="22">
        <f>+[20]Main!$P$5-[20]Main!$P$6</f>
        <v>282</v>
      </c>
      <c r="G16" s="22">
        <f>+E16-F16</f>
        <v>9057.93</v>
      </c>
      <c r="H16" s="22">
        <f>+[20]Main!$P$3</f>
        <v>157</v>
      </c>
      <c r="I16" s="100" t="s">
        <v>210</v>
      </c>
      <c r="J16" s="43">
        <v>44805</v>
      </c>
      <c r="K16" s="24"/>
      <c r="L16" s="24"/>
      <c r="M16" s="24"/>
      <c r="N16" s="24"/>
      <c r="O16" s="24"/>
      <c r="P16" s="25"/>
      <c r="Q16" s="24"/>
      <c r="R16" s="24"/>
      <c r="S16" s="26"/>
      <c r="T16" s="25"/>
      <c r="U16" s="24"/>
      <c r="V16" s="24"/>
      <c r="W16" s="26"/>
    </row>
    <row r="23" spans="2:5" x14ac:dyDescent="0.2">
      <c r="B23" s="95" t="s">
        <v>258</v>
      </c>
    </row>
    <row r="24" spans="2:5" x14ac:dyDescent="0.2">
      <c r="B24" s="94" t="s">
        <v>286</v>
      </c>
      <c r="E24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3" r:id="rId2" xr:uid="{6A6F9818-4597-440E-87A2-061AA6A0D1AA}"/>
    <hyperlink ref="B5" r:id="rId3" xr:uid="{82160796-EF8E-4F69-8090-C97619BD3BC8}"/>
    <hyperlink ref="B6" r:id="rId4" xr:uid="{2964D309-6110-46D1-A6FF-CEF55CE8C8F6}"/>
    <hyperlink ref="B7" r:id="rId5" xr:uid="{BEBE7C2C-69F7-4F68-A1A3-433A555515CF}"/>
    <hyperlink ref="B8" r:id="rId6" xr:uid="{79E0FB94-7B29-4FC8-9D4A-2DAAB02B450C}"/>
    <hyperlink ref="B10" r:id="rId7" xr:uid="{1647F4E6-0995-4C11-AEA1-85BE3B2789D3}"/>
    <hyperlink ref="B11" r:id="rId8" xr:uid="{11F6BC32-0B71-4C3C-92D4-6F1D15C6FCA5}"/>
    <hyperlink ref="B12" r:id="rId9" xr:uid="{BF5095B8-6956-4116-AD45-B06C94DC5EDF}"/>
    <hyperlink ref="B16" r:id="rId10" xr:uid="{1147CFA9-6647-443A-9626-FE00F78AE9FF}"/>
    <hyperlink ref="B15" r:id="rId11" xr:uid="{EE794379-CBE0-4BE4-963F-4A3EB8F86626}"/>
    <hyperlink ref="B13" r:id="rId12" xr:uid="{6424F2CF-2B61-4808-95C3-62B06E9F6361}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14"/>
  <sheetViews>
    <sheetView workbookViewId="0"/>
  </sheetViews>
  <sheetFormatPr defaultRowHeight="12.75" x14ac:dyDescent="0.2"/>
  <cols>
    <col min="1" max="1" width="5" style="63" bestFit="1" customWidth="1"/>
    <col min="2" max="2" width="12" style="63" customWidth="1"/>
    <col min="3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165</v>
      </c>
      <c r="E3" s="22">
        <f>+D3*[21]Main!$M$3</f>
        <v>452430</v>
      </c>
      <c r="F3" s="22">
        <f>+[21]Main!$M$5-[21]Main!$M$6</f>
        <v>43890</v>
      </c>
      <c r="G3" s="22">
        <f t="shared" ref="G3:G4" si="0">+E3-F3</f>
        <v>408540</v>
      </c>
      <c r="H3" s="22">
        <f>+[21]Main!$M$3</f>
        <v>2742</v>
      </c>
      <c r="I3" s="23" t="s">
        <v>14</v>
      </c>
      <c r="J3" s="43">
        <v>44798</v>
      </c>
      <c r="K3" s="27">
        <f>+[21]Model!$AT$50</f>
        <v>260.93479765840237</v>
      </c>
      <c r="L3" s="28">
        <f>K3/D3-1</f>
        <v>0.58142301611152947</v>
      </c>
      <c r="M3" s="28">
        <f>+[21]Model!$AT$47</f>
        <v>7.0000000000000007E-2</v>
      </c>
      <c r="N3" s="28">
        <f>+[21]Model!$AT$48</f>
        <v>-0.05</v>
      </c>
      <c r="O3" s="28">
        <f>+[21]Model!$AT$49</f>
        <v>0.01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 t="shared" si="0"/>
        <v>400344.05972126685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07" t="s">
        <v>263</v>
      </c>
      <c r="B6" s="20" t="s">
        <v>171</v>
      </c>
      <c r="C6" s="20" t="s">
        <v>172</v>
      </c>
      <c r="D6" s="21">
        <v>44.5</v>
      </c>
      <c r="E6" s="22">
        <v>34050</v>
      </c>
      <c r="F6" s="23"/>
      <c r="G6" s="23"/>
      <c r="H6" s="23"/>
      <c r="I6" s="23"/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</row>
    <row r="7" spans="1:24" s="20" customFormat="1" x14ac:dyDescent="0.2">
      <c r="B7" s="96" t="s">
        <v>289</v>
      </c>
      <c r="C7" s="96" t="s">
        <v>290</v>
      </c>
      <c r="D7" s="21"/>
      <c r="E7" s="22"/>
      <c r="F7" s="23"/>
      <c r="G7" s="23"/>
      <c r="H7" s="23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s="20" customFormat="1" x14ac:dyDescent="0.2">
      <c r="B8" s="96" t="s">
        <v>293</v>
      </c>
      <c r="C8" s="96" t="s">
        <v>294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5"/>
      <c r="D9" s="21"/>
      <c r="E9" s="22"/>
      <c r="F9" s="22"/>
      <c r="G9" s="22"/>
      <c r="H9" s="22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4" x14ac:dyDescent="0.2">
      <c r="B10" s="64" t="s">
        <v>258</v>
      </c>
    </row>
    <row r="11" spans="1:24" x14ac:dyDescent="0.2">
      <c r="B11" s="96" t="s">
        <v>288</v>
      </c>
    </row>
    <row r="12" spans="1:24" x14ac:dyDescent="0.2">
      <c r="B12" s="63" t="s">
        <v>257</v>
      </c>
    </row>
    <row r="13" spans="1:24" x14ac:dyDescent="0.2">
      <c r="B13" s="63" t="s">
        <v>256</v>
      </c>
    </row>
    <row r="14" spans="1:24" x14ac:dyDescent="0.2">
      <c r="B14" s="63" t="s">
        <v>255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0"/>
  <sheetViews>
    <sheetView workbookViewId="0">
      <selection activeCell="B10" sqref="B10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+[22]Main!$N$5-[22]Main!$N$6</f>
        <v>1696.7459999999999</v>
      </c>
      <c r="G3" s="22">
        <f>E3-F3</f>
        <v>55775.706251789998</v>
      </c>
      <c r="H3" s="22">
        <f>+[22]Main!$N$3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+D4*[23]Main!$L$3*EUR</f>
        <v>53089.738980000009</v>
      </c>
      <c r="F4" s="22">
        <f>+([23]Main!$L$5-[23]Main!$L$6)*EUR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+[24]Main!$K$5-[24]Main!$K$6</f>
        <v>741.35200000000009</v>
      </c>
      <c r="G5" s="22">
        <f>E5-F5</f>
        <v>50843.144</v>
      </c>
      <c r="H5" s="22">
        <f>+[24]Main!$K$3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+[25]Main!$L$5-[25]Main!$L$6</f>
        <v>-1005</v>
      </c>
      <c r="G6" s="22">
        <f>E6-F6</f>
        <v>45269.86632465</v>
      </c>
      <c r="H6" s="22">
        <f>+[25]Main!$L$3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+[26]Main!$M$5-[26]Main!$M$6</f>
        <v>-235.76700000000005</v>
      </c>
      <c r="G7" s="22">
        <f>E7-F7</f>
        <v>20837.083825649999</v>
      </c>
      <c r="H7" s="22">
        <f>+[26]Main!$M$3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</row>
    <row r="10" spans="1:24" x14ac:dyDescent="0.2">
      <c r="B10" s="113" t="s">
        <v>327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4"/>
  <sheetViews>
    <sheetView zoomScale="175" zoomScaleNormal="175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6" sqref="K6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61674</v>
      </c>
      <c r="G3" s="22">
        <f>+E3-F3</f>
        <v>1836894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+D4*[4]Main!$L$3*1000/HKD</f>
        <v>482256.9746999924</v>
      </c>
      <c r="F4" s="22">
        <f>([4]Main!$L$5-[4]Main!$L$6)/HKD*1000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+D5*[27]Main!$N$3</f>
        <v>146087.55000000002</v>
      </c>
      <c r="F5" s="22">
        <f>+[27]Main!$N$5-[27]Main!$N$6</f>
        <v>1173</v>
      </c>
      <c r="G5" s="22">
        <f t="shared" ref="G5" si="0">+E5-F5</f>
        <v>144914.55000000002</v>
      </c>
      <c r="H5" s="22">
        <f>+[27]Main!$N$3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10" t="s">
        <v>177</v>
      </c>
      <c r="C8" s="10" t="s">
        <v>178</v>
      </c>
      <c r="D8" s="10">
        <v>80.27</v>
      </c>
      <c r="E8" s="52">
        <v>62800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+[28]Main!$N$5-[28]Main!$N$6</f>
        <v>538</v>
      </c>
      <c r="G12" s="52">
        <f>+E12-F12</f>
        <v>36126.879999999997</v>
      </c>
      <c r="H12" s="10">
        <f>+[28]Main!$N$3</f>
        <v>281</v>
      </c>
      <c r="I12" s="66" t="s">
        <v>210</v>
      </c>
      <c r="J12" s="67">
        <v>44799</v>
      </c>
      <c r="X12" s="10">
        <v>1982</v>
      </c>
    </row>
    <row r="13" spans="1:24" x14ac:dyDescent="0.2">
      <c r="B13" s="10" t="s">
        <v>175</v>
      </c>
      <c r="C13" s="10" t="s">
        <v>176</v>
      </c>
      <c r="D13" s="10">
        <v>127.74</v>
      </c>
      <c r="E13" s="52">
        <v>21290</v>
      </c>
    </row>
    <row r="14" spans="1:24" s="1" customFormat="1" x14ac:dyDescent="0.2">
      <c r="B14" s="5" t="s">
        <v>77</v>
      </c>
      <c r="C14" s="1" t="s">
        <v>78</v>
      </c>
      <c r="D14" s="2">
        <v>27.7</v>
      </c>
      <c r="E14" s="3">
        <f>+D14*[29]Main!$K$3</f>
        <v>16302.031699999998</v>
      </c>
      <c r="F14" s="3">
        <f>+[29]Main!$K$5-[29]Main!$K$6</f>
        <v>2144.9299999999998</v>
      </c>
      <c r="G14" s="3">
        <f>+E14-F14</f>
        <v>14157.101699999997</v>
      </c>
      <c r="H14" s="4"/>
      <c r="I14" s="4" t="s">
        <v>14</v>
      </c>
    </row>
    <row r="15" spans="1:24" s="1" customFormat="1" x14ac:dyDescent="0.2">
      <c r="B15" s="1" t="s">
        <v>88</v>
      </c>
      <c r="C15" s="1" t="s">
        <v>89</v>
      </c>
      <c r="D15" s="2">
        <v>45.8</v>
      </c>
      <c r="E15" s="3">
        <v>14330</v>
      </c>
      <c r="F15" s="4"/>
      <c r="G15" s="4"/>
      <c r="H15" s="4"/>
    </row>
    <row r="16" spans="1:24" s="1" customFormat="1" x14ac:dyDescent="0.2">
      <c r="B16" s="1" t="s">
        <v>261</v>
      </c>
      <c r="C16" s="1" t="s">
        <v>262</v>
      </c>
      <c r="D16" s="2"/>
      <c r="E16" s="3"/>
      <c r="F16" s="4"/>
      <c r="G16" s="4"/>
      <c r="H16" s="4"/>
    </row>
    <row r="17" spans="2:23" s="20" customFormat="1" x14ac:dyDescent="0.2">
      <c r="B17" s="65" t="s">
        <v>260</v>
      </c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s="20" customFormat="1" x14ac:dyDescent="0.2">
      <c r="D18" s="21"/>
      <c r="E18" s="22"/>
      <c r="F18" s="23"/>
      <c r="G18" s="23"/>
      <c r="H18" s="23"/>
      <c r="I18" s="23"/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2:23" s="20" customFormat="1" x14ac:dyDescent="0.2"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x14ac:dyDescent="0.2">
      <c r="B21" s="1" t="s">
        <v>54</v>
      </c>
      <c r="C21" s="1"/>
      <c r="D21" s="2"/>
      <c r="E21" s="3">
        <v>31500</v>
      </c>
    </row>
    <row r="22" spans="2:23" s="20" customFormat="1" x14ac:dyDescent="0.2">
      <c r="B22" s="20" t="s">
        <v>58</v>
      </c>
      <c r="D22" s="21"/>
      <c r="E22" s="22">
        <v>27000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s="20" customFormat="1" x14ac:dyDescent="0.2">
      <c r="B23" s="20" t="s">
        <v>112</v>
      </c>
      <c r="D23" s="21"/>
      <c r="E23" s="22">
        <v>10000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3" x14ac:dyDescent="0.2">
      <c r="B24" s="63" t="s">
        <v>259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.75" x14ac:dyDescent="0.2"/>
  <cols>
    <col min="1" max="1" width="5" style="10" bestFit="1" customWidth="1"/>
    <col min="2" max="2" width="12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52" customFormat="1" x14ac:dyDescent="0.2">
      <c r="A7" s="84" t="s">
        <v>263</v>
      </c>
      <c r="B7" s="57" t="s">
        <v>31</v>
      </c>
      <c r="C7" s="57" t="s">
        <v>32</v>
      </c>
      <c r="D7" s="60">
        <v>87.2</v>
      </c>
      <c r="E7" s="3">
        <v>100981</v>
      </c>
      <c r="F7" s="70"/>
      <c r="G7" s="70"/>
      <c r="H7" s="70"/>
      <c r="I7" s="70"/>
    </row>
    <row r="8" spans="1:24" x14ac:dyDescent="0.2">
      <c r="A8" s="87" t="s">
        <v>263</v>
      </c>
      <c r="B8" s="87" t="s">
        <v>275</v>
      </c>
      <c r="C8" s="87" t="s">
        <v>276</v>
      </c>
    </row>
    <row r="9" spans="1:24" x14ac:dyDescent="0.2">
      <c r="A9" s="88" t="s">
        <v>263</v>
      </c>
      <c r="B9" s="88" t="s">
        <v>279</v>
      </c>
      <c r="C9" s="88" t="s">
        <v>280</v>
      </c>
    </row>
    <row r="10" spans="1:24" s="52" customFormat="1" x14ac:dyDescent="0.2">
      <c r="A10" s="91" t="s">
        <v>263</v>
      </c>
      <c r="B10" s="59" t="s">
        <v>253</v>
      </c>
      <c r="C10" s="52" t="s">
        <v>167</v>
      </c>
      <c r="D10" s="69">
        <v>70.94</v>
      </c>
      <c r="E10" s="70">
        <v>41870</v>
      </c>
      <c r="F10" s="70"/>
      <c r="G10" s="70"/>
      <c r="H10" s="70"/>
      <c r="I10" s="70"/>
    </row>
    <row r="11" spans="1:24" s="52" customFormat="1" x14ac:dyDescent="0.2">
      <c r="A11" s="91" t="s">
        <v>263</v>
      </c>
      <c r="B11" s="91" t="s">
        <v>281</v>
      </c>
      <c r="C11" s="91" t="s">
        <v>282</v>
      </c>
      <c r="D11" s="69"/>
      <c r="E11" s="70"/>
      <c r="F11" s="70"/>
      <c r="G11" s="70"/>
      <c r="H11" s="70"/>
      <c r="I11" s="70"/>
    </row>
    <row r="12" spans="1:24" s="52" customFormat="1" x14ac:dyDescent="0.2">
      <c r="A12" s="93" t="s">
        <v>263</v>
      </c>
      <c r="B12" s="93" t="s">
        <v>283</v>
      </c>
      <c r="C12" s="93" t="s">
        <v>284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9" t="s">
        <v>263</v>
      </c>
      <c r="B13" s="99" t="s">
        <v>299</v>
      </c>
      <c r="C13" s="99" t="s">
        <v>299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300</v>
      </c>
      <c r="C14" s="99" t="s">
        <v>301</v>
      </c>
      <c r="D14" s="69"/>
      <c r="E14" s="70"/>
      <c r="F14" s="70"/>
      <c r="G14" s="70"/>
      <c r="H14" s="70"/>
      <c r="I14" s="70"/>
    </row>
    <row r="15" spans="1:24" s="52" customFormat="1" x14ac:dyDescent="0.2">
      <c r="A15" s="104" t="s">
        <v>263</v>
      </c>
      <c r="B15" s="104" t="s">
        <v>304</v>
      </c>
      <c r="C15" s="104" t="s">
        <v>305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6" t="s">
        <v>263</v>
      </c>
      <c r="B16" s="106" t="s">
        <v>307</v>
      </c>
      <c r="C16" s="106" t="s">
        <v>308</v>
      </c>
      <c r="D16" s="69"/>
      <c r="E16" s="70"/>
      <c r="F16" s="70"/>
      <c r="G16" s="70"/>
      <c r="H16" s="70"/>
      <c r="I16" s="70"/>
    </row>
    <row r="17" spans="1:9" s="52" customFormat="1" x14ac:dyDescent="0.2">
      <c r="A17" s="109" t="s">
        <v>263</v>
      </c>
      <c r="B17" s="109" t="s">
        <v>317</v>
      </c>
      <c r="C17" s="109" t="s">
        <v>318</v>
      </c>
      <c r="D17" s="69"/>
      <c r="E17" s="70"/>
      <c r="F17" s="70"/>
      <c r="G17" s="70"/>
      <c r="H17" s="70"/>
      <c r="I17" s="70"/>
    </row>
    <row r="18" spans="1:9" s="52" customFormat="1" x14ac:dyDescent="0.2">
      <c r="B18" s="57" t="s">
        <v>71</v>
      </c>
      <c r="C18" s="57" t="s">
        <v>72</v>
      </c>
      <c r="D18" s="60">
        <v>68.930000000000007</v>
      </c>
      <c r="E18" s="3">
        <v>18053</v>
      </c>
      <c r="F18" s="70"/>
      <c r="G18" s="70"/>
      <c r="H18" s="70"/>
      <c r="I18" s="70"/>
    </row>
    <row r="19" spans="1:9" s="52" customFormat="1" x14ac:dyDescent="0.2">
      <c r="B19" s="52" t="s">
        <v>83</v>
      </c>
      <c r="C19" s="52" t="s">
        <v>84</v>
      </c>
      <c r="D19" s="69">
        <v>58.75</v>
      </c>
      <c r="E19" s="70">
        <v>14980</v>
      </c>
      <c r="F19" s="70"/>
      <c r="G19" s="70"/>
      <c r="H19" s="70"/>
      <c r="I19" s="70"/>
    </row>
    <row r="20" spans="1:9" s="52" customFormat="1" x14ac:dyDescent="0.2">
      <c r="B20" s="57" t="s">
        <v>106</v>
      </c>
      <c r="C20" s="57" t="s">
        <v>107</v>
      </c>
      <c r="D20" s="60">
        <v>184.44</v>
      </c>
      <c r="E20" s="3">
        <v>10400</v>
      </c>
      <c r="F20" s="70"/>
      <c r="G20" s="70"/>
      <c r="H20" s="70"/>
      <c r="I20" s="70"/>
    </row>
    <row r="26" spans="1:9" s="52" customFormat="1" x14ac:dyDescent="0.2">
      <c r="B26" s="58" t="s">
        <v>33</v>
      </c>
      <c r="C26" s="58" t="s">
        <v>156</v>
      </c>
      <c r="D26" s="61">
        <v>0</v>
      </c>
      <c r="E26" s="9">
        <v>100000</v>
      </c>
      <c r="F26" s="70"/>
      <c r="G26" s="70"/>
      <c r="H26" s="70"/>
      <c r="I26" s="70"/>
    </row>
    <row r="27" spans="1:9" x14ac:dyDescent="0.2">
      <c r="B27" s="57" t="s">
        <v>59</v>
      </c>
      <c r="C27" s="57"/>
      <c r="D27" s="61">
        <v>0</v>
      </c>
      <c r="E27" s="3">
        <v>26000</v>
      </c>
    </row>
    <row r="28" spans="1:9" x14ac:dyDescent="0.2">
      <c r="B28" s="57" t="s">
        <v>87</v>
      </c>
      <c r="C28" s="57"/>
      <c r="D28" s="61">
        <v>0</v>
      </c>
      <c r="E28" s="3">
        <v>15000</v>
      </c>
    </row>
    <row r="29" spans="1:9" x14ac:dyDescent="0.2">
      <c r="B29" s="56" t="s">
        <v>252</v>
      </c>
      <c r="D29" s="61">
        <v>0</v>
      </c>
      <c r="E29" s="68">
        <v>75</v>
      </c>
    </row>
    <row r="30" spans="1:9" x14ac:dyDescent="0.2">
      <c r="B30" s="62" t="s">
        <v>254</v>
      </c>
      <c r="D30" s="61">
        <v>0</v>
      </c>
    </row>
    <row r="31" spans="1:9" x14ac:dyDescent="0.2">
      <c r="B31" s="94" t="s">
        <v>285</v>
      </c>
      <c r="E31" s="68">
        <v>424</v>
      </c>
    </row>
    <row r="32" spans="1:9" x14ac:dyDescent="0.2">
      <c r="B32" s="94" t="s">
        <v>287</v>
      </c>
      <c r="E32" s="68">
        <v>159.5</v>
      </c>
    </row>
  </sheetData>
  <hyperlinks>
    <hyperlink ref="A1" location="Main!A1" display="Main" xr:uid="{A1A6C7BE-B827-4E66-8B30-A4C4FF1A4224}"/>
  </hyperlink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3" sqref="A23:XFD2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2657</v>
      </c>
      <c r="G3" s="3">
        <f>+E3-F3</f>
        <v>1229343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D4*[30]Main!$L$3</f>
        <v>310046.98749999999</v>
      </c>
      <c r="F4" s="22" cm="1">
        <f t="array" ref="F4">([30]Main!$L$5-[30]Main!$L$6)/RMB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D5*[30]Main!$L$3</f>
        <v>310046.98749999999</v>
      </c>
      <c r="F5" s="3" cm="1">
        <f t="array" ref="F5">([30]Main!$L$5-[30]Main!$L$6)/RMB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+D12*[31]Main!$M$3</f>
        <v>46254.6</v>
      </c>
      <c r="F12" s="22">
        <f>+[31]Main!$M$5-[31]Main!$M$6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B20" s="1" t="s">
        <v>98</v>
      </c>
      <c r="C20" s="1" t="s">
        <v>99</v>
      </c>
      <c r="D20" s="2">
        <v>2.5099999999999998</v>
      </c>
      <c r="E20" s="3">
        <v>12580</v>
      </c>
    </row>
    <row r="21" spans="1:23" x14ac:dyDescent="0.2">
      <c r="B21" s="10" t="s">
        <v>163</v>
      </c>
      <c r="C21" s="10" t="s">
        <v>164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Main</vt:lpstr>
      <vt:lpstr>Enterprise-Cloud</vt:lpstr>
      <vt:lpstr>Social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2022-09-26T16:04:50Z</dcterms:modified>
  <cp:category/>
  <cp:contentStatus/>
</cp:coreProperties>
</file>