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8D265DF-024B-4757-B580-FFCF3EDDEF32}" xr6:coauthVersionLast="47" xr6:coauthVersionMax="47" xr10:uidLastSave="{00000000-0000-0000-0000-000000000000}"/>
  <bookViews>
    <workbookView xWindow="17460" yWindow="5250" windowWidth="31935" windowHeight="13605" xr2:uid="{813BBC27-F478-46C7-9133-423B20FE42F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9" i="2" l="1"/>
  <c r="L87" i="2"/>
  <c r="L86" i="2"/>
  <c r="L85" i="2"/>
  <c r="L81" i="2"/>
  <c r="L80" i="2"/>
  <c r="L78" i="2"/>
  <c r="L74" i="2"/>
  <c r="L73" i="2"/>
  <c r="L72" i="2"/>
  <c r="K84" i="2"/>
  <c r="L84" i="2" s="1"/>
  <c r="K79" i="2"/>
  <c r="L79" i="2" s="1"/>
  <c r="K75" i="2"/>
  <c r="L75" i="2" s="1"/>
  <c r="L71" i="2"/>
  <c r="L70" i="2"/>
  <c r="L69" i="2"/>
  <c r="L68" i="2"/>
  <c r="K60" i="2"/>
  <c r="K59" i="2"/>
  <c r="K65" i="2" s="1"/>
  <c r="K53" i="2"/>
  <c r="K56" i="2"/>
  <c r="G36" i="2"/>
  <c r="G34" i="2"/>
  <c r="G29" i="2"/>
  <c r="G31" i="2" s="1"/>
  <c r="G45" i="2" s="1"/>
  <c r="K36" i="2"/>
  <c r="K34" i="2"/>
  <c r="K29" i="2"/>
  <c r="K31" i="2" s="1"/>
  <c r="K45" i="2" s="1"/>
  <c r="L60" i="2"/>
  <c r="L59" i="2"/>
  <c r="L53" i="2"/>
  <c r="L56" i="2" s="1"/>
  <c r="H36" i="2"/>
  <c r="L36" i="2"/>
  <c r="H34" i="2"/>
  <c r="L34" i="2"/>
  <c r="H29" i="2"/>
  <c r="H31" i="2" s="1"/>
  <c r="H45" i="2" s="1"/>
  <c r="L29" i="2"/>
  <c r="L31" i="2" s="1"/>
  <c r="L45" i="2" s="1"/>
  <c r="M6" i="1"/>
  <c r="M4" i="1"/>
  <c r="M7" i="1" s="1"/>
  <c r="L65" i="2" l="1"/>
  <c r="L88" i="2"/>
  <c r="K76" i="2"/>
  <c r="L76" i="2"/>
  <c r="L82" i="2"/>
  <c r="K88" i="2"/>
  <c r="K82" i="2"/>
  <c r="L44" i="2"/>
  <c r="G35" i="2"/>
  <c r="G37" i="2" s="1"/>
  <c r="G39" i="2" s="1"/>
  <c r="G40" i="2" s="1"/>
  <c r="K35" i="2"/>
  <c r="K37" i="2" s="1"/>
  <c r="K39" i="2" s="1"/>
  <c r="L35" i="2"/>
  <c r="L37" i="2" s="1"/>
  <c r="L39" i="2" s="1"/>
  <c r="H35" i="2"/>
  <c r="H37" i="2" s="1"/>
  <c r="H39" i="2" s="1"/>
  <c r="H40" i="2" s="1"/>
  <c r="L90" i="2" l="1"/>
  <c r="L40" i="2"/>
  <c r="L67" i="2"/>
  <c r="K40" i="2"/>
  <c r="K67" i="2"/>
  <c r="K90" i="2"/>
</calcChain>
</file>

<file path=xl/sharedStrings.xml><?xml version="1.0" encoding="utf-8"?>
<sst xmlns="http://schemas.openxmlformats.org/spreadsheetml/2006/main" count="103" uniqueCount="93">
  <si>
    <t>Price</t>
  </si>
  <si>
    <t>Shares</t>
  </si>
  <si>
    <t>MC</t>
  </si>
  <si>
    <t>Cash</t>
  </si>
  <si>
    <t>Debt</t>
  </si>
  <si>
    <t>EV</t>
  </si>
  <si>
    <t>Q122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</si>
  <si>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</si>
  <si>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</si>
  <si>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</si>
  <si>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</si>
  <si>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</si>
  <si>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</si>
  <si>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</si>
  <si>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</si>
  <si>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</si>
  <si>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Q421</t>
  </si>
  <si>
    <t>Q321</t>
  </si>
  <si>
    <t>Q322</t>
  </si>
  <si>
    <t>Q422</t>
  </si>
  <si>
    <t>Product</t>
  </si>
  <si>
    <t>Other</t>
  </si>
  <si>
    <t>Gross Margin</t>
  </si>
  <si>
    <t>COGS</t>
  </si>
  <si>
    <t>Gross Profit</t>
  </si>
  <si>
    <t>R&amp;D</t>
  </si>
  <si>
    <t>SG&amp;A</t>
  </si>
  <si>
    <t>OpEx</t>
  </si>
  <si>
    <t>OpInc</t>
  </si>
  <si>
    <t>Interest</t>
  </si>
  <si>
    <t>Pretax</t>
  </si>
  <si>
    <t>Net Income</t>
  </si>
  <si>
    <t>Taxes</t>
  </si>
  <si>
    <t>EPS</t>
  </si>
  <si>
    <t>Revenue y/y</t>
  </si>
  <si>
    <t>Assets</t>
  </si>
  <si>
    <t>AR</t>
  </si>
  <si>
    <t>Inventories</t>
  </si>
  <si>
    <t>Prepaid</t>
  </si>
  <si>
    <t>Held for Sale</t>
  </si>
  <si>
    <t>PP&amp;E</t>
  </si>
  <si>
    <t>Goodwill</t>
  </si>
  <si>
    <t>OA</t>
  </si>
  <si>
    <t>SE</t>
  </si>
  <si>
    <t>L+SE</t>
  </si>
  <si>
    <t>AP</t>
  </si>
  <si>
    <t>OCL</t>
  </si>
  <si>
    <t>ONCL</t>
  </si>
  <si>
    <t>Model NI</t>
  </si>
  <si>
    <t>Reported NI</t>
  </si>
  <si>
    <t>D&amp;A</t>
  </si>
  <si>
    <t>SBC</t>
  </si>
  <si>
    <t>DT</t>
  </si>
  <si>
    <t>Equity</t>
  </si>
  <si>
    <t>Litigation</t>
  </si>
  <si>
    <t>WC</t>
  </si>
  <si>
    <t>Debt &amp; Other</t>
  </si>
  <si>
    <t>SBC Taxes</t>
  </si>
  <si>
    <t>CoCo</t>
  </si>
  <si>
    <t>Dividends</t>
  </si>
  <si>
    <t>CFFF</t>
  </si>
  <si>
    <t>CapEx</t>
  </si>
  <si>
    <t>Securities</t>
  </si>
  <si>
    <t>Product Rights</t>
  </si>
  <si>
    <t>Sale of Assets</t>
  </si>
  <si>
    <t>CFFI</t>
  </si>
  <si>
    <t>CFFO</t>
  </si>
  <si>
    <t>FX</t>
  </si>
  <si>
    <t>CIC</t>
  </si>
  <si>
    <t>Developed</t>
  </si>
  <si>
    <t>China</t>
  </si>
  <si>
    <t>JANZ</t>
  </si>
  <si>
    <t>Emerging</t>
  </si>
  <si>
    <t>Brands</t>
  </si>
  <si>
    <t>Complex/BS</t>
  </si>
  <si>
    <t>Generics</t>
  </si>
  <si>
    <t>Lipitor</t>
  </si>
  <si>
    <t>Norvasc</t>
  </si>
  <si>
    <t>Lyrica</t>
  </si>
  <si>
    <t>Viagra</t>
  </si>
  <si>
    <t>EpiPen</t>
  </si>
  <si>
    <t>Celebrex</t>
  </si>
  <si>
    <t>Creon</t>
  </si>
  <si>
    <t>Effexor</t>
  </si>
  <si>
    <t>Zoloft</t>
  </si>
  <si>
    <t>Xala</t>
  </si>
  <si>
    <t>Dymista</t>
  </si>
  <si>
    <t>Yupelri</t>
  </si>
  <si>
    <t>Amitiza</t>
  </si>
  <si>
    <t>Xanax</t>
  </si>
  <si>
    <t>Formed November 2020</t>
  </si>
  <si>
    <t>CEO: Michael Goettler</t>
  </si>
  <si>
    <t>CFO: Sanjeev Narula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</si>
</sst>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7A8A-799D-4C3F-B6D7-D970F67C6431}">
  <dimension ref="L2:N11"/>
  <sheetViews>
    <sheetView tabSelected="1" zoomScale="160" zoomScaleNormal="160" workbookViewId="0">
      <selection activeCell="L12" sqref="L12"/>
    </sheetView>
  </sheetViews>
  <sheetFormatPr defaultRowHeight="12.75" x14ac:dyDescent="0.2"/>
  <sheetData>
    <row r="2" spans="12:14" x14ac:dyDescent="0.2">
      <c r="L2" t="s">
        <v>0</v>
      </c>
      <c r="M2" s="1">
        <v>8.69</v>
      </c>
    </row>
    <row r="3" spans="12:14" x14ac:dyDescent="0.2">
      <c r="L3" t="s">
        <v>1</v>
      </c>
      <c r="M3" s="2">
        <v>1212.5809400000001</v>
      </c>
      <c r="N3" s="3" t="s">
        <v>7</v>
      </c>
    </row>
    <row r="4" spans="12:14" x14ac:dyDescent="0.2">
      <c r="L4" t="s">
        <v>2</v>
      </c>
      <c r="M4" s="2">
        <f>M2*M3</f>
        <v>10537.3283686</v>
      </c>
      <c r="N4" s="3"/>
    </row>
    <row r="5" spans="12:14" x14ac:dyDescent="0.2">
      <c r="L5" t="s">
        <v>3</v>
      </c>
      <c r="M5" s="2">
        <v>752.4</v>
      </c>
      <c r="N5" s="3" t="s">
        <v>6</v>
      </c>
    </row>
    <row r="6" spans="12:14" x14ac:dyDescent="0.2">
      <c r="L6" t="s">
        <v>4</v>
      </c>
      <c r="M6" s="2">
        <f>18762.5+655.4</f>
        <v>19417.900000000001</v>
      </c>
      <c r="N6" s="3" t="s">
        <v>6</v>
      </c>
    </row>
    <row r="7" spans="12:14" x14ac:dyDescent="0.2">
      <c r="L7" t="s">
        <v>5</v>
      </c>
      <c r="M7" s="2">
        <f>M4-M5+M6</f>
        <v>29202.8283686</v>
      </c>
    </row>
    <row r="9" spans="12:14" x14ac:dyDescent="0.2">
      <c r="L9" t="s">
        <v>90</v>
      </c>
    </row>
    <row r="10" spans="12:14" x14ac:dyDescent="0.2">
      <c r="L10" t="s">
        <v>91</v>
      </c>
    </row>
    <row r="11" spans="12:14" x14ac:dyDescent="0.2">
      <c r="L1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29FB-F424-40E9-A974-86FFAA24DCFE}">
  <dimension ref="A1:N90"/>
  <sheetViews>
    <sheetView zoomScale="175" zoomScaleNormal="17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L29" sqref="L29"/>
    </sheetView>
  </sheetViews>
  <sheetFormatPr defaultRowHeight="12.75" x14ac:dyDescent="0.2"/>
  <cols>
    <col min="1" max="1" width="5" bestFit="1" customWidth="1"/>
    <col min="2" max="2" width="12.28515625" bestFit="1" customWidth="1"/>
    <col min="3" max="14" width="9.140625" style="3"/>
  </cols>
  <sheetData>
    <row r="1" spans="1:14" x14ac:dyDescent="0.2">
      <c r="A1" s="6" t="s">
        <v>8</v>
      </c>
    </row>
    <row r="2" spans="1:14" x14ac:dyDescent="0.2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17</v>
      </c>
      <c r="J2" s="3" t="s">
        <v>16</v>
      </c>
      <c r="K2" s="3" t="s">
        <v>6</v>
      </c>
      <c r="L2" s="3" t="s">
        <v>7</v>
      </c>
      <c r="M2" s="3" t="s">
        <v>18</v>
      </c>
      <c r="N2" s="3" t="s">
        <v>19</v>
      </c>
    </row>
    <row r="3" spans="1:14" s="2" customFormat="1" x14ac:dyDescent="0.2">
      <c r="B3" s="2" t="s">
        <v>73</v>
      </c>
      <c r="C3" s="7"/>
      <c r="D3" s="7"/>
      <c r="E3" s="7"/>
      <c r="F3" s="7"/>
      <c r="G3" s="7"/>
      <c r="H3" s="7">
        <v>2701.7</v>
      </c>
      <c r="I3" s="7"/>
      <c r="J3" s="7"/>
      <c r="K3" s="7"/>
      <c r="L3" s="7">
        <v>2483.1</v>
      </c>
      <c r="M3" s="7"/>
      <c r="N3" s="7"/>
    </row>
    <row r="4" spans="1:14" s="2" customFormat="1" x14ac:dyDescent="0.2">
      <c r="B4" s="2" t="s">
        <v>74</v>
      </c>
      <c r="C4" s="7"/>
      <c r="D4" s="7"/>
      <c r="E4" s="7"/>
      <c r="F4" s="7"/>
      <c r="G4" s="7"/>
      <c r="H4" s="7">
        <v>332.8</v>
      </c>
      <c r="I4" s="7"/>
      <c r="J4" s="7"/>
      <c r="K4" s="7"/>
      <c r="L4" s="7">
        <v>354.8</v>
      </c>
      <c r="M4" s="7"/>
      <c r="N4" s="7"/>
    </row>
    <row r="5" spans="1:14" s="2" customFormat="1" x14ac:dyDescent="0.2">
      <c r="B5" s="2" t="s">
        <v>75</v>
      </c>
      <c r="C5" s="7"/>
      <c r="D5" s="7"/>
      <c r="E5" s="7"/>
      <c r="F5" s="7"/>
      <c r="G5" s="7"/>
      <c r="H5" s="7">
        <v>1527.2</v>
      </c>
      <c r="I5" s="7"/>
      <c r="J5" s="7"/>
      <c r="K5" s="7"/>
      <c r="L5" s="7">
        <v>1267.5</v>
      </c>
      <c r="M5" s="7"/>
      <c r="N5" s="7"/>
    </row>
    <row r="7" spans="1:14" s="2" customFormat="1" x14ac:dyDescent="0.2">
      <c r="B7" s="2" t="s">
        <v>69</v>
      </c>
      <c r="C7" s="7"/>
      <c r="D7" s="7"/>
      <c r="E7" s="7"/>
      <c r="F7" s="7"/>
      <c r="G7" s="7"/>
      <c r="H7" s="7">
        <v>2640.4</v>
      </c>
      <c r="I7" s="7"/>
      <c r="J7" s="7"/>
      <c r="K7" s="7"/>
      <c r="L7" s="7">
        <v>2479.1</v>
      </c>
      <c r="M7" s="7"/>
      <c r="N7" s="7"/>
    </row>
    <row r="8" spans="1:14" s="2" customFormat="1" x14ac:dyDescent="0.2">
      <c r="B8" s="2" t="s">
        <v>70</v>
      </c>
      <c r="C8" s="7"/>
      <c r="D8" s="7"/>
      <c r="E8" s="7"/>
      <c r="F8" s="7"/>
      <c r="G8" s="7"/>
      <c r="H8" s="7">
        <v>550.29999999999995</v>
      </c>
      <c r="I8" s="7"/>
      <c r="J8" s="7"/>
      <c r="K8" s="7"/>
      <c r="L8" s="7">
        <v>548.29999999999995</v>
      </c>
      <c r="M8" s="7"/>
      <c r="N8" s="7"/>
    </row>
    <row r="9" spans="1:14" s="2" customFormat="1" x14ac:dyDescent="0.2">
      <c r="B9" s="2" t="s">
        <v>71</v>
      </c>
      <c r="C9" s="7"/>
      <c r="D9" s="7"/>
      <c r="E9" s="7"/>
      <c r="F9" s="7"/>
      <c r="G9" s="7"/>
      <c r="H9" s="7">
        <v>501</v>
      </c>
      <c r="I9" s="7"/>
      <c r="J9" s="7"/>
      <c r="K9" s="7"/>
      <c r="L9" s="7">
        <v>427.1</v>
      </c>
      <c r="M9" s="7"/>
      <c r="N9" s="7"/>
    </row>
    <row r="10" spans="1:14" s="2" customFormat="1" x14ac:dyDescent="0.2">
      <c r="B10" s="2" t="s">
        <v>72</v>
      </c>
      <c r="C10" s="7"/>
      <c r="D10" s="7"/>
      <c r="E10" s="7"/>
      <c r="F10" s="7"/>
      <c r="G10" s="7"/>
      <c r="H10" s="7">
        <v>870</v>
      </c>
      <c r="I10" s="7"/>
      <c r="J10" s="7"/>
      <c r="K10" s="7"/>
      <c r="L10" s="7">
        <v>650.9</v>
      </c>
      <c r="M10" s="7"/>
      <c r="N10" s="7"/>
    </row>
    <row r="11" spans="1:14" s="2" customFormat="1" x14ac:dyDescent="0.2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s="2" customFormat="1" x14ac:dyDescent="0.2">
      <c r="B12" s="2" t="s">
        <v>76</v>
      </c>
      <c r="C12" s="7"/>
      <c r="D12" s="7"/>
      <c r="E12" s="7"/>
      <c r="F12" s="7"/>
      <c r="G12" s="7"/>
      <c r="H12" s="7">
        <v>398.3</v>
      </c>
      <c r="I12" s="7"/>
      <c r="J12" s="7"/>
      <c r="K12" s="7"/>
      <c r="L12" s="7">
        <v>405.6</v>
      </c>
      <c r="M12" s="7"/>
      <c r="N12" s="7"/>
    </row>
    <row r="13" spans="1:14" s="2" customFormat="1" x14ac:dyDescent="0.2">
      <c r="B13" s="2" t="s">
        <v>77</v>
      </c>
      <c r="C13" s="7"/>
      <c r="D13" s="7"/>
      <c r="E13" s="7"/>
      <c r="F13" s="7"/>
      <c r="G13" s="7"/>
      <c r="H13" s="7">
        <v>209.8</v>
      </c>
      <c r="I13" s="7"/>
      <c r="J13" s="7"/>
      <c r="K13" s="7"/>
      <c r="L13" s="7">
        <v>203</v>
      </c>
      <c r="M13" s="7"/>
      <c r="N13" s="7"/>
    </row>
    <row r="14" spans="1:14" s="2" customFormat="1" x14ac:dyDescent="0.2">
      <c r="B14" s="2" t="s">
        <v>78</v>
      </c>
      <c r="C14" s="7"/>
      <c r="D14" s="7"/>
      <c r="E14" s="7"/>
      <c r="F14" s="7"/>
      <c r="G14" s="7"/>
      <c r="H14" s="7">
        <v>192.5</v>
      </c>
      <c r="I14" s="7"/>
      <c r="J14" s="7"/>
      <c r="K14" s="7"/>
      <c r="L14" s="7">
        <v>155.80000000000001</v>
      </c>
      <c r="M14" s="7"/>
      <c r="N14" s="7"/>
    </row>
    <row r="15" spans="1:14" s="2" customFormat="1" x14ac:dyDescent="0.2">
      <c r="B15" s="2" t="s">
        <v>79</v>
      </c>
      <c r="C15" s="7"/>
      <c r="D15" s="7"/>
      <c r="E15" s="7"/>
      <c r="F15" s="7"/>
      <c r="G15" s="7"/>
      <c r="H15" s="7">
        <v>134.80000000000001</v>
      </c>
      <c r="I15" s="7"/>
      <c r="J15" s="7"/>
      <c r="K15" s="7"/>
      <c r="L15" s="7">
        <v>115.1</v>
      </c>
      <c r="M15" s="7"/>
      <c r="N15" s="7"/>
    </row>
    <row r="16" spans="1:14" s="2" customFormat="1" x14ac:dyDescent="0.2">
      <c r="B16" s="2" t="s">
        <v>80</v>
      </c>
      <c r="C16" s="7"/>
      <c r="D16" s="7"/>
      <c r="E16" s="7"/>
      <c r="F16" s="7"/>
      <c r="G16" s="7"/>
      <c r="H16" s="7">
        <v>104.1</v>
      </c>
      <c r="I16" s="7"/>
      <c r="J16" s="7"/>
      <c r="K16" s="7"/>
      <c r="L16" s="7">
        <v>106.5</v>
      </c>
      <c r="M16" s="7"/>
      <c r="N16" s="7"/>
    </row>
    <row r="17" spans="2:14" s="2" customFormat="1" x14ac:dyDescent="0.2">
      <c r="B17" s="2" t="s">
        <v>81</v>
      </c>
      <c r="C17" s="7"/>
      <c r="D17" s="7"/>
      <c r="E17" s="7"/>
      <c r="F17" s="7"/>
      <c r="G17" s="7"/>
      <c r="H17" s="7">
        <v>82.3</v>
      </c>
      <c r="I17" s="7"/>
      <c r="J17" s="7"/>
      <c r="K17" s="7"/>
      <c r="L17" s="7">
        <v>85.9</v>
      </c>
      <c r="M17" s="7"/>
      <c r="N17" s="7"/>
    </row>
    <row r="18" spans="2:14" s="2" customFormat="1" x14ac:dyDescent="0.2">
      <c r="B18" s="2" t="s">
        <v>82</v>
      </c>
      <c r="C18" s="7"/>
      <c r="D18" s="7"/>
      <c r="E18" s="7"/>
      <c r="F18" s="7"/>
      <c r="G18" s="7"/>
      <c r="H18" s="7">
        <v>80.7</v>
      </c>
      <c r="I18" s="7"/>
      <c r="J18" s="7"/>
      <c r="K18" s="7"/>
      <c r="L18" s="7">
        <v>75.400000000000006</v>
      </c>
      <c r="M18" s="7"/>
      <c r="N18" s="7"/>
    </row>
    <row r="19" spans="2:14" s="2" customFormat="1" x14ac:dyDescent="0.2">
      <c r="B19" s="2" t="s">
        <v>83</v>
      </c>
      <c r="C19" s="7"/>
      <c r="D19" s="7"/>
      <c r="E19" s="7"/>
      <c r="F19" s="7"/>
      <c r="G19" s="7"/>
      <c r="H19" s="7">
        <v>83.5</v>
      </c>
      <c r="I19" s="7"/>
      <c r="J19" s="7"/>
      <c r="K19" s="7"/>
      <c r="L19" s="7">
        <v>73.7</v>
      </c>
      <c r="M19" s="7"/>
      <c r="N19" s="7"/>
    </row>
    <row r="20" spans="2:14" s="2" customFormat="1" x14ac:dyDescent="0.2">
      <c r="B20" s="2" t="s">
        <v>84</v>
      </c>
      <c r="C20" s="7"/>
      <c r="D20" s="7"/>
      <c r="E20" s="7"/>
      <c r="F20" s="7"/>
      <c r="G20" s="7"/>
      <c r="H20" s="7">
        <v>70.900000000000006</v>
      </c>
      <c r="I20" s="7"/>
      <c r="J20" s="7"/>
      <c r="K20" s="7"/>
      <c r="L20" s="7">
        <v>62.5</v>
      </c>
      <c r="M20" s="7"/>
      <c r="N20" s="7"/>
    </row>
    <row r="21" spans="2:14" s="2" customFormat="1" x14ac:dyDescent="0.2">
      <c r="B21" s="2" t="s">
        <v>85</v>
      </c>
      <c r="C21" s="7"/>
      <c r="D21" s="7"/>
      <c r="E21" s="7"/>
      <c r="F21" s="7"/>
      <c r="G21" s="7"/>
      <c r="H21" s="7">
        <v>58.3</v>
      </c>
      <c r="I21" s="7"/>
      <c r="J21" s="7"/>
      <c r="K21" s="7"/>
      <c r="L21" s="7">
        <v>42.7</v>
      </c>
      <c r="M21" s="7"/>
      <c r="N21" s="7"/>
    </row>
    <row r="22" spans="2:14" s="2" customFormat="1" x14ac:dyDescent="0.2">
      <c r="B22" s="2" t="s">
        <v>86</v>
      </c>
      <c r="C22" s="7"/>
      <c r="D22" s="7"/>
      <c r="E22" s="7"/>
      <c r="F22" s="7"/>
      <c r="G22" s="7"/>
      <c r="H22" s="7">
        <v>54.6</v>
      </c>
      <c r="I22" s="7"/>
      <c r="J22" s="7"/>
      <c r="K22" s="7"/>
      <c r="L22" s="7">
        <v>55.5</v>
      </c>
      <c r="M22" s="7"/>
      <c r="N22" s="7"/>
    </row>
    <row r="23" spans="2:14" s="2" customFormat="1" x14ac:dyDescent="0.2">
      <c r="B23" s="2" t="s">
        <v>87</v>
      </c>
      <c r="C23" s="7"/>
      <c r="D23" s="7"/>
      <c r="E23" s="7"/>
      <c r="F23" s="7"/>
      <c r="G23" s="7"/>
      <c r="H23" s="7">
        <v>41.8</v>
      </c>
      <c r="I23" s="7"/>
      <c r="J23" s="7"/>
      <c r="K23" s="7"/>
      <c r="L23" s="7">
        <v>49.1</v>
      </c>
      <c r="M23" s="7"/>
      <c r="N23" s="7"/>
    </row>
    <row r="24" spans="2:14" s="2" customFormat="1" x14ac:dyDescent="0.2">
      <c r="B24" s="2" t="s">
        <v>88</v>
      </c>
      <c r="C24" s="7"/>
      <c r="D24" s="7"/>
      <c r="E24" s="7"/>
      <c r="F24" s="7"/>
      <c r="G24" s="7"/>
      <c r="H24" s="7">
        <v>52.1</v>
      </c>
      <c r="I24" s="7"/>
      <c r="J24" s="7"/>
      <c r="K24" s="7"/>
      <c r="L24" s="7">
        <v>44.1</v>
      </c>
      <c r="M24" s="7"/>
      <c r="N24" s="7"/>
    </row>
    <row r="25" spans="2:14" s="2" customFormat="1" x14ac:dyDescent="0.2">
      <c r="B25" s="2" t="s">
        <v>89</v>
      </c>
      <c r="C25" s="7"/>
      <c r="D25" s="7"/>
      <c r="E25" s="7"/>
      <c r="F25" s="7"/>
      <c r="G25" s="7"/>
      <c r="H25" s="7">
        <v>48.8</v>
      </c>
      <c r="I25" s="7"/>
      <c r="J25" s="7"/>
      <c r="K25" s="7"/>
      <c r="L25" s="7">
        <v>37.200000000000003</v>
      </c>
      <c r="M25" s="7"/>
      <c r="N25" s="7"/>
    </row>
    <row r="27" spans="2:14" s="2" customFormat="1" x14ac:dyDescent="0.2">
      <c r="B27" s="2" t="s">
        <v>20</v>
      </c>
      <c r="C27" s="7"/>
      <c r="D27" s="7"/>
      <c r="E27" s="7"/>
      <c r="F27" s="7"/>
      <c r="G27" s="7">
        <v>4400.1000000000004</v>
      </c>
      <c r="H27" s="7">
        <v>4561.7</v>
      </c>
      <c r="I27" s="7"/>
      <c r="J27" s="7"/>
      <c r="K27" s="7">
        <v>4178.2</v>
      </c>
      <c r="L27" s="7">
        <v>4105.3999999999996</v>
      </c>
      <c r="M27" s="7"/>
      <c r="N27" s="7"/>
    </row>
    <row r="28" spans="2:14" s="2" customFormat="1" x14ac:dyDescent="0.2">
      <c r="B28" s="2" t="s">
        <v>21</v>
      </c>
      <c r="C28" s="7"/>
      <c r="D28" s="7"/>
      <c r="E28" s="7"/>
      <c r="F28" s="7"/>
      <c r="G28" s="7">
        <v>30.2</v>
      </c>
      <c r="H28" s="7">
        <v>16.100000000000001</v>
      </c>
      <c r="I28" s="7"/>
      <c r="J28" s="7"/>
      <c r="K28" s="7">
        <v>13.5</v>
      </c>
      <c r="L28" s="7">
        <v>11.4</v>
      </c>
      <c r="M28" s="7"/>
      <c r="N28" s="7"/>
    </row>
    <row r="29" spans="2:14" s="8" customFormat="1" x14ac:dyDescent="0.2">
      <c r="B29" s="8" t="s">
        <v>9</v>
      </c>
      <c r="C29" s="9"/>
      <c r="D29" s="9"/>
      <c r="E29" s="9"/>
      <c r="F29" s="9"/>
      <c r="G29" s="9">
        <f>+G27+G28</f>
        <v>4430.3</v>
      </c>
      <c r="H29" s="9">
        <f>+H27+H28</f>
        <v>4577.8</v>
      </c>
      <c r="I29" s="9"/>
      <c r="J29" s="9"/>
      <c r="K29" s="9">
        <f>+K27+K28</f>
        <v>4191.7</v>
      </c>
      <c r="L29" s="9">
        <f>+L27+L28</f>
        <v>4116.7999999999993</v>
      </c>
      <c r="M29" s="9"/>
      <c r="N29" s="9"/>
    </row>
    <row r="30" spans="2:14" s="2" customFormat="1" x14ac:dyDescent="0.2">
      <c r="B30" s="2" t="s">
        <v>23</v>
      </c>
      <c r="C30" s="7"/>
      <c r="D30" s="7"/>
      <c r="E30" s="7"/>
      <c r="F30" s="7"/>
      <c r="G30" s="7">
        <v>3303</v>
      </c>
      <c r="H30" s="7">
        <v>3250.1</v>
      </c>
      <c r="I30" s="7"/>
      <c r="J30" s="7"/>
      <c r="K30" s="7">
        <v>2420.5</v>
      </c>
      <c r="L30" s="7">
        <v>2413.5</v>
      </c>
      <c r="M30" s="7"/>
      <c r="N30" s="7"/>
    </row>
    <row r="31" spans="2:14" s="2" customFormat="1" x14ac:dyDescent="0.2">
      <c r="B31" s="2" t="s">
        <v>24</v>
      </c>
      <c r="C31" s="7"/>
      <c r="D31" s="7"/>
      <c r="E31" s="7"/>
      <c r="F31" s="7"/>
      <c r="G31" s="7">
        <f>+G29-G30</f>
        <v>1127.3000000000002</v>
      </c>
      <c r="H31" s="7">
        <f>+H29-H30</f>
        <v>1327.7000000000003</v>
      </c>
      <c r="I31" s="7"/>
      <c r="J31" s="7"/>
      <c r="K31" s="7">
        <f>+K29-K30</f>
        <v>1771.1999999999998</v>
      </c>
      <c r="L31" s="7">
        <f>+L29-L30</f>
        <v>1703.2999999999993</v>
      </c>
      <c r="M31" s="7"/>
      <c r="N31" s="7"/>
    </row>
    <row r="32" spans="2:14" s="2" customFormat="1" x14ac:dyDescent="0.2">
      <c r="B32" s="2" t="s">
        <v>25</v>
      </c>
      <c r="C32" s="7"/>
      <c r="D32" s="7"/>
      <c r="E32" s="7"/>
      <c r="F32" s="7"/>
      <c r="G32" s="7">
        <v>184.1</v>
      </c>
      <c r="H32" s="7">
        <v>147.69999999999999</v>
      </c>
      <c r="I32" s="7"/>
      <c r="J32" s="7"/>
      <c r="K32" s="7">
        <v>142.30000000000001</v>
      </c>
      <c r="L32" s="7">
        <v>162.6</v>
      </c>
      <c r="M32" s="7"/>
      <c r="N32" s="7"/>
    </row>
    <row r="33" spans="2:14" s="2" customFormat="1" x14ac:dyDescent="0.2">
      <c r="B33" s="2" t="s">
        <v>26</v>
      </c>
      <c r="C33" s="7"/>
      <c r="D33" s="7"/>
      <c r="E33" s="7"/>
      <c r="F33" s="7"/>
      <c r="G33" s="7">
        <v>1186.5</v>
      </c>
      <c r="H33" s="7">
        <v>1204.8</v>
      </c>
      <c r="I33" s="7"/>
      <c r="J33" s="7"/>
      <c r="K33" s="7">
        <v>915.3</v>
      </c>
      <c r="L33" s="7">
        <v>981.1</v>
      </c>
      <c r="M33" s="7"/>
      <c r="N33" s="7"/>
    </row>
    <row r="34" spans="2:14" s="2" customFormat="1" x14ac:dyDescent="0.2">
      <c r="B34" s="2" t="s">
        <v>27</v>
      </c>
      <c r="C34" s="7"/>
      <c r="D34" s="7"/>
      <c r="E34" s="7"/>
      <c r="F34" s="7"/>
      <c r="G34" s="7">
        <f>+G32+G33</f>
        <v>1370.6</v>
      </c>
      <c r="H34" s="7">
        <f>+H32+H33</f>
        <v>1352.5</v>
      </c>
      <c r="I34" s="7"/>
      <c r="J34" s="7"/>
      <c r="K34" s="7">
        <f>+K32+K33</f>
        <v>1057.5999999999999</v>
      </c>
      <c r="L34" s="7">
        <f>+L32+L33</f>
        <v>1143.7</v>
      </c>
      <c r="M34" s="7"/>
      <c r="N34" s="7"/>
    </row>
    <row r="35" spans="2:14" s="2" customFormat="1" x14ac:dyDescent="0.2">
      <c r="B35" s="2" t="s">
        <v>28</v>
      </c>
      <c r="C35" s="7"/>
      <c r="D35" s="7"/>
      <c r="E35" s="7"/>
      <c r="F35" s="7"/>
      <c r="G35" s="7">
        <f>+G31-G34</f>
        <v>-243.29999999999973</v>
      </c>
      <c r="H35" s="7">
        <f>+H31-H34</f>
        <v>-24.799999999999727</v>
      </c>
      <c r="I35" s="7"/>
      <c r="J35" s="7"/>
      <c r="K35" s="7">
        <f>+K31-K34</f>
        <v>713.59999999999991</v>
      </c>
      <c r="L35" s="7">
        <f>+L31-L34</f>
        <v>559.59999999999923</v>
      </c>
      <c r="M35" s="7"/>
      <c r="N35" s="7"/>
    </row>
    <row r="36" spans="2:14" s="2" customFormat="1" x14ac:dyDescent="0.2">
      <c r="B36" s="2" t="s">
        <v>29</v>
      </c>
      <c r="C36" s="7"/>
      <c r="D36" s="7"/>
      <c r="E36" s="7"/>
      <c r="F36" s="7"/>
      <c r="G36" s="7">
        <f>-169-6.1</f>
        <v>-175.1</v>
      </c>
      <c r="H36" s="7">
        <f>-167.1-4.2</f>
        <v>-171.29999999999998</v>
      </c>
      <c r="I36" s="7"/>
      <c r="J36" s="7"/>
      <c r="K36" s="7">
        <f>-146.2-33.7</f>
        <v>-179.89999999999998</v>
      </c>
      <c r="L36" s="7">
        <f>-145.9-13.5</f>
        <v>-159.4</v>
      </c>
      <c r="M36" s="7"/>
      <c r="N36" s="7"/>
    </row>
    <row r="37" spans="2:14" s="2" customFormat="1" x14ac:dyDescent="0.2">
      <c r="B37" s="2" t="s">
        <v>30</v>
      </c>
      <c r="C37" s="7"/>
      <c r="D37" s="7"/>
      <c r="E37" s="7"/>
      <c r="F37" s="7"/>
      <c r="G37" s="7">
        <f>+G35+G36</f>
        <v>-418.39999999999975</v>
      </c>
      <c r="H37" s="7">
        <f>+H35+H36</f>
        <v>-196.09999999999971</v>
      </c>
      <c r="I37" s="7"/>
      <c r="J37" s="7"/>
      <c r="K37" s="7">
        <f>+K35+K36</f>
        <v>533.69999999999993</v>
      </c>
      <c r="L37" s="7">
        <f>+L35+L36</f>
        <v>400.19999999999925</v>
      </c>
      <c r="M37" s="7"/>
      <c r="N37" s="7"/>
    </row>
    <row r="38" spans="2:14" s="2" customFormat="1" x14ac:dyDescent="0.2">
      <c r="B38" s="2" t="s">
        <v>32</v>
      </c>
      <c r="C38" s="7"/>
      <c r="D38" s="7"/>
      <c r="E38" s="7"/>
      <c r="F38" s="7"/>
      <c r="G38" s="7">
        <v>596.29999999999995</v>
      </c>
      <c r="H38" s="7">
        <v>60.1</v>
      </c>
      <c r="I38" s="7"/>
      <c r="J38" s="7"/>
      <c r="K38" s="7">
        <v>128.30000000000001</v>
      </c>
      <c r="L38" s="7">
        <v>75.400000000000006</v>
      </c>
      <c r="M38" s="7"/>
      <c r="N38" s="7"/>
    </row>
    <row r="39" spans="2:14" s="2" customFormat="1" x14ac:dyDescent="0.2">
      <c r="B39" s="2" t="s">
        <v>31</v>
      </c>
      <c r="C39" s="7"/>
      <c r="D39" s="7"/>
      <c r="E39" s="7"/>
      <c r="F39" s="7"/>
      <c r="G39" s="7">
        <f>+G37-G38</f>
        <v>-1014.6999999999997</v>
      </c>
      <c r="H39" s="7">
        <f>+H37-H38</f>
        <v>-256.1999999999997</v>
      </c>
      <c r="I39" s="7"/>
      <c r="J39" s="7"/>
      <c r="K39" s="7">
        <f>+K37-K38</f>
        <v>405.39999999999992</v>
      </c>
      <c r="L39" s="7">
        <f>+L37-L38</f>
        <v>324.79999999999927</v>
      </c>
      <c r="M39" s="7"/>
      <c r="N39" s="7"/>
    </row>
    <row r="40" spans="2:14" s="1" customFormat="1" x14ac:dyDescent="0.2">
      <c r="B40" s="1" t="s">
        <v>33</v>
      </c>
      <c r="C40" s="5"/>
      <c r="D40" s="5"/>
      <c r="E40" s="5"/>
      <c r="F40" s="5"/>
      <c r="G40" s="5">
        <f>+G39/G41</f>
        <v>-0.8403312629399583</v>
      </c>
      <c r="H40" s="5">
        <f>+H39/H41</f>
        <v>-0.21194573130377209</v>
      </c>
      <c r="I40" s="5"/>
      <c r="J40" s="5"/>
      <c r="K40" s="5">
        <f>+K39/K41</f>
        <v>0.33418514549501271</v>
      </c>
      <c r="L40" s="5">
        <f>+L39/L41</f>
        <v>0.26686385670856899</v>
      </c>
      <c r="M40" s="5"/>
      <c r="N40" s="5"/>
    </row>
    <row r="41" spans="2:14" s="2" customFormat="1" x14ac:dyDescent="0.2">
      <c r="B41" s="2" t="s">
        <v>1</v>
      </c>
      <c r="C41" s="7"/>
      <c r="D41" s="7"/>
      <c r="E41" s="7"/>
      <c r="F41" s="7"/>
      <c r="G41" s="7">
        <v>1207.5</v>
      </c>
      <c r="H41" s="7">
        <v>1208.8</v>
      </c>
      <c r="I41" s="7"/>
      <c r="J41" s="7"/>
      <c r="K41" s="7">
        <v>1213.0999999999999</v>
      </c>
      <c r="L41" s="7">
        <v>1217.0999999999999</v>
      </c>
      <c r="M41" s="7"/>
      <c r="N41" s="7"/>
    </row>
    <row r="44" spans="2:14" x14ac:dyDescent="0.2">
      <c r="B44" s="2" t="s">
        <v>34</v>
      </c>
      <c r="L44" s="4">
        <f>L29/H29-1</f>
        <v>-0.10070339464371547</v>
      </c>
    </row>
    <row r="45" spans="2:14" x14ac:dyDescent="0.2">
      <c r="B45" t="s">
        <v>22</v>
      </c>
      <c r="G45" s="4">
        <f>+G31/G29</f>
        <v>0.254452294427014</v>
      </c>
      <c r="H45" s="4">
        <f>+H31/H29</f>
        <v>0.29003014548473072</v>
      </c>
      <c r="K45" s="4">
        <f>+K31/K29</f>
        <v>0.42254932366343007</v>
      </c>
      <c r="L45" s="4">
        <f>+L31/L29</f>
        <v>0.41374368441507958</v>
      </c>
    </row>
    <row r="47" spans="2:14" s="2" customFormat="1" x14ac:dyDescent="0.2">
      <c r="B47" s="2" t="s">
        <v>3</v>
      </c>
      <c r="C47" s="7"/>
      <c r="D47" s="7"/>
      <c r="E47" s="7"/>
      <c r="F47" s="7"/>
      <c r="G47" s="7"/>
      <c r="H47" s="7"/>
      <c r="I47" s="7"/>
      <c r="J47" s="7"/>
      <c r="K47" s="7">
        <v>752.4</v>
      </c>
      <c r="L47" s="7">
        <v>664.7</v>
      </c>
      <c r="M47" s="7"/>
      <c r="N47" s="7"/>
    </row>
    <row r="48" spans="2:14" s="2" customFormat="1" x14ac:dyDescent="0.2">
      <c r="B48" s="2" t="s">
        <v>36</v>
      </c>
      <c r="C48" s="7"/>
      <c r="D48" s="7"/>
      <c r="E48" s="7"/>
      <c r="F48" s="7"/>
      <c r="G48" s="7"/>
      <c r="H48" s="7"/>
      <c r="I48" s="7"/>
      <c r="J48" s="7"/>
      <c r="K48" s="7">
        <v>4093.9</v>
      </c>
      <c r="L48" s="7">
        <v>3736.2</v>
      </c>
      <c r="M48" s="7"/>
      <c r="N48" s="7"/>
    </row>
    <row r="49" spans="2:14" s="2" customFormat="1" x14ac:dyDescent="0.2">
      <c r="B49" s="2" t="s">
        <v>37</v>
      </c>
      <c r="C49" s="7"/>
      <c r="D49" s="7"/>
      <c r="E49" s="7"/>
      <c r="F49" s="7"/>
      <c r="G49" s="7"/>
      <c r="H49" s="7"/>
      <c r="I49" s="7"/>
      <c r="J49" s="7"/>
      <c r="K49" s="7">
        <v>3797.3</v>
      </c>
      <c r="L49" s="7">
        <v>3612.5</v>
      </c>
      <c r="M49" s="7"/>
      <c r="N49" s="7"/>
    </row>
    <row r="50" spans="2:14" s="2" customFormat="1" x14ac:dyDescent="0.2">
      <c r="B50" s="2" t="s">
        <v>38</v>
      </c>
      <c r="C50" s="7"/>
      <c r="D50" s="7"/>
      <c r="E50" s="7"/>
      <c r="F50" s="7"/>
      <c r="G50" s="7"/>
      <c r="H50" s="7"/>
      <c r="I50" s="7"/>
      <c r="J50" s="7"/>
      <c r="K50" s="7">
        <v>1763.6</v>
      </c>
      <c r="L50" s="7">
        <v>1697.7</v>
      </c>
      <c r="M50" s="7"/>
      <c r="N50" s="7"/>
    </row>
    <row r="51" spans="2:14" s="2" customFormat="1" x14ac:dyDescent="0.2">
      <c r="B51" s="2" t="s">
        <v>39</v>
      </c>
      <c r="C51" s="7"/>
      <c r="D51" s="7"/>
      <c r="E51" s="7"/>
      <c r="F51" s="7"/>
      <c r="G51" s="7"/>
      <c r="H51" s="7"/>
      <c r="I51" s="7"/>
      <c r="J51" s="7"/>
      <c r="K51" s="7">
        <v>1337.1</v>
      </c>
      <c r="L51" s="7">
        <v>1465.4</v>
      </c>
      <c r="M51" s="7"/>
      <c r="N51" s="7"/>
    </row>
    <row r="52" spans="2:14" s="2" customFormat="1" x14ac:dyDescent="0.2">
      <c r="B52" s="2" t="s">
        <v>40</v>
      </c>
      <c r="C52" s="7"/>
      <c r="D52" s="7"/>
      <c r="E52" s="7"/>
      <c r="F52" s="7"/>
      <c r="G52" s="7"/>
      <c r="H52" s="7"/>
      <c r="I52" s="7"/>
      <c r="J52" s="7"/>
      <c r="K52" s="7">
        <v>3150.2</v>
      </c>
      <c r="L52" s="7">
        <v>3083.9</v>
      </c>
      <c r="M52" s="7"/>
      <c r="N52" s="7"/>
    </row>
    <row r="53" spans="2:14" s="2" customFormat="1" x14ac:dyDescent="0.2">
      <c r="B53" s="2" t="s">
        <v>41</v>
      </c>
      <c r="C53" s="7"/>
      <c r="D53" s="7"/>
      <c r="E53" s="7"/>
      <c r="F53" s="7"/>
      <c r="G53" s="7"/>
      <c r="H53" s="7"/>
      <c r="I53" s="7"/>
      <c r="J53" s="7"/>
      <c r="K53" s="7">
        <f>25251.8+10978.8</f>
        <v>36230.6</v>
      </c>
      <c r="L53" s="7">
        <f>24101.1+10523</f>
        <v>34624.1</v>
      </c>
      <c r="M53" s="7"/>
      <c r="N53" s="7"/>
    </row>
    <row r="54" spans="2:14" s="2" customFormat="1" x14ac:dyDescent="0.2">
      <c r="B54" s="2" t="s">
        <v>32</v>
      </c>
      <c r="C54" s="7"/>
      <c r="D54" s="7"/>
      <c r="E54" s="7"/>
      <c r="F54" s="7"/>
      <c r="G54" s="7"/>
      <c r="H54" s="7"/>
      <c r="I54" s="7"/>
      <c r="J54" s="7"/>
      <c r="K54" s="7">
        <v>1285.8</v>
      </c>
      <c r="L54" s="7">
        <v>1243.2</v>
      </c>
      <c r="M54" s="7"/>
      <c r="N54" s="7"/>
    </row>
    <row r="55" spans="2:14" s="2" customFormat="1" x14ac:dyDescent="0.2">
      <c r="B55" s="2" t="s">
        <v>42</v>
      </c>
      <c r="C55" s="7"/>
      <c r="D55" s="7"/>
      <c r="E55" s="7"/>
      <c r="F55" s="7"/>
      <c r="G55" s="7"/>
      <c r="H55" s="7"/>
      <c r="I55" s="7"/>
      <c r="J55" s="7"/>
      <c r="K55" s="7">
        <v>1056</v>
      </c>
      <c r="L55" s="7">
        <v>997.4</v>
      </c>
      <c r="M55" s="7"/>
      <c r="N55" s="7"/>
    </row>
    <row r="56" spans="2:14" s="2" customFormat="1" x14ac:dyDescent="0.2">
      <c r="B56" s="2" t="s">
        <v>35</v>
      </c>
      <c r="C56" s="7"/>
      <c r="D56" s="7"/>
      <c r="E56" s="7"/>
      <c r="F56" s="7"/>
      <c r="G56" s="7"/>
      <c r="H56" s="7"/>
      <c r="I56" s="7"/>
      <c r="J56" s="7"/>
      <c r="K56" s="7">
        <f>SUM(K47:K55)</f>
        <v>53466.9</v>
      </c>
      <c r="L56" s="7">
        <f>SUM(L47:L55)</f>
        <v>51125.1</v>
      </c>
      <c r="M56" s="7"/>
      <c r="N56" s="7"/>
    </row>
    <row r="58" spans="2:14" s="2" customFormat="1" x14ac:dyDescent="0.2">
      <c r="B58" s="2" t="s">
        <v>45</v>
      </c>
      <c r="C58" s="7"/>
      <c r="D58" s="7"/>
      <c r="E58" s="7"/>
      <c r="F58" s="7"/>
      <c r="G58" s="7"/>
      <c r="H58" s="7"/>
      <c r="I58" s="7"/>
      <c r="J58" s="7"/>
      <c r="K58" s="7">
        <v>1499.6</v>
      </c>
      <c r="L58" s="7">
        <v>1670.1</v>
      </c>
      <c r="M58" s="7"/>
      <c r="N58" s="7"/>
    </row>
    <row r="59" spans="2:14" s="2" customFormat="1" x14ac:dyDescent="0.2">
      <c r="B59" s="2" t="s">
        <v>4</v>
      </c>
      <c r="C59" s="7"/>
      <c r="D59" s="7"/>
      <c r="E59" s="7"/>
      <c r="F59" s="7"/>
      <c r="G59" s="7"/>
      <c r="H59" s="7"/>
      <c r="I59" s="7"/>
      <c r="J59" s="7"/>
      <c r="K59" s="7">
        <f>655.4+18762.5+2606.1</f>
        <v>22024</v>
      </c>
      <c r="L59" s="7">
        <f>1019.7+19206.4+768.2</f>
        <v>20994.300000000003</v>
      </c>
      <c r="M59" s="7"/>
      <c r="N59" s="7"/>
    </row>
    <row r="60" spans="2:14" s="2" customFormat="1" x14ac:dyDescent="0.2">
      <c r="B60" s="2" t="s">
        <v>32</v>
      </c>
      <c r="C60" s="7"/>
      <c r="D60" s="7"/>
      <c r="E60" s="7"/>
      <c r="F60" s="7"/>
      <c r="G60" s="7"/>
      <c r="H60" s="7"/>
      <c r="I60" s="7"/>
      <c r="J60" s="7"/>
      <c r="K60" s="7">
        <f>177.8+2729.5</f>
        <v>2907.3</v>
      </c>
      <c r="L60" s="7">
        <f>125.7+2617.9</f>
        <v>2743.6</v>
      </c>
      <c r="M60" s="7"/>
      <c r="N60" s="7"/>
    </row>
    <row r="61" spans="2:14" s="2" customFormat="1" x14ac:dyDescent="0.2">
      <c r="B61" s="2" t="s">
        <v>39</v>
      </c>
      <c r="C61" s="7"/>
      <c r="D61" s="7"/>
      <c r="E61" s="7"/>
      <c r="F61" s="7"/>
      <c r="G61" s="7"/>
      <c r="H61" s="7"/>
      <c r="I61" s="7"/>
      <c r="J61" s="7"/>
      <c r="K61" s="7">
        <v>277.7</v>
      </c>
      <c r="L61" s="7">
        <v>285.10000000000002</v>
      </c>
      <c r="M61" s="7"/>
      <c r="N61" s="7"/>
    </row>
    <row r="62" spans="2:14" s="2" customFormat="1" x14ac:dyDescent="0.2">
      <c r="B62" s="2" t="s">
        <v>46</v>
      </c>
      <c r="C62" s="7"/>
      <c r="D62" s="7"/>
      <c r="E62" s="7"/>
      <c r="F62" s="7"/>
      <c r="G62" s="7"/>
      <c r="H62" s="7"/>
      <c r="I62" s="7"/>
      <c r="J62" s="7"/>
      <c r="K62" s="7">
        <v>4426.3</v>
      </c>
      <c r="L62" s="7">
        <v>3812.4</v>
      </c>
      <c r="M62" s="7"/>
      <c r="N62" s="7"/>
    </row>
    <row r="63" spans="2:14" s="2" customFormat="1" x14ac:dyDescent="0.2">
      <c r="B63" s="2" t="s">
        <v>47</v>
      </c>
      <c r="C63" s="7"/>
      <c r="D63" s="7"/>
      <c r="E63" s="7"/>
      <c r="F63" s="7"/>
      <c r="G63" s="7"/>
      <c r="H63" s="7"/>
      <c r="I63" s="7"/>
      <c r="J63" s="7"/>
      <c r="K63" s="7">
        <v>1884.3</v>
      </c>
      <c r="L63" s="7">
        <v>1814.2</v>
      </c>
      <c r="M63" s="7"/>
      <c r="N63" s="7"/>
    </row>
    <row r="64" spans="2:14" s="2" customFormat="1" x14ac:dyDescent="0.2">
      <c r="B64" s="2" t="s">
        <v>43</v>
      </c>
      <c r="C64" s="7"/>
      <c r="D64" s="7"/>
      <c r="E64" s="7"/>
      <c r="F64" s="7"/>
      <c r="G64" s="7"/>
      <c r="H64" s="7"/>
      <c r="I64" s="7"/>
      <c r="J64" s="7"/>
      <c r="K64" s="7">
        <v>20447.7</v>
      </c>
      <c r="L64" s="7">
        <v>19805.400000000001</v>
      </c>
      <c r="M64" s="7"/>
      <c r="N64" s="7"/>
    </row>
    <row r="65" spans="2:14" s="2" customFormat="1" x14ac:dyDescent="0.2">
      <c r="B65" s="2" t="s">
        <v>44</v>
      </c>
      <c r="C65" s="7"/>
      <c r="D65" s="7"/>
      <c r="E65" s="7"/>
      <c r="F65" s="7"/>
      <c r="G65" s="7"/>
      <c r="H65" s="7"/>
      <c r="I65" s="7"/>
      <c r="J65" s="7"/>
      <c r="K65" s="7">
        <f>SUM(K58:K64)</f>
        <v>53466.899999999994</v>
      </c>
      <c r="L65" s="7">
        <f>SUM(L58:L64)</f>
        <v>51125.100000000006</v>
      </c>
      <c r="M65" s="7"/>
      <c r="N65" s="7"/>
    </row>
    <row r="67" spans="2:14" s="2" customFormat="1" x14ac:dyDescent="0.2">
      <c r="B67" s="2" t="s">
        <v>48</v>
      </c>
      <c r="C67" s="7"/>
      <c r="D67" s="7"/>
      <c r="E67" s="7"/>
      <c r="F67" s="7"/>
      <c r="G67" s="7"/>
      <c r="H67" s="7"/>
      <c r="I67" s="7"/>
      <c r="J67" s="7"/>
      <c r="K67" s="7">
        <f>+K39</f>
        <v>405.39999999999992</v>
      </c>
      <c r="L67" s="7">
        <f>+L39</f>
        <v>324.79999999999927</v>
      </c>
      <c r="M67" s="7"/>
      <c r="N67" s="7"/>
    </row>
    <row r="68" spans="2:14" s="2" customFormat="1" x14ac:dyDescent="0.2">
      <c r="B68" s="2" t="s">
        <v>49</v>
      </c>
      <c r="C68" s="7"/>
      <c r="D68" s="7"/>
      <c r="E68" s="7"/>
      <c r="F68" s="7"/>
      <c r="G68" s="7"/>
      <c r="H68" s="7"/>
      <c r="I68" s="7"/>
      <c r="J68" s="7"/>
      <c r="K68" s="7">
        <v>399.2</v>
      </c>
      <c r="L68" s="7">
        <f>713.1-K68</f>
        <v>313.90000000000003</v>
      </c>
      <c r="M68" s="7"/>
      <c r="N68" s="7"/>
    </row>
    <row r="69" spans="2:14" s="2" customFormat="1" x14ac:dyDescent="0.2">
      <c r="B69" s="2" t="s">
        <v>50</v>
      </c>
      <c r="C69" s="7"/>
      <c r="D69" s="7"/>
      <c r="E69" s="7"/>
      <c r="F69" s="7"/>
      <c r="G69" s="7"/>
      <c r="H69" s="7"/>
      <c r="I69" s="7"/>
      <c r="J69" s="7"/>
      <c r="K69" s="7">
        <v>736</v>
      </c>
      <c r="L69" s="7">
        <f>1458.3-K69</f>
        <v>722.3</v>
      </c>
      <c r="M69" s="7"/>
      <c r="N69" s="7"/>
    </row>
    <row r="70" spans="2:14" s="2" customFormat="1" x14ac:dyDescent="0.2">
      <c r="B70" s="2" t="s">
        <v>51</v>
      </c>
      <c r="C70" s="7"/>
      <c r="D70" s="7"/>
      <c r="E70" s="7"/>
      <c r="F70" s="7"/>
      <c r="G70" s="7"/>
      <c r="H70" s="7"/>
      <c r="I70" s="7"/>
      <c r="J70" s="7"/>
      <c r="K70" s="7">
        <v>28.3</v>
      </c>
      <c r="L70" s="7">
        <f>57.7-K70</f>
        <v>29.400000000000002</v>
      </c>
      <c r="M70" s="7"/>
      <c r="N70" s="7"/>
    </row>
    <row r="71" spans="2:14" s="2" customFormat="1" x14ac:dyDescent="0.2">
      <c r="B71" s="2" t="s">
        <v>52</v>
      </c>
      <c r="C71" s="7"/>
      <c r="D71" s="7"/>
      <c r="E71" s="7"/>
      <c r="F71" s="7"/>
      <c r="G71" s="7"/>
      <c r="H71" s="7"/>
      <c r="I71" s="7"/>
      <c r="J71" s="7"/>
      <c r="K71" s="7">
        <v>-52.8</v>
      </c>
      <c r="L71" s="7">
        <f>-157.6-K71</f>
        <v>-104.8</v>
      </c>
      <c r="M71" s="7"/>
      <c r="N71" s="7"/>
    </row>
    <row r="72" spans="2:14" s="2" customFormat="1" x14ac:dyDescent="0.2">
      <c r="B72" s="2" t="s">
        <v>53</v>
      </c>
      <c r="C72" s="7"/>
      <c r="D72" s="7"/>
      <c r="E72" s="7"/>
      <c r="F72" s="7"/>
      <c r="G72" s="7"/>
      <c r="H72" s="7"/>
      <c r="I72" s="7"/>
      <c r="J72" s="7"/>
      <c r="K72" s="7">
        <v>-0.1</v>
      </c>
      <c r="L72" s="7">
        <f>0-K72</f>
        <v>0.1</v>
      </c>
      <c r="M72" s="7"/>
      <c r="N72" s="7"/>
    </row>
    <row r="73" spans="2:14" s="2" customFormat="1" x14ac:dyDescent="0.2">
      <c r="B73" s="2" t="s">
        <v>21</v>
      </c>
      <c r="C73" s="7"/>
      <c r="D73" s="7"/>
      <c r="E73" s="7"/>
      <c r="F73" s="7"/>
      <c r="G73" s="7"/>
      <c r="H73" s="7"/>
      <c r="I73" s="7"/>
      <c r="J73" s="7"/>
      <c r="K73" s="7">
        <v>37.799999999999997</v>
      </c>
      <c r="L73" s="7">
        <f>3.8-K73</f>
        <v>-34</v>
      </c>
      <c r="M73" s="7"/>
      <c r="N73" s="7"/>
    </row>
    <row r="74" spans="2:14" s="2" customFormat="1" x14ac:dyDescent="0.2">
      <c r="B74" s="2" t="s">
        <v>54</v>
      </c>
      <c r="C74" s="7"/>
      <c r="D74" s="7"/>
      <c r="E74" s="7"/>
      <c r="F74" s="7"/>
      <c r="G74" s="7"/>
      <c r="H74" s="7"/>
      <c r="I74" s="7"/>
      <c r="J74" s="7"/>
      <c r="K74" s="7">
        <v>5.2</v>
      </c>
      <c r="L74" s="7">
        <f>10-K74</f>
        <v>4.8</v>
      </c>
      <c r="M74" s="7"/>
      <c r="N74" s="7"/>
    </row>
    <row r="75" spans="2:14" s="2" customFormat="1" x14ac:dyDescent="0.2">
      <c r="B75" s="2" t="s">
        <v>55</v>
      </c>
      <c r="C75" s="7"/>
      <c r="D75" s="7"/>
      <c r="E75" s="7"/>
      <c r="F75" s="7"/>
      <c r="G75" s="7"/>
      <c r="H75" s="7"/>
      <c r="I75" s="7"/>
      <c r="J75" s="7"/>
      <c r="K75" s="7">
        <f>-115.5-69.1-30.2+67+132.7</f>
        <v>-15.099999999999994</v>
      </c>
      <c r="L75" s="7">
        <f>-142.3-270.1+254.5+17.8-4.2-K75</f>
        <v>-129.20000000000002</v>
      </c>
      <c r="M75" s="7"/>
      <c r="N75" s="7"/>
    </row>
    <row r="76" spans="2:14" s="2" customFormat="1" x14ac:dyDescent="0.2">
      <c r="B76" s="2" t="s">
        <v>66</v>
      </c>
      <c r="C76" s="7"/>
      <c r="D76" s="7"/>
      <c r="E76" s="7"/>
      <c r="F76" s="7"/>
      <c r="G76" s="7"/>
      <c r="H76" s="7"/>
      <c r="I76" s="7"/>
      <c r="J76" s="7"/>
      <c r="K76" s="7">
        <f>SUM(K68:K75)</f>
        <v>1138.5000000000002</v>
      </c>
      <c r="L76" s="7">
        <f>SUM(L68:L75)</f>
        <v>802.50000000000011</v>
      </c>
      <c r="M76" s="7"/>
      <c r="N76" s="7"/>
    </row>
    <row r="77" spans="2:14" s="2" customFormat="1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2:14" s="2" customFormat="1" x14ac:dyDescent="0.2">
      <c r="B78" s="2" t="s">
        <v>61</v>
      </c>
      <c r="C78" s="7"/>
      <c r="D78" s="7"/>
      <c r="E78" s="7"/>
      <c r="F78" s="7"/>
      <c r="G78" s="7"/>
      <c r="H78" s="7"/>
      <c r="I78" s="7"/>
      <c r="J78" s="7"/>
      <c r="K78" s="7">
        <v>-64.5</v>
      </c>
      <c r="L78" s="7">
        <f>-148.4-K78</f>
        <v>-83.9</v>
      </c>
      <c r="M78" s="7"/>
      <c r="N78" s="7"/>
    </row>
    <row r="79" spans="2:14" s="2" customFormat="1" x14ac:dyDescent="0.2">
      <c r="B79" s="2" t="s">
        <v>62</v>
      </c>
      <c r="C79" s="7"/>
      <c r="D79" s="7"/>
      <c r="E79" s="7"/>
      <c r="F79" s="7"/>
      <c r="G79" s="7"/>
      <c r="H79" s="7"/>
      <c r="I79" s="7"/>
      <c r="J79" s="7"/>
      <c r="K79" s="7">
        <f>-8.6+8.5</f>
        <v>-9.9999999999999645E-2</v>
      </c>
      <c r="L79" s="7">
        <f>-13.2+12.8-K79</f>
        <v>-0.29999999999999893</v>
      </c>
      <c r="M79" s="7"/>
      <c r="N79" s="7"/>
    </row>
    <row r="80" spans="2:14" s="2" customFormat="1" x14ac:dyDescent="0.2">
      <c r="B80" s="2" t="s">
        <v>63</v>
      </c>
      <c r="C80" s="7"/>
      <c r="D80" s="7"/>
      <c r="E80" s="7"/>
      <c r="F80" s="7"/>
      <c r="G80" s="7"/>
      <c r="H80" s="7"/>
      <c r="I80" s="7"/>
      <c r="J80" s="7"/>
      <c r="K80" s="7">
        <v>-7.4</v>
      </c>
      <c r="L80" s="7">
        <f>-13-K80</f>
        <v>-5.6</v>
      </c>
      <c r="M80" s="7"/>
      <c r="N80" s="7"/>
    </row>
    <row r="81" spans="2:14" s="2" customFormat="1" x14ac:dyDescent="0.2">
      <c r="B81" s="2" t="s">
        <v>64</v>
      </c>
      <c r="C81" s="7"/>
      <c r="D81" s="7"/>
      <c r="E81" s="7"/>
      <c r="F81" s="7"/>
      <c r="G81" s="7"/>
      <c r="H81" s="7"/>
      <c r="I81" s="7"/>
      <c r="J81" s="7"/>
      <c r="K81" s="7">
        <v>5.0999999999999996</v>
      </c>
      <c r="L81" s="7">
        <f>12.8-K81</f>
        <v>7.7000000000000011</v>
      </c>
      <c r="M81" s="7"/>
      <c r="N81" s="7"/>
    </row>
    <row r="82" spans="2:14" s="2" customFormat="1" x14ac:dyDescent="0.2">
      <c r="B82" s="2" t="s">
        <v>65</v>
      </c>
      <c r="C82" s="7"/>
      <c r="D82" s="7"/>
      <c r="E82" s="7"/>
      <c r="F82" s="7"/>
      <c r="G82" s="7"/>
      <c r="H82" s="7"/>
      <c r="I82" s="7"/>
      <c r="J82" s="7"/>
      <c r="K82" s="7">
        <f>SUM(K78:K81)</f>
        <v>-66.900000000000006</v>
      </c>
      <c r="L82" s="7">
        <f>SUM(L78:L81)</f>
        <v>-82.1</v>
      </c>
      <c r="M82" s="7"/>
      <c r="N82" s="7"/>
    </row>
    <row r="83" spans="2:14" s="2" customFormat="1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2:14" s="2" customFormat="1" x14ac:dyDescent="0.2">
      <c r="B84" s="2" t="s">
        <v>56</v>
      </c>
      <c r="C84" s="7"/>
      <c r="D84" s="7"/>
      <c r="E84" s="7"/>
      <c r="F84" s="7"/>
      <c r="G84" s="7"/>
      <c r="H84" s="7"/>
      <c r="I84" s="7"/>
      <c r="J84" s="7"/>
      <c r="K84" s="7">
        <f>0.1-0.1-837.9-0.4-0.2</f>
        <v>-838.5</v>
      </c>
      <c r="L84" s="7">
        <f>795.4-1787-473.5-1.3+0.7-0.2-K84</f>
        <v>-627.39999999999986</v>
      </c>
      <c r="M84" s="7"/>
      <c r="N84" s="7"/>
    </row>
    <row r="85" spans="2:14" s="2" customFormat="1" x14ac:dyDescent="0.2">
      <c r="B85" s="2" t="s">
        <v>57</v>
      </c>
      <c r="C85" s="7"/>
      <c r="D85" s="7"/>
      <c r="E85" s="7"/>
      <c r="F85" s="7"/>
      <c r="G85" s="7"/>
      <c r="H85" s="7"/>
      <c r="I85" s="7"/>
      <c r="J85" s="7"/>
      <c r="K85" s="7">
        <v>-9.9</v>
      </c>
      <c r="L85" s="7">
        <f>-13.2-K85</f>
        <v>-3.2999999999999989</v>
      </c>
      <c r="M85" s="7"/>
      <c r="N85" s="7"/>
    </row>
    <row r="86" spans="2:14" s="2" customFormat="1" x14ac:dyDescent="0.2">
      <c r="B86" s="2" t="s">
        <v>58</v>
      </c>
      <c r="C86" s="7"/>
      <c r="D86" s="7"/>
      <c r="E86" s="7"/>
      <c r="F86" s="7"/>
      <c r="G86" s="7"/>
      <c r="H86" s="7"/>
      <c r="I86" s="7"/>
      <c r="J86" s="7"/>
      <c r="K86" s="7">
        <v>-15.5</v>
      </c>
      <c r="L86" s="7">
        <f>-18.9-K86</f>
        <v>-3.3999999999999986</v>
      </c>
      <c r="M86" s="7"/>
      <c r="N86" s="7"/>
    </row>
    <row r="87" spans="2:14" s="2" customFormat="1" x14ac:dyDescent="0.2">
      <c r="B87" s="2" t="s">
        <v>59</v>
      </c>
      <c r="C87" s="7"/>
      <c r="D87" s="7"/>
      <c r="E87" s="7"/>
      <c r="F87" s="7"/>
      <c r="G87" s="7"/>
      <c r="H87" s="7"/>
      <c r="I87" s="7"/>
      <c r="J87" s="7"/>
      <c r="K87" s="7">
        <v>-145.1</v>
      </c>
      <c r="L87" s="7">
        <f>-290.6-K87</f>
        <v>-145.50000000000003</v>
      </c>
      <c r="M87" s="7"/>
      <c r="N87" s="7"/>
    </row>
    <row r="88" spans="2:14" s="2" customFormat="1" x14ac:dyDescent="0.2">
      <c r="B88" s="2" t="s">
        <v>60</v>
      </c>
      <c r="C88" s="7"/>
      <c r="D88" s="7"/>
      <c r="E88" s="7"/>
      <c r="F88" s="7"/>
      <c r="G88" s="7"/>
      <c r="H88" s="7"/>
      <c r="I88" s="7"/>
      <c r="J88" s="7"/>
      <c r="K88" s="7">
        <f>SUM(K84:K87)</f>
        <v>-1009</v>
      </c>
      <c r="L88" s="7">
        <f>SUM(L84:L87)</f>
        <v>-779.5999999999998</v>
      </c>
      <c r="M88" s="7"/>
      <c r="N88" s="7"/>
    </row>
    <row r="89" spans="2:14" s="2" customFormat="1" x14ac:dyDescent="0.2">
      <c r="B89" s="2" t="s">
        <v>67</v>
      </c>
      <c r="C89" s="7"/>
      <c r="D89" s="7"/>
      <c r="E89" s="7"/>
      <c r="F89" s="7"/>
      <c r="G89" s="7"/>
      <c r="H89" s="7"/>
      <c r="I89" s="7"/>
      <c r="J89" s="7"/>
      <c r="K89" s="7">
        <v>-11.4</v>
      </c>
      <c r="L89" s="7">
        <f>-40.2-K89</f>
        <v>-28.800000000000004</v>
      </c>
      <c r="M89" s="7"/>
      <c r="N89" s="7"/>
    </row>
    <row r="90" spans="2:14" s="2" customFormat="1" x14ac:dyDescent="0.2">
      <c r="B90" s="2" t="s">
        <v>68</v>
      </c>
      <c r="C90" s="7"/>
      <c r="D90" s="7"/>
      <c r="E90" s="7"/>
      <c r="F90" s="7"/>
      <c r="G90" s="7"/>
      <c r="H90" s="7"/>
      <c r="I90" s="7"/>
      <c r="J90" s="7"/>
      <c r="K90" s="7">
        <f>+K88+K89+K82+K76</f>
        <v>51.200000000000273</v>
      </c>
      <c r="L90" s="7">
        <f>+L88+L89+L82+L76</f>
        <v>-87.999999999999659</v>
      </c>
      <c r="M90" s="7"/>
      <c r="N90" s="7"/>
    </row>
  </sheetData>
  <hyperlinks>
    <hyperlink ref="A1" location="Main!A1" display="Main" xr:uid="{93B33797-E4EA-4FDB-827A-0D8F4F37A4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2022-07-20T19:29:44Z</dcterms:created>
  <dcterms:modified xsi:type="dcterms:W3CDTF">2022-09-24T19:26:09Z</dcterms:modified>
</cp:coreProperties>
</file>